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55" yWindow="420" windowWidth="13635" windowHeight="5520" tabRatio="972" activeTab="9"/>
  </bookViews>
  <sheets>
    <sheet name="Tabela nr 6" sheetId="1" r:id="rId1"/>
    <sheet name="Tab. 6A -Drogi" sheetId="2" r:id="rId2"/>
    <sheet name="Tab. 6B Polit społ i rozwój prz" sheetId="3" r:id="rId3"/>
    <sheet name="Tab. 6D - Oświata" sheetId="5" r:id="rId4"/>
    <sheet name="Tab. 6H - Kultura fiz. i turyst" sheetId="9" r:id="rId5"/>
    <sheet name="Tab. 6C - Ochrona zdrowia" sheetId="4" r:id="rId6"/>
    <sheet name="Tab. 6E - Administracja" sheetId="6" r:id="rId7"/>
    <sheet name="Tab. 6F - Kultura" sheetId="7" r:id="rId8"/>
    <sheet name="Tab. 6G - Roln i ochrona środ." sheetId="8" r:id="rId9"/>
    <sheet name="Tab.6I - Planow. przestrz." sheetId="13" r:id="rId10"/>
    <sheet name="Arkusz1" sheetId="15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1" hidden="1">'Tab. 6A -Drogi'!$A$11:$DZ$544</definedName>
    <definedName name="_xlnm._FilterDatabase" localSheetId="2" hidden="1">'Tab. 6B Polit społ i rozwój prz'!#REF!</definedName>
    <definedName name="_xlnm._FilterDatabase" localSheetId="8" hidden="1">'Tab. 6G - Roln i ochrona środ.'!$A$4:$N$56</definedName>
    <definedName name="_xlnm.Print_Area" localSheetId="1">'Tab. 6A -Drogi'!$A$1:$N$679</definedName>
    <definedName name="_xlnm.Print_Area" localSheetId="2">'Tab. 6B Polit społ i rozwój prz'!$A$1:$N$292</definedName>
    <definedName name="_xlnm.Print_Area" localSheetId="5">'Tab. 6C - Ochrona zdrowia'!$A$1:$N$101</definedName>
    <definedName name="_xlnm.Print_Area" localSheetId="3">'Tab. 6D - Oświata'!$A$1:$N$103</definedName>
    <definedName name="_xlnm.Print_Area" localSheetId="6">'Tab. 6E - Administracja'!$A$1:$N$268</definedName>
    <definedName name="_xlnm.Print_Area" localSheetId="7">'Tab. 6F - Kultura'!$A$1:$N$178</definedName>
    <definedName name="_xlnm.Print_Area" localSheetId="8">'Tab. 6G - Roln i ochrona środ.'!$A$1:$N$140</definedName>
    <definedName name="_xlnm.Print_Area" localSheetId="4">'Tab. 6H - Kultura fiz. i turyst'!$A$1:$N$295</definedName>
    <definedName name="_xlnm.Print_Area" localSheetId="9">'Tab.6I - Planow. przestrz.'!$A$1:$N$116</definedName>
    <definedName name="_xlnm.Print_Area" localSheetId="0">'Tabela nr 6'!$A$1:$K$79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6D - Oświata'!$6:$8</definedName>
    <definedName name="_xlnm.Print_Titles" localSheetId="6">'Tab. 6E - Administracja'!$6:$8</definedName>
    <definedName name="_xlnm.Print_Titles" localSheetId="7">'Tab. 6F - Kultura'!$4:$6</definedName>
    <definedName name="_xlnm.Print_Titles" localSheetId="8">'Tab. 6G - Roln i ochrona środ.'!$5:$7</definedName>
    <definedName name="_xlnm.Print_Titles" localSheetId="4">'Tab. 6H - Kultura fiz. i turyst'!$4:$6</definedName>
    <definedName name="_xlnm.Print_Titles" localSheetId="9">'Tab.6I - Planow. przestrz.'!$5:$7</definedName>
  </definedNames>
  <calcPr calcId="125725"/>
</workbook>
</file>

<file path=xl/calcChain.xml><?xml version="1.0" encoding="utf-8"?>
<calcChain xmlns="http://schemas.openxmlformats.org/spreadsheetml/2006/main">
  <c r="F212" i="6"/>
  <c r="G132" i="9" l="1"/>
  <c r="G129"/>
  <c r="F137"/>
  <c r="G531" i="2" l="1"/>
  <c r="G537"/>
  <c r="M527"/>
  <c r="M528"/>
  <c r="M526" s="1"/>
  <c r="O529" s="1"/>
  <c r="K528"/>
  <c r="J528"/>
  <c r="I528"/>
  <c r="H528"/>
  <c r="G528"/>
  <c r="F528"/>
  <c r="E528"/>
  <c r="D528"/>
  <c r="M529"/>
  <c r="K531"/>
  <c r="J531"/>
  <c r="I531"/>
  <c r="H531"/>
  <c r="F531"/>
  <c r="E531"/>
  <c r="D531"/>
  <c r="M679"/>
  <c r="M678" s="1"/>
  <c r="M677" s="1"/>
  <c r="E678"/>
  <c r="E677" s="1"/>
  <c r="L678"/>
  <c r="K678"/>
  <c r="K677" s="1"/>
  <c r="J678"/>
  <c r="J677" s="1"/>
  <c r="I678"/>
  <c r="H678"/>
  <c r="G678"/>
  <c r="G677" s="1"/>
  <c r="F678"/>
  <c r="F677" s="1"/>
  <c r="L677"/>
  <c r="I677"/>
  <c r="H677"/>
  <c r="G660"/>
  <c r="G87" i="9"/>
  <c r="G136"/>
  <c r="G134"/>
  <c r="G131"/>
  <c r="F132"/>
  <c r="F129"/>
  <c r="G125"/>
  <c r="F125"/>
  <c r="G121"/>
  <c r="G122"/>
  <c r="F122"/>
  <c r="G119"/>
  <c r="G120"/>
  <c r="F120"/>
  <c r="G133" l="1"/>
  <c r="D679" i="2"/>
  <c r="D678" s="1"/>
  <c r="D677" s="1"/>
  <c r="G54" i="1"/>
  <c r="F54"/>
  <c r="E54"/>
  <c r="C54"/>
  <c r="I288" i="3"/>
  <c r="H288"/>
  <c r="H287" s="1"/>
  <c r="H286" s="1"/>
  <c r="G288"/>
  <c r="F288"/>
  <c r="E288"/>
  <c r="E287" s="1"/>
  <c r="E286" s="1"/>
  <c r="M292"/>
  <c r="M291" s="1"/>
  <c r="M290" s="1"/>
  <c r="D292"/>
  <c r="D291" s="1"/>
  <c r="L291"/>
  <c r="L284" s="1"/>
  <c r="L283" s="1"/>
  <c r="K291"/>
  <c r="K290" s="1"/>
  <c r="J291"/>
  <c r="J284" s="1"/>
  <c r="I291"/>
  <c r="I290" s="1"/>
  <c r="H291"/>
  <c r="H284" s="1"/>
  <c r="G291"/>
  <c r="G290" s="1"/>
  <c r="F291"/>
  <c r="F284" s="1"/>
  <c r="F283" s="1"/>
  <c r="E291"/>
  <c r="L290"/>
  <c r="H290"/>
  <c r="E290"/>
  <c r="L288"/>
  <c r="L287" s="1"/>
  <c r="L286" s="1"/>
  <c r="K288"/>
  <c r="K287" s="1"/>
  <c r="K286" s="1"/>
  <c r="J288"/>
  <c r="J287" s="1"/>
  <c r="J286" s="1"/>
  <c r="I287"/>
  <c r="I286" s="1"/>
  <c r="F287"/>
  <c r="F286" s="1"/>
  <c r="K285"/>
  <c r="J285"/>
  <c r="I285"/>
  <c r="H285"/>
  <c r="G285"/>
  <c r="I284"/>
  <c r="I283" s="1"/>
  <c r="G284"/>
  <c r="E284"/>
  <c r="E283" s="1"/>
  <c r="F57" i="1"/>
  <c r="D89" i="5"/>
  <c r="H93"/>
  <c r="G93"/>
  <c r="L93"/>
  <c r="K93"/>
  <c r="H57" i="1" s="1"/>
  <c r="J93" i="5"/>
  <c r="G57" i="1" s="1"/>
  <c r="I93" i="5"/>
  <c r="F93"/>
  <c r="E93"/>
  <c r="M101"/>
  <c r="M100" s="1"/>
  <c r="M99" s="1"/>
  <c r="D101"/>
  <c r="D100" s="1"/>
  <c r="D99" s="1"/>
  <c r="L100"/>
  <c r="L99" s="1"/>
  <c r="K100"/>
  <c r="K99" s="1"/>
  <c r="K89" s="1"/>
  <c r="J100"/>
  <c r="J99" s="1"/>
  <c r="J89" s="1"/>
  <c r="I100"/>
  <c r="I99" s="1"/>
  <c r="I89" s="1"/>
  <c r="H100"/>
  <c r="H99" s="1"/>
  <c r="H89" s="1"/>
  <c r="G100"/>
  <c r="G99" s="1"/>
  <c r="G89" s="1"/>
  <c r="E100"/>
  <c r="F99"/>
  <c r="F89" s="1"/>
  <c r="E99"/>
  <c r="E89" s="1"/>
  <c r="D21" i="4"/>
  <c r="M239" i="9"/>
  <c r="H54" i="1" l="1"/>
  <c r="J283" i="3"/>
  <c r="M285"/>
  <c r="H283"/>
  <c r="M93" i="5"/>
  <c r="D93"/>
  <c r="K284" i="3"/>
  <c r="K283" s="1"/>
  <c r="D288"/>
  <c r="D287" s="1"/>
  <c r="D286" s="1"/>
  <c r="M288"/>
  <c r="M287" s="1"/>
  <c r="M286" s="1"/>
  <c r="D284"/>
  <c r="D283" s="1"/>
  <c r="D290"/>
  <c r="F290"/>
  <c r="J290"/>
  <c r="G283"/>
  <c r="G287"/>
  <c r="G286" s="1"/>
  <c r="M53" i="13"/>
  <c r="M51"/>
  <c r="M47"/>
  <c r="D136" i="6"/>
  <c r="D117"/>
  <c r="M284" i="3" l="1"/>
  <c r="M283" s="1"/>
  <c r="M50" i="5"/>
  <c r="M30"/>
  <c r="M28"/>
  <c r="L275" i="9"/>
  <c r="I69" i="1"/>
  <c r="I67"/>
  <c r="I61"/>
  <c r="I57"/>
  <c r="I55"/>
  <c r="D262" i="6"/>
  <c r="D265"/>
  <c r="L7" i="4"/>
  <c r="L6" s="1"/>
  <c r="L375" i="2"/>
  <c r="E115" i="13"/>
  <c r="E114" s="1"/>
  <c r="E113" s="1"/>
  <c r="E111"/>
  <c r="D111" s="1"/>
  <c r="E67"/>
  <c r="E66" s="1"/>
  <c r="E65"/>
  <c r="E64" s="1"/>
  <c r="E61"/>
  <c r="E60" s="1"/>
  <c r="E59"/>
  <c r="E58" s="1"/>
  <c r="E56"/>
  <c r="E55"/>
  <c r="E51"/>
  <c r="E50"/>
  <c r="E49"/>
  <c r="E43"/>
  <c r="E42" s="1"/>
  <c r="E41" s="1"/>
  <c r="E40"/>
  <c r="E38"/>
  <c r="E34"/>
  <c r="E33" s="1"/>
  <c r="E32" s="1"/>
  <c r="E31"/>
  <c r="E29"/>
  <c r="E283" i="9"/>
  <c r="E243"/>
  <c r="E237"/>
  <c r="E222"/>
  <c r="E221"/>
  <c r="E218"/>
  <c r="E217"/>
  <c r="E199"/>
  <c r="E198" s="1"/>
  <c r="E197" s="1"/>
  <c r="E195"/>
  <c r="E194" s="1"/>
  <c r="E193" s="1"/>
  <c r="E172"/>
  <c r="E171" s="1"/>
  <c r="E170" s="1"/>
  <c r="E169"/>
  <c r="E168"/>
  <c r="E167" s="1"/>
  <c r="E166" s="1"/>
  <c r="E165"/>
  <c r="E164"/>
  <c r="E163" s="1"/>
  <c r="E162" s="1"/>
  <c r="E156"/>
  <c r="E155"/>
  <c r="E154"/>
  <c r="E153" s="1"/>
  <c r="E150"/>
  <c r="E149" s="1"/>
  <c r="E148" s="1"/>
  <c r="E147"/>
  <c r="E146"/>
  <c r="E143"/>
  <c r="E142"/>
  <c r="E132"/>
  <c r="E129"/>
  <c r="E60"/>
  <c r="E59" s="1"/>
  <c r="E56" s="1"/>
  <c r="E57"/>
  <c r="E55"/>
  <c r="E54" s="1"/>
  <c r="E52"/>
  <c r="E51" s="1"/>
  <c r="E45"/>
  <c r="E43"/>
  <c r="E42" s="1"/>
  <c r="E40"/>
  <c r="E31"/>
  <c r="E30" s="1"/>
  <c r="E28"/>
  <c r="E67" i="8"/>
  <c r="E65"/>
  <c r="E62"/>
  <c r="E60"/>
  <c r="E55"/>
  <c r="E52"/>
  <c r="E49"/>
  <c r="E47"/>
  <c r="E158" i="7"/>
  <c r="E147"/>
  <c r="E143"/>
  <c r="E133"/>
  <c r="E131"/>
  <c r="E128"/>
  <c r="E127" s="1"/>
  <c r="E124" s="1"/>
  <c r="E125"/>
  <c r="E123"/>
  <c r="E122"/>
  <c r="E120"/>
  <c r="E69"/>
  <c r="E68" s="1"/>
  <c r="E52"/>
  <c r="E51" s="1"/>
  <c r="E47"/>
  <c r="E40"/>
  <c r="E39"/>
  <c r="E38" s="1"/>
  <c r="E35"/>
  <c r="E34" s="1"/>
  <c r="E33" s="1"/>
  <c r="E26"/>
  <c r="E25"/>
  <c r="E24" s="1"/>
  <c r="E255" i="6"/>
  <c r="E224"/>
  <c r="E222"/>
  <c r="E219"/>
  <c r="E217"/>
  <c r="E216"/>
  <c r="E215"/>
  <c r="E183"/>
  <c r="E152" s="1"/>
  <c r="E176"/>
  <c r="E172"/>
  <c r="E140"/>
  <c r="E136"/>
  <c r="E132"/>
  <c r="E128"/>
  <c r="E127"/>
  <c r="E122"/>
  <c r="E117"/>
  <c r="E114"/>
  <c r="E113"/>
  <c r="E111"/>
  <c r="E110"/>
  <c r="E109"/>
  <c r="E108"/>
  <c r="E104"/>
  <c r="E103"/>
  <c r="E100"/>
  <c r="E98"/>
  <c r="E92"/>
  <c r="E90"/>
  <c r="E87"/>
  <c r="E85"/>
  <c r="E81"/>
  <c r="E79"/>
  <c r="E76"/>
  <c r="E74"/>
  <c r="E65"/>
  <c r="E64" s="1"/>
  <c r="E63"/>
  <c r="E62"/>
  <c r="E61" s="1"/>
  <c r="E53"/>
  <c r="E52"/>
  <c r="E48"/>
  <c r="E47"/>
  <c r="E44"/>
  <c r="E43"/>
  <c r="E34"/>
  <c r="E33"/>
  <c r="E46" i="5"/>
  <c r="E41"/>
  <c r="E39"/>
  <c r="E74"/>
  <c r="E71"/>
  <c r="E87" i="4"/>
  <c r="E82"/>
  <c r="E153" i="3"/>
  <c r="E152"/>
  <c r="E151"/>
  <c r="E146"/>
  <c r="E145"/>
  <c r="E144" s="1"/>
  <c r="E143"/>
  <c r="E142"/>
  <c r="E141"/>
  <c r="E140"/>
  <c r="E139"/>
  <c r="E138" s="1"/>
  <c r="E137" s="1"/>
  <c r="E136" s="1"/>
  <c r="E133"/>
  <c r="E132" s="1"/>
  <c r="E131"/>
  <c r="E129" s="1"/>
  <c r="E128" s="1"/>
  <c r="E130"/>
  <c r="E127"/>
  <c r="E125" s="1"/>
  <c r="E124" s="1"/>
  <c r="E126"/>
  <c r="E108"/>
  <c r="E103"/>
  <c r="E100"/>
  <c r="E96"/>
  <c r="E91"/>
  <c r="E88"/>
  <c r="E84"/>
  <c r="E79"/>
  <c r="E76"/>
  <c r="E72"/>
  <c r="E67"/>
  <c r="E64"/>
  <c r="L41"/>
  <c r="E42"/>
  <c r="E41"/>
  <c r="E38" s="1"/>
  <c r="E36"/>
  <c r="E35"/>
  <c r="E30"/>
  <c r="E29"/>
  <c r="E603" i="2"/>
  <c r="E145" i="9" l="1"/>
  <c r="E144" s="1"/>
  <c r="E220"/>
  <c r="E219" s="1"/>
  <c r="E50"/>
  <c r="E141"/>
  <c r="E140" s="1"/>
  <c r="E139" s="1"/>
  <c r="E216"/>
  <c r="E215" s="1"/>
  <c r="E150" i="3"/>
  <c r="E149" s="1"/>
  <c r="E148" s="1"/>
  <c r="E57" i="13"/>
  <c r="E152" i="9"/>
  <c r="E142" i="7"/>
  <c r="E60" i="6"/>
  <c r="E63" i="13"/>
  <c r="E192" i="9"/>
  <c r="E161"/>
  <c r="E106" i="6"/>
  <c r="E96"/>
  <c r="E53" i="4"/>
  <c r="E123" i="3"/>
  <c r="E214" i="9" l="1"/>
  <c r="E675" i="2"/>
  <c r="E674" s="1"/>
  <c r="E673" s="1"/>
  <c r="E664"/>
  <c r="E663" s="1"/>
  <c r="E662" s="1"/>
  <c r="E661"/>
  <c r="E660"/>
  <c r="E659" s="1"/>
  <c r="E658" s="1"/>
  <c r="E656"/>
  <c r="E655" s="1"/>
  <c r="E654" s="1"/>
  <c r="E653"/>
  <c r="E652"/>
  <c r="E651"/>
  <c r="E650" s="1"/>
  <c r="E648"/>
  <c r="E647" s="1"/>
  <c r="E646" s="1"/>
  <c r="E644"/>
  <c r="E612"/>
  <c r="E611"/>
  <c r="E608"/>
  <c r="E607"/>
  <c r="E584"/>
  <c r="E583" s="1"/>
  <c r="E582" s="1"/>
  <c r="E569"/>
  <c r="E565"/>
  <c r="E548"/>
  <c r="E545"/>
  <c r="E544"/>
  <c r="E460"/>
  <c r="E459"/>
  <c r="E455"/>
  <c r="E454"/>
  <c r="E448"/>
  <c r="E375" s="1"/>
  <c r="E445"/>
  <c r="E444"/>
  <c r="E440"/>
  <c r="E439"/>
  <c r="E382"/>
  <c r="E381" s="1"/>
  <c r="E380"/>
  <c r="E349"/>
  <c r="E348" s="1"/>
  <c r="E346"/>
  <c r="E345" s="1"/>
  <c r="E343"/>
  <c r="E342" s="1"/>
  <c r="E340"/>
  <c r="E338" s="1"/>
  <c r="E318"/>
  <c r="E317" s="1"/>
  <c r="E315"/>
  <c r="E314" s="1"/>
  <c r="E270"/>
  <c r="E267"/>
  <c r="E262"/>
  <c r="E260"/>
  <c r="E258"/>
  <c r="E257" s="1"/>
  <c r="E255"/>
  <c r="E254" s="1"/>
  <c r="E251"/>
  <c r="E250" s="1"/>
  <c r="E248"/>
  <c r="E246"/>
  <c r="E245" s="1"/>
  <c r="E243"/>
  <c r="E242" s="1"/>
  <c r="E239"/>
  <c r="E238" s="1"/>
  <c r="E237"/>
  <c r="E236" s="1"/>
  <c r="E234"/>
  <c r="E233" s="1"/>
  <c r="E232"/>
  <c r="E231"/>
  <c r="E220"/>
  <c r="E219"/>
  <c r="E215"/>
  <c r="E214" s="1"/>
  <c r="E213"/>
  <c r="E212" s="1"/>
  <c r="E210"/>
  <c r="E209" s="1"/>
  <c r="E208"/>
  <c r="E207"/>
  <c r="E206" s="1"/>
  <c r="E186"/>
  <c r="E185" s="1"/>
  <c r="E183"/>
  <c r="E182" s="1"/>
  <c r="L178"/>
  <c r="E179"/>
  <c r="E178" s="1"/>
  <c r="E177"/>
  <c r="E176" s="1"/>
  <c r="E174"/>
  <c r="E172"/>
  <c r="E171"/>
  <c r="E167"/>
  <c r="E162"/>
  <c r="E159"/>
  <c r="E143"/>
  <c r="E140"/>
  <c r="E136"/>
  <c r="E133"/>
  <c r="E131"/>
  <c r="E82"/>
  <c r="M100" i="13"/>
  <c r="M115"/>
  <c r="M111"/>
  <c r="M79"/>
  <c r="M77"/>
  <c r="M76"/>
  <c r="M67"/>
  <c r="M65"/>
  <c r="M287" i="9"/>
  <c r="M283"/>
  <c r="M262"/>
  <c r="M260"/>
  <c r="M259"/>
  <c r="M252"/>
  <c r="M250"/>
  <c r="M231"/>
  <c r="M229"/>
  <c r="M132"/>
  <c r="M130"/>
  <c r="M129"/>
  <c r="M122"/>
  <c r="M120"/>
  <c r="M113"/>
  <c r="M111"/>
  <c r="M67"/>
  <c r="M64"/>
  <c r="M55"/>
  <c r="M53"/>
  <c r="M52"/>
  <c r="M43"/>
  <c r="M41"/>
  <c r="M40"/>
  <c r="M31"/>
  <c r="M29"/>
  <c r="M28"/>
  <c r="M100" i="8"/>
  <c r="M98"/>
  <c r="M91"/>
  <c r="M89"/>
  <c r="K9" i="7"/>
  <c r="M133"/>
  <c r="M131" s="1"/>
  <c r="M121"/>
  <c r="M95"/>
  <c r="M83"/>
  <c r="M70"/>
  <c r="M58"/>
  <c r="M35"/>
  <c r="M26"/>
  <c r="M14" i="9" l="1"/>
  <c r="E230" i="2"/>
  <c r="E205"/>
  <c r="E247"/>
  <c r="E229"/>
  <c r="E344"/>
  <c r="E453"/>
  <c r="E452" s="1"/>
  <c r="E241"/>
  <c r="E259"/>
  <c r="E313"/>
  <c r="E235"/>
  <c r="E447"/>
  <c r="E446" s="1"/>
  <c r="E458"/>
  <c r="E457" s="1"/>
  <c r="E456" s="1"/>
  <c r="E337"/>
  <c r="E253"/>
  <c r="E211"/>
  <c r="E181"/>
  <c r="E175"/>
  <c r="M188" i="6"/>
  <c r="M173"/>
  <c r="M261"/>
  <c r="M251"/>
  <c r="M219"/>
  <c r="M216"/>
  <c r="M215"/>
  <c r="M87"/>
  <c r="M85"/>
  <c r="M76"/>
  <c r="M74"/>
  <c r="M65"/>
  <c r="M63"/>
  <c r="M62"/>
  <c r="M97" i="5"/>
  <c r="M89"/>
  <c r="M80"/>
  <c r="M78"/>
  <c r="M71"/>
  <c r="M39"/>
  <c r="M11"/>
  <c r="M97" i="4"/>
  <c r="M49" s="1"/>
  <c r="M88"/>
  <c r="M83"/>
  <c r="M40"/>
  <c r="M38"/>
  <c r="M37"/>
  <c r="M28"/>
  <c r="M26"/>
  <c r="M24"/>
  <c r="M258" i="3"/>
  <c r="M256"/>
  <c r="M181"/>
  <c r="M179"/>
  <c r="M178"/>
  <c r="M116"/>
  <c r="M113"/>
  <c r="M112"/>
  <c r="M103"/>
  <c r="M100"/>
  <c r="M79"/>
  <c r="M76"/>
  <c r="M675" i="2"/>
  <c r="M668"/>
  <c r="M661"/>
  <c r="M660"/>
  <c r="M653"/>
  <c r="M652"/>
  <c r="M648"/>
  <c r="M608"/>
  <c r="M603"/>
  <c r="M581"/>
  <c r="M569"/>
  <c r="M390"/>
  <c r="M382"/>
  <c r="M380"/>
  <c r="M356"/>
  <c r="M354"/>
  <c r="M353"/>
  <c r="M339"/>
  <c r="M315"/>
  <c r="M306"/>
  <c r="M303"/>
  <c r="M294"/>
  <c r="M291"/>
  <c r="M282"/>
  <c r="M279"/>
  <c r="M246"/>
  <c r="M243"/>
  <c r="M234"/>
  <c r="M232"/>
  <c r="M231"/>
  <c r="M210"/>
  <c r="M207"/>
  <c r="M186"/>
  <c r="M183"/>
  <c r="M174"/>
  <c r="M172"/>
  <c r="M171"/>
  <c r="M162"/>
  <c r="M159"/>
  <c r="M136"/>
  <c r="M133"/>
  <c r="M131"/>
  <c r="M85"/>
  <c r="M83"/>
  <c r="M82"/>
  <c r="Q51" i="1"/>
  <c r="Q15"/>
  <c r="E451" i="2" l="1"/>
  <c r="E450" s="1"/>
  <c r="J10"/>
  <c r="K10"/>
  <c r="I51"/>
  <c r="J51"/>
  <c r="K51"/>
  <c r="I42"/>
  <c r="J42"/>
  <c r="K42"/>
  <c r="H37"/>
  <c r="I37"/>
  <c r="J37"/>
  <c r="K37"/>
  <c r="F311"/>
  <c r="D311" s="1"/>
  <c r="D310" s="1"/>
  <c r="I310"/>
  <c r="H310"/>
  <c r="G310"/>
  <c r="F310"/>
  <c r="L310"/>
  <c r="E310"/>
  <c r="D309"/>
  <c r="D308" s="1"/>
  <c r="G308"/>
  <c r="F308"/>
  <c r="L308"/>
  <c r="E308"/>
  <c r="M305"/>
  <c r="D306"/>
  <c r="D305" s="1"/>
  <c r="I305"/>
  <c r="H305"/>
  <c r="G305"/>
  <c r="F305"/>
  <c r="F301" s="1"/>
  <c r="L305"/>
  <c r="E305"/>
  <c r="M304"/>
  <c r="D304"/>
  <c r="D303"/>
  <c r="M302"/>
  <c r="I302"/>
  <c r="H302"/>
  <c r="G302"/>
  <c r="F302"/>
  <c r="L302"/>
  <c r="E302"/>
  <c r="I298"/>
  <c r="I293"/>
  <c r="I290"/>
  <c r="H298"/>
  <c r="H293"/>
  <c r="H290"/>
  <c r="F299"/>
  <c r="F298" s="1"/>
  <c r="G298"/>
  <c r="L298"/>
  <c r="E298"/>
  <c r="D297"/>
  <c r="D296" s="1"/>
  <c r="G296"/>
  <c r="F296"/>
  <c r="L296"/>
  <c r="E296"/>
  <c r="M293"/>
  <c r="D294"/>
  <c r="D293" s="1"/>
  <c r="G293"/>
  <c r="F293"/>
  <c r="L293"/>
  <c r="E293"/>
  <c r="M292"/>
  <c r="D292"/>
  <c r="D291"/>
  <c r="M290"/>
  <c r="G290"/>
  <c r="F290"/>
  <c r="L290"/>
  <c r="E290"/>
  <c r="H301" l="1"/>
  <c r="F289"/>
  <c r="D299"/>
  <c r="D298" s="1"/>
  <c r="G295"/>
  <c r="G307"/>
  <c r="D290"/>
  <c r="G301"/>
  <c r="F307"/>
  <c r="H295"/>
  <c r="I295"/>
  <c r="D302"/>
  <c r="D301" s="1"/>
  <c r="G289"/>
  <c r="L289"/>
  <c r="E289"/>
  <c r="F295"/>
  <c r="E295"/>
  <c r="E301"/>
  <c r="I301"/>
  <c r="E307"/>
  <c r="I307"/>
  <c r="D307"/>
  <c r="I289"/>
  <c r="H307"/>
  <c r="L295"/>
  <c r="L301"/>
  <c r="L307"/>
  <c r="M301"/>
  <c r="M289"/>
  <c r="H289"/>
  <c r="D289"/>
  <c r="D295"/>
  <c r="F110" i="6" l="1"/>
  <c r="F108"/>
  <c r="F100"/>
  <c r="F98"/>
  <c r="M53" i="3"/>
  <c r="M54"/>
  <c r="I240" i="6" l="1"/>
  <c r="J240"/>
  <c r="K240"/>
  <c r="G690" i="2"/>
  <c r="G66" i="9" l="1"/>
  <c r="G63"/>
  <c r="L72"/>
  <c r="D72" s="1"/>
  <c r="D71" s="1"/>
  <c r="G71"/>
  <c r="F71"/>
  <c r="E71"/>
  <c r="D70"/>
  <c r="D69" s="1"/>
  <c r="K69"/>
  <c r="J69"/>
  <c r="I69"/>
  <c r="H69"/>
  <c r="G69"/>
  <c r="F69"/>
  <c r="L69"/>
  <c r="E69"/>
  <c r="M66"/>
  <c r="D67"/>
  <c r="D66" s="1"/>
  <c r="E66"/>
  <c r="M65"/>
  <c r="D65"/>
  <c r="F63"/>
  <c r="E63"/>
  <c r="H75"/>
  <c r="H77"/>
  <c r="H80"/>
  <c r="H79" s="1"/>
  <c r="G81"/>
  <c r="G78"/>
  <c r="M78" s="1"/>
  <c r="F78"/>
  <c r="G76"/>
  <c r="M76" s="1"/>
  <c r="F76"/>
  <c r="F60"/>
  <c r="F58"/>
  <c r="F55"/>
  <c r="F53"/>
  <c r="F52"/>
  <c r="G36"/>
  <c r="F36"/>
  <c r="F34"/>
  <c r="F31"/>
  <c r="F29"/>
  <c r="F28"/>
  <c r="F48"/>
  <c r="F43"/>
  <c r="F40"/>
  <c r="G392" i="2"/>
  <c r="M392" s="1"/>
  <c r="F392"/>
  <c r="G389"/>
  <c r="M389" s="1"/>
  <c r="F389"/>
  <c r="F380"/>
  <c r="G154" i="7"/>
  <c r="F154"/>
  <c r="G152"/>
  <c r="F152"/>
  <c r="G151"/>
  <c r="F151"/>
  <c r="G148"/>
  <c r="F148"/>
  <c r="G146"/>
  <c r="F146"/>
  <c r="G145"/>
  <c r="M145" s="1"/>
  <c r="F145"/>
  <c r="F41"/>
  <c r="F40" s="1"/>
  <c r="G40"/>
  <c r="G39" s="1"/>
  <c r="G38" s="1"/>
  <c r="L40"/>
  <c r="D42"/>
  <c r="F35"/>
  <c r="G114"/>
  <c r="F114"/>
  <c r="G109"/>
  <c r="M109" s="1"/>
  <c r="F109"/>
  <c r="K96" i="3"/>
  <c r="K91"/>
  <c r="K88"/>
  <c r="G96"/>
  <c r="G91"/>
  <c r="M91" s="1"/>
  <c r="G88"/>
  <c r="F115" i="13"/>
  <c r="K47" i="8"/>
  <c r="K49"/>
  <c r="K52"/>
  <c r="K55"/>
  <c r="F47"/>
  <c r="F49"/>
  <c r="F52"/>
  <c r="F55"/>
  <c r="F81" i="6"/>
  <c r="F79"/>
  <c r="F76"/>
  <c r="F74"/>
  <c r="E68" i="9" l="1"/>
  <c r="L71"/>
  <c r="M88" i="3"/>
  <c r="L68" i="9"/>
  <c r="H74"/>
  <c r="E62"/>
  <c r="G68"/>
  <c r="G62"/>
  <c r="D68"/>
  <c r="F68"/>
  <c r="M63"/>
  <c r="M62" s="1"/>
  <c r="L63"/>
  <c r="D64"/>
  <c r="D63" s="1"/>
  <c r="D62" s="1"/>
  <c r="F66"/>
  <c r="F62" s="1"/>
  <c r="L66"/>
  <c r="D41" i="7"/>
  <c r="F146" i="3"/>
  <c r="G141"/>
  <c r="F153"/>
  <c r="F156"/>
  <c r="L62" i="9" l="1"/>
  <c r="K123" i="1"/>
  <c r="H67" i="8"/>
  <c r="H65"/>
  <c r="F67"/>
  <c r="F65"/>
  <c r="H62"/>
  <c r="M62" s="1"/>
  <c r="F62"/>
  <c r="H60"/>
  <c r="M60" s="1"/>
  <c r="F60"/>
  <c r="F315" i="2"/>
  <c r="F167"/>
  <c r="F162"/>
  <c r="F159"/>
  <c r="G130"/>
  <c r="G129" s="1"/>
  <c r="F131"/>
  <c r="G198"/>
  <c r="M198" s="1"/>
  <c r="G195"/>
  <c r="F198"/>
  <c r="F195"/>
  <c r="F215"/>
  <c r="G215"/>
  <c r="G213"/>
  <c r="F213"/>
  <c r="G209"/>
  <c r="F210"/>
  <c r="G208"/>
  <c r="M208" s="1"/>
  <c r="F208"/>
  <c r="F239"/>
  <c r="F234"/>
  <c r="F231"/>
  <c r="G185"/>
  <c r="G191"/>
  <c r="F191"/>
  <c r="F186"/>
  <c r="G182"/>
  <c r="F183"/>
  <c r="F82"/>
  <c r="F251"/>
  <c r="F246"/>
  <c r="F243"/>
  <c r="F255"/>
  <c r="G275"/>
  <c r="G270"/>
  <c r="M270" s="1"/>
  <c r="F270"/>
  <c r="G267"/>
  <c r="M267" s="1"/>
  <c r="F267"/>
  <c r="G227"/>
  <c r="F227"/>
  <c r="G222"/>
  <c r="M222" s="1"/>
  <c r="F222"/>
  <c r="G219"/>
  <c r="M219" s="1"/>
  <c r="F219"/>
  <c r="H159" i="9"/>
  <c r="G159"/>
  <c r="F159"/>
  <c r="H150"/>
  <c r="G150"/>
  <c r="F150"/>
  <c r="G156"/>
  <c r="M156" s="1"/>
  <c r="G154"/>
  <c r="M154" s="1"/>
  <c r="F156"/>
  <c r="F154"/>
  <c r="G146"/>
  <c r="G142"/>
  <c r="F146"/>
  <c r="F142"/>
  <c r="M143"/>
  <c r="M147"/>
  <c r="G168"/>
  <c r="F168"/>
  <c r="G164"/>
  <c r="F164"/>
  <c r="G107"/>
  <c r="G104"/>
  <c r="G100"/>
  <c r="G94"/>
  <c r="G91"/>
  <c r="F206" i="2" l="1"/>
  <c r="D208"/>
  <c r="D213"/>
  <c r="M195"/>
  <c r="G181"/>
  <c r="M142" i="9"/>
  <c r="M146"/>
  <c r="M164"/>
  <c r="M168"/>
  <c r="G146" i="3"/>
  <c r="G142"/>
  <c r="G143"/>
  <c r="F142"/>
  <c r="F141"/>
  <c r="M141" s="1"/>
  <c r="G140"/>
  <c r="F140"/>
  <c r="H139"/>
  <c r="G139"/>
  <c r="F139"/>
  <c r="M257" i="6"/>
  <c r="M256"/>
  <c r="I255"/>
  <c r="J255"/>
  <c r="K255"/>
  <c r="H255"/>
  <c r="G255"/>
  <c r="F255"/>
  <c r="G115" i="9"/>
  <c r="F116"/>
  <c r="L115"/>
  <c r="E115"/>
  <c r="M112"/>
  <c r="L113"/>
  <c r="L112" s="1"/>
  <c r="G112"/>
  <c r="F112"/>
  <c r="E112"/>
  <c r="M110"/>
  <c r="L111"/>
  <c r="D111" s="1"/>
  <c r="D110" s="1"/>
  <c r="G110"/>
  <c r="F110"/>
  <c r="L110"/>
  <c r="E110"/>
  <c r="L109" l="1"/>
  <c r="E109"/>
  <c r="M109"/>
  <c r="M255" i="6"/>
  <c r="M140" i="3"/>
  <c r="M139"/>
  <c r="M142"/>
  <c r="G109" i="9"/>
  <c r="L114"/>
  <c r="G114"/>
  <c r="D113"/>
  <c r="D112" s="1"/>
  <c r="D109" s="1"/>
  <c r="E114"/>
  <c r="D116"/>
  <c r="D115" s="1"/>
  <c r="D114" s="1"/>
  <c r="J254" i="6"/>
  <c r="J253" s="1"/>
  <c r="J243"/>
  <c r="J242" s="1"/>
  <c r="J241" s="1"/>
  <c r="K254"/>
  <c r="K253" s="1"/>
  <c r="K243"/>
  <c r="K242" s="1"/>
  <c r="K241" s="1"/>
  <c r="I254"/>
  <c r="I253" s="1"/>
  <c r="I243"/>
  <c r="I242" s="1"/>
  <c r="I241" s="1"/>
  <c r="F109" i="9"/>
  <c r="F115"/>
  <c r="F114" l="1"/>
  <c r="G607" i="2"/>
  <c r="G611"/>
  <c r="F607"/>
  <c r="F611"/>
  <c r="H203" i="9"/>
  <c r="F203"/>
  <c r="H200"/>
  <c r="H199"/>
  <c r="G199"/>
  <c r="F200"/>
  <c r="F199"/>
  <c r="H196"/>
  <c r="H195"/>
  <c r="G195"/>
  <c r="F196"/>
  <c r="F195"/>
  <c r="H565" i="2" l="1"/>
  <c r="F565"/>
  <c r="F648"/>
  <c r="F664"/>
  <c r="F661"/>
  <c r="J644"/>
  <c r="J643"/>
  <c r="J642" s="1"/>
  <c r="F644"/>
  <c r="J602"/>
  <c r="J601" s="1"/>
  <c r="F603"/>
  <c r="I543"/>
  <c r="I542" s="1"/>
  <c r="J543"/>
  <c r="J542" s="1"/>
  <c r="H545"/>
  <c r="H544"/>
  <c r="G545"/>
  <c r="G544"/>
  <c r="F537"/>
  <c r="E537"/>
  <c r="I537"/>
  <c r="J537"/>
  <c r="K537"/>
  <c r="E547"/>
  <c r="L547"/>
  <c r="F547"/>
  <c r="G547"/>
  <c r="H547"/>
  <c r="D549"/>
  <c r="F545"/>
  <c r="F544"/>
  <c r="H172" i="6"/>
  <c r="G172"/>
  <c r="M172" s="1"/>
  <c r="F172"/>
  <c r="H176"/>
  <c r="F176"/>
  <c r="H177"/>
  <c r="G177"/>
  <c r="M177" s="1"/>
  <c r="F177"/>
  <c r="H183"/>
  <c r="G183"/>
  <c r="F183"/>
  <c r="H184"/>
  <c r="G184"/>
  <c r="M545" i="2" l="1"/>
  <c r="M544"/>
  <c r="H199" i="6"/>
  <c r="G199"/>
  <c r="F199"/>
  <c r="H204"/>
  <c r="G204"/>
  <c r="H211"/>
  <c r="G211"/>
  <c r="I365" i="2"/>
  <c r="J365"/>
  <c r="K365"/>
  <c r="M204" i="6" l="1"/>
  <c r="M199"/>
  <c r="F359" i="2"/>
  <c r="F354"/>
  <c r="F353"/>
  <c r="J127" i="6"/>
  <c r="G127"/>
  <c r="J136"/>
  <c r="I136"/>
  <c r="H136"/>
  <c r="G136"/>
  <c r="F136"/>
  <c r="I127"/>
  <c r="H127"/>
  <c r="G117"/>
  <c r="J117"/>
  <c r="I117"/>
  <c r="H117"/>
  <c r="F117"/>
  <c r="F113"/>
  <c r="H110"/>
  <c r="H112"/>
  <c r="F112"/>
  <c r="F111"/>
  <c r="H109"/>
  <c r="F109"/>
  <c r="H108"/>
  <c r="F103"/>
  <c r="H100"/>
  <c r="H44"/>
  <c r="G44"/>
  <c r="G43"/>
  <c r="F44"/>
  <c r="F43"/>
  <c r="H48"/>
  <c r="G48"/>
  <c r="G47"/>
  <c r="F47"/>
  <c r="F48"/>
  <c r="H53"/>
  <c r="G53"/>
  <c r="G52"/>
  <c r="F53"/>
  <c r="F52"/>
  <c r="I56"/>
  <c r="H56"/>
  <c r="G56"/>
  <c r="F56"/>
  <c r="I58"/>
  <c r="H58"/>
  <c r="G58"/>
  <c r="F58"/>
  <c r="K369" i="2" l="1"/>
  <c r="J369"/>
  <c r="I369"/>
  <c r="K375"/>
  <c r="J375"/>
  <c r="I375"/>
  <c r="K37" i="6"/>
  <c r="J37"/>
  <c r="G37"/>
  <c r="J29"/>
  <c r="M29" s="1"/>
  <c r="F29"/>
  <c r="J33"/>
  <c r="F33"/>
  <c r="G114" i="13"/>
  <c r="G113" s="1"/>
  <c r="G70" i="5"/>
  <c r="G69" s="1"/>
  <c r="G73"/>
  <c r="G72" s="1"/>
  <c r="G439" i="2"/>
  <c r="F439"/>
  <c r="G444"/>
  <c r="F444"/>
  <c r="G448"/>
  <c r="F448"/>
  <c r="E103" i="13"/>
  <c r="G103"/>
  <c r="H103"/>
  <c r="I103"/>
  <c r="J103"/>
  <c r="K103"/>
  <c r="M75"/>
  <c r="E25" l="1"/>
  <c r="J25"/>
  <c r="K25"/>
  <c r="I18"/>
  <c r="J18"/>
  <c r="K18"/>
  <c r="E78"/>
  <c r="L78"/>
  <c r="F78"/>
  <c r="G78"/>
  <c r="H78"/>
  <c r="I78"/>
  <c r="J78"/>
  <c r="K78"/>
  <c r="E22"/>
  <c r="L22"/>
  <c r="F22"/>
  <c r="G22"/>
  <c r="H22"/>
  <c r="I22"/>
  <c r="J22"/>
  <c r="K22"/>
  <c r="E15"/>
  <c r="L15"/>
  <c r="F15"/>
  <c r="G15"/>
  <c r="H15"/>
  <c r="I15"/>
  <c r="J15"/>
  <c r="K15"/>
  <c r="E13"/>
  <c r="H13"/>
  <c r="I13"/>
  <c r="J13"/>
  <c r="K13"/>
  <c r="M15" l="1"/>
  <c r="E93"/>
  <c r="E92" s="1"/>
  <c r="L93"/>
  <c r="L92" s="1"/>
  <c r="F93"/>
  <c r="F92" s="1"/>
  <c r="G93"/>
  <c r="G92" s="1"/>
  <c r="H93"/>
  <c r="H92" s="1"/>
  <c r="I93"/>
  <c r="I92" s="1"/>
  <c r="J93"/>
  <c r="J92" s="1"/>
  <c r="K93"/>
  <c r="K92" s="1"/>
  <c r="G81"/>
  <c r="D89"/>
  <c r="F88"/>
  <c r="M88" s="1"/>
  <c r="M87" s="1"/>
  <c r="D76"/>
  <c r="K87"/>
  <c r="K86" s="1"/>
  <c r="J87"/>
  <c r="J86" s="1"/>
  <c r="I87"/>
  <c r="I86" s="1"/>
  <c r="H87"/>
  <c r="H86" s="1"/>
  <c r="L87"/>
  <c r="L86" s="1"/>
  <c r="E87"/>
  <c r="E86" s="1"/>
  <c r="E83"/>
  <c r="L83"/>
  <c r="F83"/>
  <c r="G83"/>
  <c r="H83"/>
  <c r="I83"/>
  <c r="J83"/>
  <c r="K83"/>
  <c r="E81"/>
  <c r="E80" s="1"/>
  <c r="L81"/>
  <c r="F81"/>
  <c r="F80" s="1"/>
  <c r="H81"/>
  <c r="I81"/>
  <c r="J81"/>
  <c r="K81"/>
  <c r="E75"/>
  <c r="L75"/>
  <c r="F75"/>
  <c r="G75"/>
  <c r="H75"/>
  <c r="I75"/>
  <c r="J75"/>
  <c r="K75"/>
  <c r="D96"/>
  <c r="D94"/>
  <c r="D91"/>
  <c r="D84"/>
  <c r="D83" s="1"/>
  <c r="D82"/>
  <c r="D81" s="1"/>
  <c r="D79"/>
  <c r="D78" s="1"/>
  <c r="M91"/>
  <c r="M90" s="1"/>
  <c r="J80" l="1"/>
  <c r="J120" s="1"/>
  <c r="F87"/>
  <c r="F86" s="1"/>
  <c r="K80"/>
  <c r="K120" s="1"/>
  <c r="J74"/>
  <c r="F74"/>
  <c r="K74"/>
  <c r="G74"/>
  <c r="H80"/>
  <c r="H120" s="1"/>
  <c r="I74"/>
  <c r="L74"/>
  <c r="H74"/>
  <c r="E74"/>
  <c r="G80"/>
  <c r="G120" s="1"/>
  <c r="D80"/>
  <c r="D90"/>
  <c r="D95"/>
  <c r="D93"/>
  <c r="D22"/>
  <c r="M89"/>
  <c r="D77"/>
  <c r="D88"/>
  <c r="G87"/>
  <c r="G86" s="1"/>
  <c r="I80"/>
  <c r="I120" s="1"/>
  <c r="L80"/>
  <c r="L120" s="1"/>
  <c r="M86"/>
  <c r="D92" l="1"/>
  <c r="D75"/>
  <c r="D74" s="1"/>
  <c r="D15"/>
  <c r="O77"/>
  <c r="D87"/>
  <c r="D86" s="1"/>
  <c r="O76"/>
  <c r="T105" i="4"/>
  <c r="S105"/>
  <c r="R105"/>
  <c r="Q105"/>
  <c r="P105"/>
  <c r="O105"/>
  <c r="N105"/>
  <c r="M105"/>
  <c r="J110"/>
  <c r="K110"/>
  <c r="J109"/>
  <c r="K109"/>
  <c r="I8"/>
  <c r="H8"/>
  <c r="G8"/>
  <c r="F8"/>
  <c r="L32"/>
  <c r="E32"/>
  <c r="L30"/>
  <c r="E30"/>
  <c r="L44"/>
  <c r="E44"/>
  <c r="L42"/>
  <c r="E42"/>
  <c r="J111" l="1"/>
  <c r="K111"/>
  <c r="E41"/>
  <c r="E109" s="1"/>
  <c r="E29"/>
  <c r="E110" s="1"/>
  <c r="L41"/>
  <c r="L109" s="1"/>
  <c r="L29"/>
  <c r="L110" s="1"/>
  <c r="I11"/>
  <c r="H11"/>
  <c r="G11"/>
  <c r="F11"/>
  <c r="G13"/>
  <c r="H13"/>
  <c r="I13"/>
  <c r="F13"/>
  <c r="G15"/>
  <c r="H15"/>
  <c r="I15"/>
  <c r="F15"/>
  <c r="G18"/>
  <c r="H18"/>
  <c r="I18"/>
  <c r="F18"/>
  <c r="G20"/>
  <c r="H20"/>
  <c r="I20"/>
  <c r="F20"/>
  <c r="E111" l="1"/>
  <c r="L111"/>
  <c r="G36"/>
  <c r="H36"/>
  <c r="I36"/>
  <c r="F36"/>
  <c r="G206" i="2"/>
  <c r="G205" s="1"/>
  <c r="D45" i="4" l="1"/>
  <c r="D44" s="1"/>
  <c r="I44"/>
  <c r="H44"/>
  <c r="G44"/>
  <c r="F44"/>
  <c r="D43"/>
  <c r="I42"/>
  <c r="H42"/>
  <c r="G42"/>
  <c r="F42"/>
  <c r="M39"/>
  <c r="D40"/>
  <c r="D39" s="1"/>
  <c r="I39"/>
  <c r="I35" s="1"/>
  <c r="H39"/>
  <c r="H35" s="1"/>
  <c r="G39"/>
  <c r="G35" s="1"/>
  <c r="F39"/>
  <c r="D38"/>
  <c r="D37"/>
  <c r="G7" l="1"/>
  <c r="I7"/>
  <c r="H7"/>
  <c r="M36"/>
  <c r="M35" s="1"/>
  <c r="H41"/>
  <c r="H109" s="1"/>
  <c r="D42"/>
  <c r="D41" s="1"/>
  <c r="D109" s="1"/>
  <c r="D36"/>
  <c r="D35" s="1"/>
  <c r="D7" s="1"/>
  <c r="F41"/>
  <c r="F109" s="1"/>
  <c r="G41"/>
  <c r="G109" s="1"/>
  <c r="F35"/>
  <c r="I41"/>
  <c r="I109" s="1"/>
  <c r="E8"/>
  <c r="L8"/>
  <c r="J8"/>
  <c r="K8"/>
  <c r="E11"/>
  <c r="L11"/>
  <c r="J11"/>
  <c r="K11"/>
  <c r="E12"/>
  <c r="L12"/>
  <c r="F12"/>
  <c r="G12"/>
  <c r="H12"/>
  <c r="I12"/>
  <c r="J12"/>
  <c r="K12"/>
  <c r="E13"/>
  <c r="L13"/>
  <c r="J13"/>
  <c r="K13"/>
  <c r="E15"/>
  <c r="E14" s="1"/>
  <c r="L15"/>
  <c r="L14" s="1"/>
  <c r="F14"/>
  <c r="G14"/>
  <c r="H14"/>
  <c r="I14"/>
  <c r="J15"/>
  <c r="K15"/>
  <c r="K14" s="1"/>
  <c r="E18"/>
  <c r="E17" s="1"/>
  <c r="L18"/>
  <c r="L17" s="1"/>
  <c r="F17"/>
  <c r="G17"/>
  <c r="H17"/>
  <c r="I17"/>
  <c r="J18"/>
  <c r="J17" s="1"/>
  <c r="K18"/>
  <c r="K17" s="1"/>
  <c r="E20"/>
  <c r="L20"/>
  <c r="F19"/>
  <c r="G19"/>
  <c r="H19"/>
  <c r="I19"/>
  <c r="J20"/>
  <c r="J19" s="1"/>
  <c r="K20"/>
  <c r="K19" s="1"/>
  <c r="D33"/>
  <c r="P32" s="1"/>
  <c r="I32"/>
  <c r="H32"/>
  <c r="G32"/>
  <c r="F32"/>
  <c r="D31"/>
  <c r="D30" s="1"/>
  <c r="I30"/>
  <c r="H30"/>
  <c r="G30"/>
  <c r="F30"/>
  <c r="M27"/>
  <c r="D28"/>
  <c r="I27"/>
  <c r="H27"/>
  <c r="G27"/>
  <c r="F27"/>
  <c r="D26"/>
  <c r="D25"/>
  <c r="D12" s="1"/>
  <c r="D24"/>
  <c r="I23"/>
  <c r="H23"/>
  <c r="G23"/>
  <c r="F23"/>
  <c r="K7"/>
  <c r="J7"/>
  <c r="E7"/>
  <c r="F581" i="2"/>
  <c r="M13" i="4" l="1"/>
  <c r="M11"/>
  <c r="M8"/>
  <c r="E19"/>
  <c r="L19"/>
  <c r="L16" s="1"/>
  <c r="L112" s="1"/>
  <c r="J14"/>
  <c r="M15"/>
  <c r="M7"/>
  <c r="F7"/>
  <c r="D8"/>
  <c r="D6" s="1"/>
  <c r="D13"/>
  <c r="P31"/>
  <c r="P33" s="1"/>
  <c r="M23"/>
  <c r="M22" s="1"/>
  <c r="I22"/>
  <c r="G22"/>
  <c r="H22"/>
  <c r="D27"/>
  <c r="D15"/>
  <c r="D14" s="1"/>
  <c r="D32"/>
  <c r="D29" s="1"/>
  <c r="D110" s="1"/>
  <c r="D111" s="1"/>
  <c r="D20"/>
  <c r="D19" s="1"/>
  <c r="D18"/>
  <c r="D17" s="1"/>
  <c r="D11"/>
  <c r="G16"/>
  <c r="J16"/>
  <c r="J112" s="1"/>
  <c r="F16"/>
  <c r="H10"/>
  <c r="E10"/>
  <c r="K16"/>
  <c r="K112" s="1"/>
  <c r="I10"/>
  <c r="L10"/>
  <c r="J10"/>
  <c r="F10"/>
  <c r="K10"/>
  <c r="G10"/>
  <c r="I16"/>
  <c r="H16"/>
  <c r="E16"/>
  <c r="E112" s="1"/>
  <c r="G29"/>
  <c r="F29"/>
  <c r="F110" s="1"/>
  <c r="F111" s="1"/>
  <c r="H29"/>
  <c r="H110" s="1"/>
  <c r="H111" s="1"/>
  <c r="F22"/>
  <c r="I29"/>
  <c r="I110" s="1"/>
  <c r="I111" s="1"/>
  <c r="I112" s="1"/>
  <c r="D23"/>
  <c r="H49"/>
  <c r="I49"/>
  <c r="G49"/>
  <c r="H96"/>
  <c r="H95" s="1"/>
  <c r="I96"/>
  <c r="I95" s="1"/>
  <c r="G96"/>
  <c r="G95" s="1"/>
  <c r="D97"/>
  <c r="D49" s="1"/>
  <c r="F261" i="3"/>
  <c r="F256"/>
  <c r="F250"/>
  <c r="F243"/>
  <c r="P88" i="4"/>
  <c r="G111" l="1"/>
  <c r="G110"/>
  <c r="D10"/>
  <c r="H112"/>
  <c r="G112"/>
  <c r="F112"/>
  <c r="D22"/>
  <c r="D16"/>
  <c r="D112" s="1"/>
  <c r="M14"/>
  <c r="E9"/>
  <c r="G9"/>
  <c r="H9"/>
  <c r="L9"/>
  <c r="D9"/>
  <c r="I9"/>
  <c r="F9"/>
  <c r="K9"/>
  <c r="M10"/>
  <c r="J9"/>
  <c r="M96"/>
  <c r="M95" s="1"/>
  <c r="D96"/>
  <c r="D95" s="1"/>
  <c r="K93"/>
  <c r="J93"/>
  <c r="I93"/>
  <c r="H93"/>
  <c r="G93"/>
  <c r="G105" s="1"/>
  <c r="M93" l="1"/>
  <c r="M48" s="1"/>
  <c r="I52"/>
  <c r="I105"/>
  <c r="H52"/>
  <c r="H105"/>
  <c r="G52"/>
  <c r="O84"/>
  <c r="M9"/>
  <c r="F83"/>
  <c r="F88"/>
  <c r="F93"/>
  <c r="D93" s="1"/>
  <c r="F105" l="1"/>
  <c r="F127" i="6" l="1"/>
  <c r="G76" i="8" l="1"/>
  <c r="G73"/>
  <c r="M73" s="1"/>
  <c r="G71"/>
  <c r="M71" s="1"/>
  <c r="F76"/>
  <c r="F73"/>
  <c r="F71"/>
  <c r="G85"/>
  <c r="F85"/>
  <c r="G82"/>
  <c r="M82" s="1"/>
  <c r="F82"/>
  <c r="G80"/>
  <c r="M80" s="1"/>
  <c r="F80"/>
  <c r="M104" i="9"/>
  <c r="D104"/>
  <c r="M103"/>
  <c r="D103"/>
  <c r="K102"/>
  <c r="J102"/>
  <c r="I102"/>
  <c r="H102"/>
  <c r="G102"/>
  <c r="F102"/>
  <c r="L102"/>
  <c r="L101" s="1"/>
  <c r="E102"/>
  <c r="E101" s="1"/>
  <c r="M100"/>
  <c r="D100"/>
  <c r="M99"/>
  <c r="D99"/>
  <c r="K98"/>
  <c r="J98"/>
  <c r="I98"/>
  <c r="H98"/>
  <c r="H97" s="1"/>
  <c r="G98"/>
  <c r="F98"/>
  <c r="F97" s="1"/>
  <c r="L98"/>
  <c r="L97" s="1"/>
  <c r="E98"/>
  <c r="E97" s="1"/>
  <c r="M91"/>
  <c r="M90"/>
  <c r="M87"/>
  <c r="M86"/>
  <c r="D91"/>
  <c r="D90"/>
  <c r="K89"/>
  <c r="J89"/>
  <c r="I89"/>
  <c r="H89"/>
  <c r="G89"/>
  <c r="F89"/>
  <c r="L89"/>
  <c r="E89"/>
  <c r="E85"/>
  <c r="L85"/>
  <c r="D87"/>
  <c r="D86"/>
  <c r="G85"/>
  <c r="H85"/>
  <c r="I85"/>
  <c r="J85"/>
  <c r="K85"/>
  <c r="F85"/>
  <c r="L107"/>
  <c r="D107" s="1"/>
  <c r="D106" s="1"/>
  <c r="D105" s="1"/>
  <c r="K106"/>
  <c r="J106"/>
  <c r="I106"/>
  <c r="H106"/>
  <c r="G106"/>
  <c r="F106"/>
  <c r="E106"/>
  <c r="E105" s="1"/>
  <c r="E9" i="7"/>
  <c r="H9"/>
  <c r="I9"/>
  <c r="I13"/>
  <c r="I8"/>
  <c r="I72"/>
  <c r="H690" i="2"/>
  <c r="I690"/>
  <c r="J690"/>
  <c r="K690"/>
  <c r="M102" i="9" l="1"/>
  <c r="M101" s="1"/>
  <c r="G97"/>
  <c r="M98"/>
  <c r="M97" s="1"/>
  <c r="M89"/>
  <c r="M85"/>
  <c r="I84"/>
  <c r="J84"/>
  <c r="K84"/>
  <c r="J105"/>
  <c r="I105"/>
  <c r="K105"/>
  <c r="L106"/>
  <c r="L105" s="1"/>
  <c r="I101"/>
  <c r="I96" s="1"/>
  <c r="H105"/>
  <c r="G101"/>
  <c r="K101"/>
  <c r="K96" s="1"/>
  <c r="J101"/>
  <c r="J96" s="1"/>
  <c r="G105"/>
  <c r="F105"/>
  <c r="I7" i="7"/>
  <c r="L96" i="9"/>
  <c r="D102"/>
  <c r="D101" s="1"/>
  <c r="D98"/>
  <c r="D97" s="1"/>
  <c r="F101"/>
  <c r="F96" s="1"/>
  <c r="H101"/>
  <c r="H96" s="1"/>
  <c r="E96"/>
  <c r="D89"/>
  <c r="D85"/>
  <c r="F81"/>
  <c r="O58"/>
  <c r="G48"/>
  <c r="F46"/>
  <c r="O46" s="1"/>
  <c r="F41"/>
  <c r="O34"/>
  <c r="G322" i="2"/>
  <c r="G319" s="1"/>
  <c r="F323"/>
  <c r="F318"/>
  <c r="G202"/>
  <c r="G199" s="1"/>
  <c r="H202"/>
  <c r="H199" s="1"/>
  <c r="I202"/>
  <c r="I199" s="1"/>
  <c r="G194"/>
  <c r="H194"/>
  <c r="I194"/>
  <c r="G197"/>
  <c r="H197"/>
  <c r="I197"/>
  <c r="G385"/>
  <c r="F385"/>
  <c r="F382"/>
  <c r="H254"/>
  <c r="H257"/>
  <c r="H262"/>
  <c r="G263"/>
  <c r="F263"/>
  <c r="G258"/>
  <c r="M258" s="1"/>
  <c r="F258"/>
  <c r="G255"/>
  <c r="G176" i="7"/>
  <c r="G178"/>
  <c r="F178"/>
  <c r="G171"/>
  <c r="M171" s="1"/>
  <c r="G190" i="2"/>
  <c r="F275"/>
  <c r="G287"/>
  <c r="F287"/>
  <c r="G212"/>
  <c r="G214"/>
  <c r="F237"/>
  <c r="F232"/>
  <c r="F179"/>
  <c r="F177"/>
  <c r="F174"/>
  <c r="F172"/>
  <c r="F171"/>
  <c r="F128" i="7"/>
  <c r="F123"/>
  <c r="F120"/>
  <c r="H30"/>
  <c r="H29" s="1"/>
  <c r="F31"/>
  <c r="F26"/>
  <c r="E8"/>
  <c r="J8"/>
  <c r="K8"/>
  <c r="D90"/>
  <c r="D89" s="1"/>
  <c r="D86" s="1"/>
  <c r="D85"/>
  <c r="D84" s="1"/>
  <c r="D83"/>
  <c r="D82"/>
  <c r="D78"/>
  <c r="D77" s="1"/>
  <c r="D74" s="1"/>
  <c r="D73"/>
  <c r="D72" s="1"/>
  <c r="D71"/>
  <c r="D70"/>
  <c r="I75"/>
  <c r="I77"/>
  <c r="I69"/>
  <c r="I68" s="1"/>
  <c r="H134" i="9"/>
  <c r="I134"/>
  <c r="J134"/>
  <c r="K134"/>
  <c r="F135"/>
  <c r="L135"/>
  <c r="F130"/>
  <c r="E16"/>
  <c r="E12"/>
  <c r="L130"/>
  <c r="G96" l="1"/>
  <c r="M255" i="2"/>
  <c r="G37"/>
  <c r="M37" s="1"/>
  <c r="G51"/>
  <c r="G187"/>
  <c r="H259"/>
  <c r="I74" i="7"/>
  <c r="D69"/>
  <c r="D68" s="1"/>
  <c r="D81"/>
  <c r="D80" s="1"/>
  <c r="H253" i="2"/>
  <c r="H193"/>
  <c r="G193"/>
  <c r="I193"/>
  <c r="I10" s="1"/>
  <c r="D96" i="9"/>
  <c r="M96"/>
  <c r="G211" i="2"/>
  <c r="E92" i="5"/>
  <c r="E91" s="1"/>
  <c r="E90" s="1"/>
  <c r="L92"/>
  <c r="L91" s="1"/>
  <c r="L90" s="1"/>
  <c r="F92"/>
  <c r="F91" s="1"/>
  <c r="F90" s="1"/>
  <c r="G92"/>
  <c r="H92"/>
  <c r="H91" s="1"/>
  <c r="H90" s="1"/>
  <c r="I92"/>
  <c r="I91" s="1"/>
  <c r="I90" s="1"/>
  <c r="J92"/>
  <c r="J91" s="1"/>
  <c r="J90" s="1"/>
  <c r="K92"/>
  <c r="K91" s="1"/>
  <c r="K90" s="1"/>
  <c r="F96"/>
  <c r="F95" s="1"/>
  <c r="F88" s="1"/>
  <c r="C49" i="1" s="1"/>
  <c r="D97" i="5"/>
  <c r="D96" s="1"/>
  <c r="D95" s="1"/>
  <c r="D88" s="1"/>
  <c r="J49" i="1" s="1"/>
  <c r="K96" i="5"/>
  <c r="K95" s="1"/>
  <c r="K88" s="1"/>
  <c r="H49" i="1" s="1"/>
  <c r="J96" i="5"/>
  <c r="J95" s="1"/>
  <c r="J88" s="1"/>
  <c r="G49" i="1" s="1"/>
  <c r="I96" i="5"/>
  <c r="I95" s="1"/>
  <c r="I88" s="1"/>
  <c r="H96"/>
  <c r="H95" s="1"/>
  <c r="H88" s="1"/>
  <c r="E49" i="1" s="1"/>
  <c r="G96" i="5"/>
  <c r="G95" s="1"/>
  <c r="G88" s="1"/>
  <c r="D49" i="1" s="1"/>
  <c r="L96" i="5"/>
  <c r="L95" s="1"/>
  <c r="L88" s="1"/>
  <c r="E96"/>
  <c r="E95" s="1"/>
  <c r="E88" s="1"/>
  <c r="B49" i="1" s="1"/>
  <c r="F252" i="3"/>
  <c r="F247"/>
  <c r="F263"/>
  <c r="F258"/>
  <c r="F186"/>
  <c r="F184"/>
  <c r="F181"/>
  <c r="F179"/>
  <c r="F178"/>
  <c r="G174"/>
  <c r="F174"/>
  <c r="G172"/>
  <c r="F172"/>
  <c r="G169"/>
  <c r="F169"/>
  <c r="G165"/>
  <c r="F165"/>
  <c r="G162"/>
  <c r="F162"/>
  <c r="I87" i="5" l="1"/>
  <c r="F49" i="1"/>
  <c r="M88" i="5"/>
  <c r="G91"/>
  <c r="G90" s="1"/>
  <c r="M92"/>
  <c r="M91" s="1"/>
  <c r="M90" s="1"/>
  <c r="K87"/>
  <c r="J87"/>
  <c r="H87"/>
  <c r="G87"/>
  <c r="F87"/>
  <c r="D87"/>
  <c r="L87"/>
  <c r="E87"/>
  <c r="D92"/>
  <c r="D91" s="1"/>
  <c r="D90" s="1"/>
  <c r="M96"/>
  <c r="M95" s="1"/>
  <c r="G176" i="6"/>
  <c r="M176" s="1"/>
  <c r="F184"/>
  <c r="F652" i="2" l="1"/>
  <c r="F660"/>
  <c r="D671" l="1"/>
  <c r="F670"/>
  <c r="F669" s="1"/>
  <c r="D669" s="1"/>
  <c r="G246" i="9"/>
  <c r="F246"/>
  <c r="G241"/>
  <c r="M241" s="1"/>
  <c r="F241"/>
  <c r="G238"/>
  <c r="M238" s="1"/>
  <c r="F238"/>
  <c r="D670" i="2" l="1"/>
  <c r="F42" i="3"/>
  <c r="H42" l="1"/>
  <c r="G42"/>
  <c r="G35"/>
  <c r="F35"/>
  <c r="F36"/>
  <c r="G29"/>
  <c r="F30"/>
  <c r="F29"/>
  <c r="F612" i="2"/>
  <c r="F608"/>
  <c r="E107" i="7" l="1"/>
  <c r="L107"/>
  <c r="H318" i="2"/>
  <c r="H317" s="1"/>
  <c r="H314"/>
  <c r="I374"/>
  <c r="I373" s="1"/>
  <c r="J374"/>
  <c r="K374"/>
  <c r="J368"/>
  <c r="K368"/>
  <c r="I432"/>
  <c r="I431" s="1"/>
  <c r="H433"/>
  <c r="G433"/>
  <c r="G430"/>
  <c r="M430" s="1"/>
  <c r="F430"/>
  <c r="H429"/>
  <c r="H427"/>
  <c r="G428"/>
  <c r="M428" s="1"/>
  <c r="F428"/>
  <c r="I423"/>
  <c r="I422" s="1"/>
  <c r="H424"/>
  <c r="G424"/>
  <c r="G421"/>
  <c r="M421" s="1"/>
  <c r="H420"/>
  <c r="H418"/>
  <c r="G419"/>
  <c r="M419" s="1"/>
  <c r="F421"/>
  <c r="F419"/>
  <c r="E418"/>
  <c r="H406"/>
  <c r="G406"/>
  <c r="E403"/>
  <c r="G403"/>
  <c r="F403"/>
  <c r="G401"/>
  <c r="F401"/>
  <c r="H396"/>
  <c r="H393" s="1"/>
  <c r="G397"/>
  <c r="F397"/>
  <c r="K367" l="1"/>
  <c r="J373"/>
  <c r="K373"/>
  <c r="I367"/>
  <c r="H313"/>
  <c r="E373"/>
  <c r="J367"/>
  <c r="H426"/>
  <c r="H417"/>
  <c r="E20" i="7"/>
  <c r="L20"/>
  <c r="H20"/>
  <c r="I20"/>
  <c r="J20"/>
  <c r="K20"/>
  <c r="E14"/>
  <c r="L14"/>
  <c r="H14"/>
  <c r="I14"/>
  <c r="J14"/>
  <c r="K14"/>
  <c r="E13"/>
  <c r="K13"/>
  <c r="G12"/>
  <c r="H12"/>
  <c r="I12"/>
  <c r="J12"/>
  <c r="K12"/>
  <c r="G103"/>
  <c r="D104"/>
  <c r="D103" s="1"/>
  <c r="J103"/>
  <c r="I103"/>
  <c r="H103"/>
  <c r="F103"/>
  <c r="L103"/>
  <c r="E103"/>
  <c r="D102"/>
  <c r="F100"/>
  <c r="J100"/>
  <c r="I100"/>
  <c r="H100"/>
  <c r="H99" s="1"/>
  <c r="L100"/>
  <c r="E100"/>
  <c r="D98"/>
  <c r="D97" s="1"/>
  <c r="M97"/>
  <c r="J97"/>
  <c r="I97"/>
  <c r="H97"/>
  <c r="G97"/>
  <c r="F97"/>
  <c r="L97"/>
  <c r="E97"/>
  <c r="D96"/>
  <c r="M93"/>
  <c r="M92" s="1"/>
  <c r="D94"/>
  <c r="K93"/>
  <c r="J93"/>
  <c r="J92" s="1"/>
  <c r="I93"/>
  <c r="I92" s="1"/>
  <c r="H93"/>
  <c r="H92" s="1"/>
  <c r="L93"/>
  <c r="E93"/>
  <c r="L92" l="1"/>
  <c r="E99"/>
  <c r="L99"/>
  <c r="J99"/>
  <c r="I99"/>
  <c r="E92"/>
  <c r="F99"/>
  <c r="G100"/>
  <c r="G99" s="1"/>
  <c r="D101"/>
  <c r="D100" s="1"/>
  <c r="D99" s="1"/>
  <c r="G93"/>
  <c r="G92" s="1"/>
  <c r="D95"/>
  <c r="D93" s="1"/>
  <c r="D92" s="1"/>
  <c r="F93"/>
  <c r="F92" s="1"/>
  <c r="E23" i="3" l="1"/>
  <c r="I23"/>
  <c r="J23"/>
  <c r="E20"/>
  <c r="L20"/>
  <c r="F20"/>
  <c r="G20"/>
  <c r="H20"/>
  <c r="I20"/>
  <c r="J20"/>
  <c r="K20"/>
  <c r="E14"/>
  <c r="L14"/>
  <c r="F14"/>
  <c r="G14"/>
  <c r="H14"/>
  <c r="I14"/>
  <c r="J14"/>
  <c r="K14"/>
  <c r="E13"/>
  <c r="L13"/>
  <c r="E111"/>
  <c r="L111"/>
  <c r="F111"/>
  <c r="G111"/>
  <c r="H111"/>
  <c r="I111"/>
  <c r="J111"/>
  <c r="K111"/>
  <c r="D114"/>
  <c r="D14" s="1"/>
  <c r="D121"/>
  <c r="D120" s="1"/>
  <c r="K120"/>
  <c r="J120"/>
  <c r="I120"/>
  <c r="H120"/>
  <c r="G120"/>
  <c r="F120"/>
  <c r="L120"/>
  <c r="E120"/>
  <c r="D119"/>
  <c r="D118" s="1"/>
  <c r="K118"/>
  <c r="J118"/>
  <c r="I118"/>
  <c r="H118"/>
  <c r="G118"/>
  <c r="F118"/>
  <c r="L118"/>
  <c r="E118"/>
  <c r="M115"/>
  <c r="L115"/>
  <c r="K115"/>
  <c r="J115"/>
  <c r="I115"/>
  <c r="H115"/>
  <c r="G115"/>
  <c r="F115"/>
  <c r="E115"/>
  <c r="D113"/>
  <c r="D112"/>
  <c r="I117" l="1"/>
  <c r="D111"/>
  <c r="K110"/>
  <c r="G110"/>
  <c r="H110"/>
  <c r="E110"/>
  <c r="I110"/>
  <c r="L110"/>
  <c r="J110"/>
  <c r="F110"/>
  <c r="J117"/>
  <c r="K117"/>
  <c r="G117"/>
  <c r="F117"/>
  <c r="L117"/>
  <c r="M111"/>
  <c r="M110" s="1"/>
  <c r="D116"/>
  <c r="D115" s="1"/>
  <c r="E117"/>
  <c r="H117"/>
  <c r="D117"/>
  <c r="D110" l="1"/>
  <c r="M200" i="9"/>
  <c r="F14" i="5"/>
  <c r="F663" i="2" l="1"/>
  <c r="F662" s="1"/>
  <c r="F690" s="1"/>
  <c r="K21" i="5" l="1"/>
  <c r="K20" s="1"/>
  <c r="J21"/>
  <c r="J20" s="1"/>
  <c r="I21"/>
  <c r="I20" s="1"/>
  <c r="H21"/>
  <c r="H20" s="1"/>
  <c r="G21"/>
  <c r="G20" s="1"/>
  <c r="F21"/>
  <c r="F20" s="1"/>
  <c r="L21"/>
  <c r="L20" s="1"/>
  <c r="E21"/>
  <c r="E20" s="1"/>
  <c r="K17"/>
  <c r="J17"/>
  <c r="I17"/>
  <c r="H17"/>
  <c r="G17"/>
  <c r="F17"/>
  <c r="L17"/>
  <c r="E17"/>
  <c r="K15"/>
  <c r="J15"/>
  <c r="I15"/>
  <c r="H15"/>
  <c r="G15"/>
  <c r="F15"/>
  <c r="F13" s="1"/>
  <c r="L15"/>
  <c r="E15"/>
  <c r="M79"/>
  <c r="M77"/>
  <c r="K84"/>
  <c r="K23" s="1"/>
  <c r="J84"/>
  <c r="J23" s="1"/>
  <c r="I84"/>
  <c r="H84"/>
  <c r="G84"/>
  <c r="F84"/>
  <c r="L84"/>
  <c r="E84"/>
  <c r="K82"/>
  <c r="J82"/>
  <c r="J81" s="1"/>
  <c r="I82"/>
  <c r="I81" s="1"/>
  <c r="H82"/>
  <c r="H81" s="1"/>
  <c r="G82"/>
  <c r="F82"/>
  <c r="F81" s="1"/>
  <c r="L82"/>
  <c r="E82"/>
  <c r="K79"/>
  <c r="J79"/>
  <c r="I79"/>
  <c r="H79"/>
  <c r="G79"/>
  <c r="F79"/>
  <c r="L79"/>
  <c r="E79"/>
  <c r="K77"/>
  <c r="J77"/>
  <c r="I77"/>
  <c r="H77"/>
  <c r="G77"/>
  <c r="F77"/>
  <c r="L77"/>
  <c r="E77"/>
  <c r="D85"/>
  <c r="D84" s="1"/>
  <c r="D23" s="1"/>
  <c r="D83"/>
  <c r="D82" s="1"/>
  <c r="D80"/>
  <c r="D79" s="1"/>
  <c r="D78"/>
  <c r="G13" i="8"/>
  <c r="K102"/>
  <c r="J102"/>
  <c r="I102"/>
  <c r="K99"/>
  <c r="J99"/>
  <c r="I99"/>
  <c r="K97"/>
  <c r="J97"/>
  <c r="I97"/>
  <c r="E29"/>
  <c r="E18"/>
  <c r="K13"/>
  <c r="J13"/>
  <c r="I13"/>
  <c r="H13"/>
  <c r="E13"/>
  <c r="L103"/>
  <c r="H102"/>
  <c r="G102"/>
  <c r="F102"/>
  <c r="E102"/>
  <c r="M99"/>
  <c r="L100"/>
  <c r="H99"/>
  <c r="G99"/>
  <c r="F99"/>
  <c r="L99"/>
  <c r="E99"/>
  <c r="M97"/>
  <c r="L98"/>
  <c r="L97" s="1"/>
  <c r="H97"/>
  <c r="G97"/>
  <c r="F97"/>
  <c r="E97"/>
  <c r="H93"/>
  <c r="H92" s="1"/>
  <c r="H90"/>
  <c r="H88"/>
  <c r="L94"/>
  <c r="L93" s="1"/>
  <c r="L92" s="1"/>
  <c r="G93"/>
  <c r="G92" s="1"/>
  <c r="F93"/>
  <c r="F92" s="1"/>
  <c r="E93"/>
  <c r="E92" s="1"/>
  <c r="M90"/>
  <c r="L91"/>
  <c r="G90"/>
  <c r="F90"/>
  <c r="E90"/>
  <c r="M88"/>
  <c r="L89"/>
  <c r="G88"/>
  <c r="F88"/>
  <c r="E88"/>
  <c r="K81" i="5" l="1"/>
  <c r="G81"/>
  <c r="M15"/>
  <c r="M17"/>
  <c r="H101" i="8"/>
  <c r="F101"/>
  <c r="K101"/>
  <c r="E101"/>
  <c r="J101"/>
  <c r="I101"/>
  <c r="D98"/>
  <c r="D97" s="1"/>
  <c r="G101"/>
  <c r="K96"/>
  <c r="E23" i="5"/>
  <c r="F23"/>
  <c r="H23"/>
  <c r="L23"/>
  <c r="G23"/>
  <c r="I23"/>
  <c r="H96" i="8"/>
  <c r="E96"/>
  <c r="I96"/>
  <c r="E87"/>
  <c r="L96"/>
  <c r="G96"/>
  <c r="D103"/>
  <c r="D102" s="1"/>
  <c r="D101" s="1"/>
  <c r="J96"/>
  <c r="D77" i="5"/>
  <c r="D76" s="1"/>
  <c r="D15"/>
  <c r="E76"/>
  <c r="F76"/>
  <c r="H76"/>
  <c r="L88" i="8"/>
  <c r="D91"/>
  <c r="D90" s="1"/>
  <c r="D94"/>
  <c r="D93" s="1"/>
  <c r="D92" s="1"/>
  <c r="F96"/>
  <c r="D100"/>
  <c r="D99" s="1"/>
  <c r="L76" i="5"/>
  <c r="G76"/>
  <c r="I76"/>
  <c r="K76"/>
  <c r="M87" i="8"/>
  <c r="L90"/>
  <c r="G87"/>
  <c r="D89"/>
  <c r="D88" s="1"/>
  <c r="H87"/>
  <c r="D21" i="5"/>
  <c r="D20" s="1"/>
  <c r="J76"/>
  <c r="M76"/>
  <c r="D17"/>
  <c r="L81"/>
  <c r="D81"/>
  <c r="E81"/>
  <c r="M96" i="8"/>
  <c r="L102"/>
  <c r="F87"/>
  <c r="E47" i="13"/>
  <c r="E46" s="1"/>
  <c r="G284" i="2"/>
  <c r="G286"/>
  <c r="L286"/>
  <c r="E286"/>
  <c r="D285"/>
  <c r="D284" s="1"/>
  <c r="F284"/>
  <c r="L284"/>
  <c r="E284"/>
  <c r="M281"/>
  <c r="D282"/>
  <c r="D281" s="1"/>
  <c r="G281"/>
  <c r="F281"/>
  <c r="L281"/>
  <c r="E281"/>
  <c r="M280"/>
  <c r="D280"/>
  <c r="M278"/>
  <c r="D279"/>
  <c r="G278"/>
  <c r="F278"/>
  <c r="L278"/>
  <c r="E278"/>
  <c r="D96" i="8" l="1"/>
  <c r="L101"/>
  <c r="D87"/>
  <c r="L87"/>
  <c r="D287" i="2"/>
  <c r="D286" s="1"/>
  <c r="D283" s="1"/>
  <c r="G277"/>
  <c r="G283"/>
  <c r="F286"/>
  <c r="F283" s="1"/>
  <c r="D278"/>
  <c r="D277" s="1"/>
  <c r="E277"/>
  <c r="F277"/>
  <c r="L283"/>
  <c r="E283"/>
  <c r="M277"/>
  <c r="L277"/>
  <c r="L46"/>
  <c r="F46"/>
  <c r="G46"/>
  <c r="H46"/>
  <c r="I46"/>
  <c r="J46"/>
  <c r="K46"/>
  <c r="E46"/>
  <c r="E50"/>
  <c r="L50"/>
  <c r="F50"/>
  <c r="G50"/>
  <c r="H50"/>
  <c r="I50"/>
  <c r="J50"/>
  <c r="K50"/>
  <c r="E39"/>
  <c r="L39"/>
  <c r="F39"/>
  <c r="G39"/>
  <c r="H39"/>
  <c r="I39"/>
  <c r="J39"/>
  <c r="K39"/>
  <c r="G55" i="8"/>
  <c r="G29" s="1"/>
  <c r="H55"/>
  <c r="H29" s="1"/>
  <c r="I55"/>
  <c r="I29" s="1"/>
  <c r="J55"/>
  <c r="J29" s="1"/>
  <c r="K29"/>
  <c r="I145"/>
  <c r="J145"/>
  <c r="K145"/>
  <c r="E23"/>
  <c r="E14"/>
  <c r="K59"/>
  <c r="E59"/>
  <c r="L59"/>
  <c r="F59"/>
  <c r="G59"/>
  <c r="H59"/>
  <c r="I59"/>
  <c r="J59"/>
  <c r="I280" i="3"/>
  <c r="H280"/>
  <c r="K280"/>
  <c r="J280"/>
  <c r="L280"/>
  <c r="E280"/>
  <c r="D279"/>
  <c r="D278" s="1"/>
  <c r="K278"/>
  <c r="J278"/>
  <c r="I278"/>
  <c r="H278"/>
  <c r="G278"/>
  <c r="F278"/>
  <c r="L278"/>
  <c r="E278"/>
  <c r="M276"/>
  <c r="D276"/>
  <c r="M275"/>
  <c r="D275"/>
  <c r="K274"/>
  <c r="J274"/>
  <c r="I274"/>
  <c r="H274"/>
  <c r="G274"/>
  <c r="F274"/>
  <c r="L273"/>
  <c r="E273"/>
  <c r="M272"/>
  <c r="D272"/>
  <c r="M271"/>
  <c r="D271"/>
  <c r="K270"/>
  <c r="J270"/>
  <c r="I270"/>
  <c r="H270"/>
  <c r="G270"/>
  <c r="F270"/>
  <c r="M269"/>
  <c r="D269"/>
  <c r="M268"/>
  <c r="D268"/>
  <c r="K267"/>
  <c r="J267"/>
  <c r="I267"/>
  <c r="H267"/>
  <c r="G267"/>
  <c r="F267"/>
  <c r="L266"/>
  <c r="E266"/>
  <c r="K66" i="8"/>
  <c r="J66"/>
  <c r="I66"/>
  <c r="H66"/>
  <c r="G66"/>
  <c r="F66"/>
  <c r="L66"/>
  <c r="E66"/>
  <c r="K64"/>
  <c r="J64"/>
  <c r="I64"/>
  <c r="H64"/>
  <c r="G64"/>
  <c r="F64"/>
  <c r="L64"/>
  <c r="E64"/>
  <c r="K61"/>
  <c r="J61"/>
  <c r="I61"/>
  <c r="H61"/>
  <c r="G61"/>
  <c r="L61"/>
  <c r="E61"/>
  <c r="M270" i="3" l="1"/>
  <c r="M274"/>
  <c r="M39" i="2"/>
  <c r="H273" i="3"/>
  <c r="J273"/>
  <c r="L265"/>
  <c r="G273"/>
  <c r="I273"/>
  <c r="K273"/>
  <c r="F273"/>
  <c r="J266"/>
  <c r="D55" i="8"/>
  <c r="K277" i="3"/>
  <c r="J277"/>
  <c r="L277"/>
  <c r="E277"/>
  <c r="E265"/>
  <c r="G266"/>
  <c r="K266"/>
  <c r="I277"/>
  <c r="G280"/>
  <c r="H277"/>
  <c r="D274"/>
  <c r="F266"/>
  <c r="I266"/>
  <c r="H266"/>
  <c r="D270"/>
  <c r="O271" s="1"/>
  <c r="D267"/>
  <c r="M267"/>
  <c r="M273"/>
  <c r="D62" i="8"/>
  <c r="D61" s="1"/>
  <c r="L63"/>
  <c r="G58"/>
  <c r="I63"/>
  <c r="I58"/>
  <c r="D65"/>
  <c r="F63"/>
  <c r="J63"/>
  <c r="J58"/>
  <c r="K58"/>
  <c r="D67"/>
  <c r="D66" s="1"/>
  <c r="M61"/>
  <c r="E63"/>
  <c r="H63"/>
  <c r="E58"/>
  <c r="F61"/>
  <c r="G63"/>
  <c r="K63"/>
  <c r="H58"/>
  <c r="M59"/>
  <c r="D60"/>
  <c r="D59" s="1"/>
  <c r="L58"/>
  <c r="G43" i="13"/>
  <c r="G38"/>
  <c r="M38" s="1"/>
  <c r="G40"/>
  <c r="M40" s="1"/>
  <c r="I43"/>
  <c r="H43"/>
  <c r="G29"/>
  <c r="M29" s="1"/>
  <c r="G31"/>
  <c r="M31" s="1"/>
  <c r="H34"/>
  <c r="G34"/>
  <c r="G41" i="5"/>
  <c r="M41" s="1"/>
  <c r="F46"/>
  <c r="D65" i="13"/>
  <c r="F70"/>
  <c r="F72"/>
  <c r="I59"/>
  <c r="H59"/>
  <c r="G59"/>
  <c r="F59"/>
  <c r="I61"/>
  <c r="H61"/>
  <c r="G61"/>
  <c r="F61"/>
  <c r="F56"/>
  <c r="E53"/>
  <c r="E18" s="1"/>
  <c r="H55"/>
  <c r="G55"/>
  <c r="F55"/>
  <c r="F51"/>
  <c r="F50"/>
  <c r="H49"/>
  <c r="G49"/>
  <c r="F49"/>
  <c r="G25" l="1"/>
  <c r="L13"/>
  <c r="I25"/>
  <c r="L25"/>
  <c r="F25"/>
  <c r="H25"/>
  <c r="G13"/>
  <c r="M13" s="1"/>
  <c r="G265" i="3"/>
  <c r="H265"/>
  <c r="I265"/>
  <c r="G277"/>
  <c r="K265"/>
  <c r="J265"/>
  <c r="F265"/>
  <c r="D266"/>
  <c r="D64" i="8"/>
  <c r="D63" s="1"/>
  <c r="D273" i="3"/>
  <c r="D281"/>
  <c r="D280" s="1"/>
  <c r="D277" s="1"/>
  <c r="F280"/>
  <c r="M266"/>
  <c r="M265" s="1"/>
  <c r="M58" i="8"/>
  <c r="F58"/>
  <c r="D58"/>
  <c r="F277" i="3" l="1"/>
  <c r="D265"/>
  <c r="O273"/>
  <c r="L72" i="1" l="1"/>
  <c r="D235" i="3"/>
  <c r="I682" i="2"/>
  <c r="J682"/>
  <c r="K682"/>
  <c r="D263" i="3" l="1"/>
  <c r="D262" s="1"/>
  <c r="K262"/>
  <c r="J262"/>
  <c r="I262"/>
  <c r="H262"/>
  <c r="G262"/>
  <c r="F262"/>
  <c r="L262"/>
  <c r="E262"/>
  <c r="D261"/>
  <c r="D260" s="1"/>
  <c r="K260"/>
  <c r="J260"/>
  <c r="I260"/>
  <c r="H260"/>
  <c r="G260"/>
  <c r="F260"/>
  <c r="L260"/>
  <c r="E260"/>
  <c r="K257"/>
  <c r="J257"/>
  <c r="I257"/>
  <c r="H257"/>
  <c r="G257"/>
  <c r="L257"/>
  <c r="E257"/>
  <c r="K255"/>
  <c r="J255"/>
  <c r="I255"/>
  <c r="H255"/>
  <c r="G255"/>
  <c r="L255"/>
  <c r="E255"/>
  <c r="D252"/>
  <c r="D251" s="1"/>
  <c r="K251"/>
  <c r="J251"/>
  <c r="I251"/>
  <c r="H251"/>
  <c r="G251"/>
  <c r="F251"/>
  <c r="L251"/>
  <c r="E251"/>
  <c r="D250"/>
  <c r="D249" s="1"/>
  <c r="K249"/>
  <c r="J249"/>
  <c r="I249"/>
  <c r="H249"/>
  <c r="G249"/>
  <c r="F249"/>
  <c r="L249"/>
  <c r="E249"/>
  <c r="M247"/>
  <c r="D247"/>
  <c r="M246"/>
  <c r="D246"/>
  <c r="K245"/>
  <c r="K244" s="1"/>
  <c r="J245"/>
  <c r="J244" s="1"/>
  <c r="I245"/>
  <c r="I244" s="1"/>
  <c r="H245"/>
  <c r="H244" s="1"/>
  <c r="G245"/>
  <c r="F245"/>
  <c r="F244" s="1"/>
  <c r="L244"/>
  <c r="E244"/>
  <c r="M243"/>
  <c r="D243"/>
  <c r="M242"/>
  <c r="D242"/>
  <c r="K241"/>
  <c r="K240" s="1"/>
  <c r="J241"/>
  <c r="J240" s="1"/>
  <c r="I241"/>
  <c r="I240" s="1"/>
  <c r="H241"/>
  <c r="H240" s="1"/>
  <c r="G241"/>
  <c r="F241"/>
  <c r="L240"/>
  <c r="E240"/>
  <c r="D237"/>
  <c r="D236" s="1"/>
  <c r="K236"/>
  <c r="J236"/>
  <c r="I236"/>
  <c r="H236"/>
  <c r="G236"/>
  <c r="F236"/>
  <c r="L236"/>
  <c r="E236"/>
  <c r="K234"/>
  <c r="J234"/>
  <c r="I234"/>
  <c r="H234"/>
  <c r="G234"/>
  <c r="F234"/>
  <c r="L234"/>
  <c r="E234"/>
  <c r="M232"/>
  <c r="D232"/>
  <c r="M231"/>
  <c r="D231"/>
  <c r="K230"/>
  <c r="K229" s="1"/>
  <c r="J230"/>
  <c r="J229" s="1"/>
  <c r="I230"/>
  <c r="I229" s="1"/>
  <c r="H230"/>
  <c r="H229" s="1"/>
  <c r="G230"/>
  <c r="F230"/>
  <c r="L229"/>
  <c r="E229"/>
  <c r="M228"/>
  <c r="D228"/>
  <c r="M227"/>
  <c r="D227"/>
  <c r="K226"/>
  <c r="J226"/>
  <c r="I226"/>
  <c r="H226"/>
  <c r="G226"/>
  <c r="F226"/>
  <c r="M225"/>
  <c r="D225"/>
  <c r="M224"/>
  <c r="D224"/>
  <c r="K223"/>
  <c r="J223"/>
  <c r="I223"/>
  <c r="H223"/>
  <c r="G223"/>
  <c r="F223"/>
  <c r="L222"/>
  <c r="E222"/>
  <c r="E22"/>
  <c r="J22"/>
  <c r="K22"/>
  <c r="E21" i="9"/>
  <c r="L21"/>
  <c r="F21"/>
  <c r="G21"/>
  <c r="H21"/>
  <c r="I21"/>
  <c r="J21"/>
  <c r="K21"/>
  <c r="E14"/>
  <c r="L14"/>
  <c r="F14"/>
  <c r="G14"/>
  <c r="H14"/>
  <c r="I14"/>
  <c r="J14"/>
  <c r="K14"/>
  <c r="M226" i="3" l="1"/>
  <c r="M223"/>
  <c r="G240"/>
  <c r="M241"/>
  <c r="G244"/>
  <c r="M245"/>
  <c r="G229"/>
  <c r="M230"/>
  <c r="D230"/>
  <c r="D234"/>
  <c r="D233" s="1"/>
  <c r="G259"/>
  <c r="K259"/>
  <c r="I259"/>
  <c r="E239"/>
  <c r="L233"/>
  <c r="I233"/>
  <c r="L221"/>
  <c r="L248"/>
  <c r="I248"/>
  <c r="E221"/>
  <c r="G233"/>
  <c r="F248"/>
  <c r="J248"/>
  <c r="L254"/>
  <c r="D248"/>
  <c r="G248"/>
  <c r="K248"/>
  <c r="E259"/>
  <c r="H259"/>
  <c r="J222"/>
  <c r="K233"/>
  <c r="F259"/>
  <c r="J259"/>
  <c r="J254"/>
  <c r="L259"/>
  <c r="K222"/>
  <c r="F233"/>
  <c r="J233"/>
  <c r="H239"/>
  <c r="E248"/>
  <c r="E254"/>
  <c r="G254"/>
  <c r="K254"/>
  <c r="L239"/>
  <c r="M255"/>
  <c r="E233"/>
  <c r="H233"/>
  <c r="D241"/>
  <c r="F255"/>
  <c r="D256"/>
  <c r="D255" s="1"/>
  <c r="I254"/>
  <c r="H254"/>
  <c r="D259"/>
  <c r="F257"/>
  <c r="D258"/>
  <c r="D257" s="1"/>
  <c r="M257"/>
  <c r="H248"/>
  <c r="J239"/>
  <c r="I239"/>
  <c r="D245"/>
  <c r="D244" s="1"/>
  <c r="O244" s="1"/>
  <c r="K239"/>
  <c r="M240"/>
  <c r="M244"/>
  <c r="F240"/>
  <c r="I222"/>
  <c r="H222"/>
  <c r="G222"/>
  <c r="D226"/>
  <c r="O226" s="1"/>
  <c r="F222"/>
  <c r="D223"/>
  <c r="F229"/>
  <c r="D229"/>
  <c r="O229" s="1"/>
  <c r="M229"/>
  <c r="D114" i="7"/>
  <c r="D113" s="1"/>
  <c r="D116"/>
  <c r="D115" s="1"/>
  <c r="E113"/>
  <c r="E115"/>
  <c r="E110"/>
  <c r="E106" s="1"/>
  <c r="D111"/>
  <c r="D110" s="1"/>
  <c r="D108"/>
  <c r="D109"/>
  <c r="G239" i="3" l="1"/>
  <c r="D107" i="7"/>
  <c r="D106" s="1"/>
  <c r="E112"/>
  <c r="H221" i="3"/>
  <c r="F239"/>
  <c r="G221"/>
  <c r="I221"/>
  <c r="K221"/>
  <c r="J221"/>
  <c r="D112" i="7"/>
  <c r="D240" i="3"/>
  <c r="D239" s="1"/>
  <c r="O241"/>
  <c r="F254"/>
  <c r="D254"/>
  <c r="M254"/>
  <c r="M239"/>
  <c r="F221"/>
  <c r="D222"/>
  <c r="D221" s="1"/>
  <c r="M222"/>
  <c r="M221" s="1"/>
  <c r="F415" i="2"/>
  <c r="F412"/>
  <c r="F410"/>
  <c r="G400"/>
  <c r="G402"/>
  <c r="H405"/>
  <c r="H404" s="1"/>
  <c r="F406"/>
  <c r="G391"/>
  <c r="G388"/>
  <c r="G384"/>
  <c r="I63" i="7"/>
  <c r="I65"/>
  <c r="D66"/>
  <c r="D65" s="1"/>
  <c r="D64"/>
  <c r="D63" s="1"/>
  <c r="D61"/>
  <c r="D60" s="1"/>
  <c r="D59"/>
  <c r="D58"/>
  <c r="I60"/>
  <c r="I57"/>
  <c r="F96" i="3"/>
  <c r="F91"/>
  <c r="F88"/>
  <c r="G69"/>
  <c r="H69"/>
  <c r="I69"/>
  <c r="J69"/>
  <c r="K69"/>
  <c r="I71"/>
  <c r="J71"/>
  <c r="K71"/>
  <c r="H72"/>
  <c r="G72"/>
  <c r="F72"/>
  <c r="I63"/>
  <c r="J63"/>
  <c r="K63"/>
  <c r="I66"/>
  <c r="J66"/>
  <c r="K66"/>
  <c r="H67"/>
  <c r="G67"/>
  <c r="M67" s="1"/>
  <c r="F67"/>
  <c r="H64"/>
  <c r="F64"/>
  <c r="G64"/>
  <c r="M64" s="1"/>
  <c r="I49" i="2"/>
  <c r="J49"/>
  <c r="K49"/>
  <c r="H274"/>
  <c r="H269"/>
  <c r="H266"/>
  <c r="D275"/>
  <c r="D274" s="1"/>
  <c r="G274"/>
  <c r="F274"/>
  <c r="L274"/>
  <c r="E274"/>
  <c r="D273"/>
  <c r="F272"/>
  <c r="L272"/>
  <c r="E272"/>
  <c r="E271" s="1"/>
  <c r="D272"/>
  <c r="M269"/>
  <c r="D270"/>
  <c r="D269" s="1"/>
  <c r="G269"/>
  <c r="F269"/>
  <c r="L269"/>
  <c r="E269"/>
  <c r="M268"/>
  <c r="D268"/>
  <c r="M266"/>
  <c r="G266"/>
  <c r="F266"/>
  <c r="L266"/>
  <c r="E266"/>
  <c r="G318"/>
  <c r="G314"/>
  <c r="E225"/>
  <c r="G42" l="1"/>
  <c r="M318"/>
  <c r="L271"/>
  <c r="G317"/>
  <c r="G313" s="1"/>
  <c r="G271"/>
  <c r="D57" i="7"/>
  <c r="D56" s="1"/>
  <c r="I62"/>
  <c r="L265" i="2"/>
  <c r="G399"/>
  <c r="E265"/>
  <c r="G265"/>
  <c r="H265"/>
  <c r="H271"/>
  <c r="G387"/>
  <c r="G383"/>
  <c r="F271"/>
  <c r="F265"/>
  <c r="D62" i="7"/>
  <c r="O239" i="3"/>
  <c r="K62"/>
  <c r="I68"/>
  <c r="J68"/>
  <c r="I62"/>
  <c r="K68"/>
  <c r="J62"/>
  <c r="I56" i="7"/>
  <c r="M265" i="2"/>
  <c r="D271"/>
  <c r="D267"/>
  <c r="D266" s="1"/>
  <c r="D265" s="1"/>
  <c r="G49" l="1"/>
  <c r="E15" i="9"/>
  <c r="E13"/>
  <c r="L13"/>
  <c r="F13"/>
  <c r="G13"/>
  <c r="H13"/>
  <c r="I13"/>
  <c r="J13"/>
  <c r="D241"/>
  <c r="D239"/>
  <c r="D238"/>
  <c r="D246"/>
  <c r="F358" i="2"/>
  <c r="E360"/>
  <c r="L360"/>
  <c r="F360"/>
  <c r="E352"/>
  <c r="L352"/>
  <c r="F352"/>
  <c r="E355"/>
  <c r="L355"/>
  <c r="F355"/>
  <c r="F349"/>
  <c r="E40"/>
  <c r="G40"/>
  <c r="I40"/>
  <c r="J40"/>
  <c r="K40"/>
  <c r="E48"/>
  <c r="G48"/>
  <c r="H48"/>
  <c r="I48"/>
  <c r="J48"/>
  <c r="K48"/>
  <c r="F343"/>
  <c r="F42" s="1"/>
  <c r="F339"/>
  <c r="F37" s="1"/>
  <c r="F357" l="1"/>
  <c r="E351"/>
  <c r="E11" i="9"/>
  <c r="F351" i="2"/>
  <c r="L351"/>
  <c r="M352"/>
  <c r="I16" i="3"/>
  <c r="J16"/>
  <c r="K16"/>
  <c r="E19"/>
  <c r="L19"/>
  <c r="F19"/>
  <c r="G19"/>
  <c r="H19"/>
  <c r="I19"/>
  <c r="J19"/>
  <c r="K19"/>
  <c r="J21"/>
  <c r="E207"/>
  <c r="L207"/>
  <c r="D219"/>
  <c r="D218" s="1"/>
  <c r="K218"/>
  <c r="J218"/>
  <c r="I218"/>
  <c r="H218"/>
  <c r="G218"/>
  <c r="F218"/>
  <c r="L218"/>
  <c r="E218"/>
  <c r="D217"/>
  <c r="D216" s="1"/>
  <c r="K216"/>
  <c r="J216"/>
  <c r="I216"/>
  <c r="H216"/>
  <c r="G216"/>
  <c r="F216"/>
  <c r="L216"/>
  <c r="E216"/>
  <c r="M214"/>
  <c r="D214"/>
  <c r="M213"/>
  <c r="D213"/>
  <c r="K212"/>
  <c r="K211" s="1"/>
  <c r="J212"/>
  <c r="J211" s="1"/>
  <c r="I212"/>
  <c r="I211" s="1"/>
  <c r="H212"/>
  <c r="H211" s="1"/>
  <c r="G212"/>
  <c r="F212"/>
  <c r="F211" s="1"/>
  <c r="L211"/>
  <c r="E211"/>
  <c r="M210"/>
  <c r="D210"/>
  <c r="M209"/>
  <c r="D209"/>
  <c r="K208"/>
  <c r="K207" s="1"/>
  <c r="J208"/>
  <c r="J207" s="1"/>
  <c r="I208"/>
  <c r="I207" s="1"/>
  <c r="H208"/>
  <c r="H207" s="1"/>
  <c r="G208"/>
  <c r="F208"/>
  <c r="F207" s="1"/>
  <c r="F193"/>
  <c r="G193"/>
  <c r="D191"/>
  <c r="D192"/>
  <c r="D194"/>
  <c r="D195"/>
  <c r="D204"/>
  <c r="D203" s="1"/>
  <c r="K203"/>
  <c r="J203"/>
  <c r="I203"/>
  <c r="H203"/>
  <c r="G203"/>
  <c r="F203"/>
  <c r="L203"/>
  <c r="E203"/>
  <c r="D202"/>
  <c r="D201" s="1"/>
  <c r="K201"/>
  <c r="J201"/>
  <c r="I201"/>
  <c r="H201"/>
  <c r="G201"/>
  <c r="F201"/>
  <c r="L201"/>
  <c r="E201"/>
  <c r="M199"/>
  <c r="D199"/>
  <c r="M198"/>
  <c r="D198"/>
  <c r="K197"/>
  <c r="K196" s="1"/>
  <c r="J197"/>
  <c r="J196" s="1"/>
  <c r="I197"/>
  <c r="I196" s="1"/>
  <c r="H197"/>
  <c r="H196" s="1"/>
  <c r="G197"/>
  <c r="F197"/>
  <c r="F196" s="1"/>
  <c r="L196"/>
  <c r="E196"/>
  <c r="M195"/>
  <c r="M194"/>
  <c r="K193"/>
  <c r="J193"/>
  <c r="I193"/>
  <c r="H193"/>
  <c r="M192"/>
  <c r="M191"/>
  <c r="K190"/>
  <c r="J190"/>
  <c r="I190"/>
  <c r="H190"/>
  <c r="G190"/>
  <c r="F190"/>
  <c r="L189"/>
  <c r="E189"/>
  <c r="L76" i="8"/>
  <c r="L85"/>
  <c r="L82"/>
  <c r="L80"/>
  <c r="M193" i="3" l="1"/>
  <c r="G207"/>
  <c r="M208"/>
  <c r="M207" s="1"/>
  <c r="G211"/>
  <c r="M212"/>
  <c r="M211" s="1"/>
  <c r="G196"/>
  <c r="M197"/>
  <c r="M196" s="1"/>
  <c r="M190"/>
  <c r="L29" i="8"/>
  <c r="F29"/>
  <c r="L188" i="3"/>
  <c r="E188"/>
  <c r="J200"/>
  <c r="I189"/>
  <c r="F215"/>
  <c r="E21"/>
  <c r="E18" s="1"/>
  <c r="E215"/>
  <c r="E200"/>
  <c r="H200"/>
  <c r="L358" i="2"/>
  <c r="L357" s="1"/>
  <c r="E358"/>
  <c r="E357" s="1"/>
  <c r="K200" i="3"/>
  <c r="F200"/>
  <c r="K215"/>
  <c r="L206"/>
  <c r="J18"/>
  <c r="J206"/>
  <c r="D212"/>
  <c r="G215"/>
  <c r="H206"/>
  <c r="H189"/>
  <c r="J189"/>
  <c r="E206"/>
  <c r="D208"/>
  <c r="D207" s="1"/>
  <c r="J215"/>
  <c r="K189"/>
  <c r="K188" s="1"/>
  <c r="L200"/>
  <c r="I200"/>
  <c r="F206"/>
  <c r="L215"/>
  <c r="I215"/>
  <c r="D215"/>
  <c r="H215"/>
  <c r="K206"/>
  <c r="I206"/>
  <c r="D197"/>
  <c r="D196" s="1"/>
  <c r="F189"/>
  <c r="D200"/>
  <c r="G200"/>
  <c r="D193"/>
  <c r="D190"/>
  <c r="G189"/>
  <c r="F71" i="5"/>
  <c r="D147" i="9"/>
  <c r="G145"/>
  <c r="M145" s="1"/>
  <c r="F145"/>
  <c r="D146"/>
  <c r="D143"/>
  <c r="G141"/>
  <c r="M141" s="1"/>
  <c r="F141"/>
  <c r="D142"/>
  <c r="F212"/>
  <c r="F209"/>
  <c r="F207"/>
  <c r="G203"/>
  <c r="M199"/>
  <c r="L194"/>
  <c r="K136" i="6"/>
  <c r="G132"/>
  <c r="K128"/>
  <c r="J128"/>
  <c r="I128"/>
  <c r="H128"/>
  <c r="F128"/>
  <c r="G122"/>
  <c r="G108"/>
  <c r="G206" i="3" l="1"/>
  <c r="L141" i="9"/>
  <c r="G188" i="3"/>
  <c r="J188"/>
  <c r="F188"/>
  <c r="H188"/>
  <c r="I188"/>
  <c r="D211"/>
  <c r="D206" s="1"/>
  <c r="O212"/>
  <c r="O208"/>
  <c r="M206"/>
  <c r="D189"/>
  <c r="D188" s="1"/>
  <c r="M189"/>
  <c r="M188" s="1"/>
  <c r="L145" i="9"/>
  <c r="I108" i="6"/>
  <c r="I100"/>
  <c r="G113"/>
  <c r="G103"/>
  <c r="G100"/>
  <c r="K117"/>
  <c r="G110"/>
  <c r="G112"/>
  <c r="K109"/>
  <c r="J109"/>
  <c r="I109"/>
  <c r="G109"/>
  <c r="G565" i="2" l="1"/>
  <c r="M565" s="1"/>
  <c r="F222" i="9"/>
  <c r="F221"/>
  <c r="F218"/>
  <c r="F217"/>
  <c r="F131" i="3"/>
  <c r="F130"/>
  <c r="F127"/>
  <c r="F126"/>
  <c r="F169" i="9"/>
  <c r="F165"/>
  <c r="G169"/>
  <c r="G167" s="1"/>
  <c r="M167" s="1"/>
  <c r="G165"/>
  <c r="G163" s="1"/>
  <c r="M163" s="1"/>
  <c r="G243" i="6"/>
  <c r="H156" i="3"/>
  <c r="G156"/>
  <c r="G23" s="1"/>
  <c r="G152"/>
  <c r="F152"/>
  <c r="H151"/>
  <c r="G151"/>
  <c r="F151"/>
  <c r="H146"/>
  <c r="H23" s="1"/>
  <c r="F23"/>
  <c r="F143"/>
  <c r="L142"/>
  <c r="M169" i="9" l="1"/>
  <c r="F167"/>
  <c r="M165"/>
  <c r="F163"/>
  <c r="F12" i="7"/>
  <c r="F121"/>
  <c r="L12"/>
  <c r="L163" i="9"/>
  <c r="F51"/>
  <c r="L51"/>
  <c r="D58"/>
  <c r="D57" s="1"/>
  <c r="K57"/>
  <c r="J57"/>
  <c r="I57"/>
  <c r="H57"/>
  <c r="G57"/>
  <c r="F57"/>
  <c r="L57"/>
  <c r="D53"/>
  <c r="F39"/>
  <c r="E39"/>
  <c r="D46"/>
  <c r="D45" s="1"/>
  <c r="K45"/>
  <c r="J45"/>
  <c r="I45"/>
  <c r="H45"/>
  <c r="G45"/>
  <c r="F45"/>
  <c r="L45"/>
  <c r="D41"/>
  <c r="L39"/>
  <c r="D34"/>
  <c r="D33" s="1"/>
  <c r="K33"/>
  <c r="J33"/>
  <c r="I33"/>
  <c r="H33"/>
  <c r="G33"/>
  <c r="F33"/>
  <c r="L33"/>
  <c r="E33"/>
  <c r="E27"/>
  <c r="D29"/>
  <c r="F27" l="1"/>
  <c r="L27"/>
  <c r="F224" i="6"/>
  <c r="F222"/>
  <c r="F219"/>
  <c r="F216"/>
  <c r="G20" i="7"/>
  <c r="F20"/>
  <c r="G14"/>
  <c r="F14"/>
  <c r="L8"/>
  <c r="F176"/>
  <c r="G173"/>
  <c r="F173"/>
  <c r="F171"/>
  <c r="H166"/>
  <c r="G166"/>
  <c r="F166"/>
  <c r="H164"/>
  <c r="G164"/>
  <c r="F164"/>
  <c r="H161"/>
  <c r="G161"/>
  <c r="F161"/>
  <c r="H159"/>
  <c r="G159"/>
  <c r="F159"/>
  <c r="F8" s="1"/>
  <c r="F133"/>
  <c r="G54"/>
  <c r="F54"/>
  <c r="G52"/>
  <c r="F52"/>
  <c r="G49"/>
  <c r="F49"/>
  <c r="G47"/>
  <c r="F130" i="2"/>
  <c r="F129" s="1"/>
  <c r="F143"/>
  <c r="F51" s="1"/>
  <c r="F81"/>
  <c r="L237"/>
  <c r="L232"/>
  <c r="F215" i="6"/>
  <c r="G8" i="7" l="1"/>
  <c r="M159"/>
  <c r="M8" s="1"/>
  <c r="L37" i="2"/>
  <c r="G9" i="7"/>
  <c r="H13"/>
  <c r="H8"/>
  <c r="G13"/>
  <c r="F80" i="2"/>
  <c r="K14" i="8"/>
  <c r="K18"/>
  <c r="I47"/>
  <c r="I14" s="1"/>
  <c r="I49"/>
  <c r="I18" s="1"/>
  <c r="H47"/>
  <c r="H14" s="1"/>
  <c r="H49"/>
  <c r="H18" s="1"/>
  <c r="G47"/>
  <c r="G49"/>
  <c r="L14"/>
  <c r="K23"/>
  <c r="I52"/>
  <c r="I23" s="1"/>
  <c r="H52"/>
  <c r="H23" s="1"/>
  <c r="G52"/>
  <c r="G23" s="1"/>
  <c r="F217" i="6"/>
  <c r="G18" i="8" l="1"/>
  <c r="G14"/>
  <c r="L23"/>
  <c r="F37" i="6"/>
  <c r="F68"/>
  <c r="F70"/>
  <c r="L29"/>
  <c r="F34"/>
  <c r="M34" l="1"/>
  <c r="F31"/>
  <c r="F22" i="3"/>
  <c r="F454" i="2"/>
  <c r="F455"/>
  <c r="F459"/>
  <c r="F460"/>
  <c r="G463"/>
  <c r="G375" s="1"/>
  <c r="F463"/>
  <c r="F375" s="1"/>
  <c r="F440"/>
  <c r="F445"/>
  <c r="M444"/>
  <c r="L373" l="1"/>
  <c r="F373"/>
  <c r="G373"/>
  <c r="O457"/>
  <c r="H22" i="3"/>
  <c r="H21" s="1"/>
  <c r="H18" s="1"/>
  <c r="G22"/>
  <c r="G21" s="1"/>
  <c r="G18" s="1"/>
  <c r="D262" i="9" l="1"/>
  <c r="D267" l="1"/>
  <c r="K266"/>
  <c r="J266"/>
  <c r="I266"/>
  <c r="H266"/>
  <c r="G266"/>
  <c r="F266"/>
  <c r="L266"/>
  <c r="E266"/>
  <c r="D265"/>
  <c r="K264"/>
  <c r="J264"/>
  <c r="I264"/>
  <c r="H264"/>
  <c r="G264"/>
  <c r="F264"/>
  <c r="L264"/>
  <c r="E264"/>
  <c r="M261"/>
  <c r="D261"/>
  <c r="K261"/>
  <c r="J261"/>
  <c r="I261"/>
  <c r="H261"/>
  <c r="G261"/>
  <c r="F261"/>
  <c r="E261"/>
  <c r="D260"/>
  <c r="D14" s="1"/>
  <c r="M258"/>
  <c r="D259"/>
  <c r="K258"/>
  <c r="J258"/>
  <c r="I258"/>
  <c r="H258"/>
  <c r="G258"/>
  <c r="F258"/>
  <c r="L258"/>
  <c r="E258"/>
  <c r="D255"/>
  <c r="D254" s="1"/>
  <c r="D253" s="1"/>
  <c r="K254"/>
  <c r="J254"/>
  <c r="I254"/>
  <c r="H254"/>
  <c r="G254"/>
  <c r="F254"/>
  <c r="L254"/>
  <c r="E254"/>
  <c r="E253"/>
  <c r="M251"/>
  <c r="D252"/>
  <c r="D251" s="1"/>
  <c r="H251"/>
  <c r="F251"/>
  <c r="E251"/>
  <c r="M249"/>
  <c r="D250"/>
  <c r="D249" s="1"/>
  <c r="K249"/>
  <c r="J249"/>
  <c r="I249"/>
  <c r="H249"/>
  <c r="G249"/>
  <c r="F249"/>
  <c r="L249"/>
  <c r="E249"/>
  <c r="L248"/>
  <c r="F263" l="1"/>
  <c r="J263"/>
  <c r="E263"/>
  <c r="H263"/>
  <c r="H248"/>
  <c r="F253"/>
  <c r="F248" s="1"/>
  <c r="D258"/>
  <c r="E248"/>
  <c r="J253"/>
  <c r="J248" s="1"/>
  <c r="H257"/>
  <c r="I248"/>
  <c r="G263"/>
  <c r="K263"/>
  <c r="H253"/>
  <c r="L253"/>
  <c r="G253"/>
  <c r="G248" s="1"/>
  <c r="I253"/>
  <c r="K253"/>
  <c r="K248" s="1"/>
  <c r="F257"/>
  <c r="J257"/>
  <c r="L257"/>
  <c r="G257"/>
  <c r="I257"/>
  <c r="K257"/>
  <c r="E257"/>
  <c r="I263"/>
  <c r="D266"/>
  <c r="D264"/>
  <c r="D248"/>
  <c r="L263"/>
  <c r="D257"/>
  <c r="M257"/>
  <c r="M248"/>
  <c r="D263" l="1"/>
  <c r="K58" i="3" l="1"/>
  <c r="J58"/>
  <c r="I58"/>
  <c r="H58"/>
  <c r="K56"/>
  <c r="J56"/>
  <c r="I56"/>
  <c r="H56"/>
  <c r="K52"/>
  <c r="J52"/>
  <c r="I52"/>
  <c r="H52"/>
  <c r="K47"/>
  <c r="J47"/>
  <c r="I47"/>
  <c r="H47"/>
  <c r="E47"/>
  <c r="K55" l="1"/>
  <c r="H55"/>
  <c r="J51"/>
  <c r="I51"/>
  <c r="H51"/>
  <c r="K51"/>
  <c r="J46"/>
  <c r="H46"/>
  <c r="I46"/>
  <c r="K46"/>
  <c r="I55"/>
  <c r="J55"/>
  <c r="H45" l="1"/>
  <c r="K45"/>
  <c r="I45"/>
  <c r="J45"/>
  <c r="M48" l="1"/>
  <c r="M49"/>
  <c r="L52"/>
  <c r="E52"/>
  <c r="E17" s="1"/>
  <c r="D186" l="1"/>
  <c r="D185" s="1"/>
  <c r="K185"/>
  <c r="J185"/>
  <c r="I185"/>
  <c r="H185"/>
  <c r="G185"/>
  <c r="F185"/>
  <c r="L185"/>
  <c r="E185"/>
  <c r="D184"/>
  <c r="D183" s="1"/>
  <c r="K183"/>
  <c r="J183"/>
  <c r="I183"/>
  <c r="H183"/>
  <c r="G183"/>
  <c r="F183"/>
  <c r="L183"/>
  <c r="E183"/>
  <c r="J180"/>
  <c r="I180"/>
  <c r="H180"/>
  <c r="G180"/>
  <c r="K180"/>
  <c r="L180"/>
  <c r="E180"/>
  <c r="K177"/>
  <c r="J177"/>
  <c r="I177"/>
  <c r="H177"/>
  <c r="G177"/>
  <c r="F177"/>
  <c r="L177"/>
  <c r="E177"/>
  <c r="E159"/>
  <c r="L159"/>
  <c r="D174"/>
  <c r="K171"/>
  <c r="J171"/>
  <c r="I171"/>
  <c r="H171"/>
  <c r="G171"/>
  <c r="F171"/>
  <c r="L171"/>
  <c r="E171"/>
  <c r="D172"/>
  <c r="D171" s="1"/>
  <c r="K163"/>
  <c r="K13" s="1"/>
  <c r="J163"/>
  <c r="J13" s="1"/>
  <c r="I163"/>
  <c r="I13" s="1"/>
  <c r="H163"/>
  <c r="H13" s="1"/>
  <c r="G163"/>
  <c r="F163"/>
  <c r="F13" s="1"/>
  <c r="D165"/>
  <c r="D164"/>
  <c r="M165"/>
  <c r="M164"/>
  <c r="G13" l="1"/>
  <c r="M13" s="1"/>
  <c r="M163"/>
  <c r="I182"/>
  <c r="E176"/>
  <c r="K182"/>
  <c r="L182"/>
  <c r="G182"/>
  <c r="E182"/>
  <c r="F182"/>
  <c r="H182"/>
  <c r="J182"/>
  <c r="L176"/>
  <c r="I176"/>
  <c r="H176"/>
  <c r="J176"/>
  <c r="D179"/>
  <c r="O184" s="1"/>
  <c r="G176"/>
  <c r="K176"/>
  <c r="D182"/>
  <c r="F180"/>
  <c r="D181"/>
  <c r="D180" s="1"/>
  <c r="D163"/>
  <c r="D178"/>
  <c r="M180"/>
  <c r="O172" l="1"/>
  <c r="F176"/>
  <c r="D177"/>
  <c r="D176" s="1"/>
  <c r="O186"/>
  <c r="M177"/>
  <c r="M176" s="1"/>
  <c r="K167" l="1"/>
  <c r="J167"/>
  <c r="I167"/>
  <c r="H167"/>
  <c r="G167"/>
  <c r="F167"/>
  <c r="M169"/>
  <c r="M168"/>
  <c r="M162"/>
  <c r="M161"/>
  <c r="G160"/>
  <c r="H160"/>
  <c r="I160"/>
  <c r="J160"/>
  <c r="K160"/>
  <c r="F160"/>
  <c r="M167" l="1"/>
  <c r="M166" s="1"/>
  <c r="M160"/>
  <c r="M159"/>
  <c r="G159"/>
  <c r="I159"/>
  <c r="J159"/>
  <c r="K159"/>
  <c r="H159"/>
  <c r="F159"/>
  <c r="D167"/>
  <c r="D173"/>
  <c r="D170" s="1"/>
  <c r="K173"/>
  <c r="J173"/>
  <c r="I173"/>
  <c r="H173"/>
  <c r="G173"/>
  <c r="F173"/>
  <c r="L173"/>
  <c r="E173"/>
  <c r="D169"/>
  <c r="D168"/>
  <c r="K166"/>
  <c r="J166"/>
  <c r="I166"/>
  <c r="H166"/>
  <c r="G166"/>
  <c r="F166"/>
  <c r="L166"/>
  <c r="E166"/>
  <c r="D162"/>
  <c r="D161"/>
  <c r="L170" l="1"/>
  <c r="E170"/>
  <c r="O174"/>
  <c r="H170"/>
  <c r="J170"/>
  <c r="I170"/>
  <c r="K170"/>
  <c r="I158"/>
  <c r="M158"/>
  <c r="G170"/>
  <c r="F170"/>
  <c r="D166"/>
  <c r="G158"/>
  <c r="K158"/>
  <c r="L158"/>
  <c r="E158"/>
  <c r="J158"/>
  <c r="F158"/>
  <c r="H158"/>
  <c r="D160"/>
  <c r="D159" s="1"/>
  <c r="L442" i="2"/>
  <c r="D158" i="3" l="1"/>
  <c r="O157" l="1"/>
  <c r="N55" i="4" l="1"/>
  <c r="K55"/>
  <c r="K52" l="1"/>
  <c r="E30" i="7" l="1"/>
  <c r="E29" s="1"/>
  <c r="D444" i="2" l="1"/>
  <c r="E22" i="7" l="1"/>
  <c r="L22"/>
  <c r="F22"/>
  <c r="G22"/>
  <c r="H22"/>
  <c r="I22"/>
  <c r="J22"/>
  <c r="K22"/>
  <c r="H113" i="6" l="1"/>
  <c r="H103"/>
  <c r="E31" l="1"/>
  <c r="H19" i="7" l="1"/>
  <c r="L94" i="9" l="1"/>
  <c r="E19" i="7" l="1"/>
  <c r="G19"/>
  <c r="I19"/>
  <c r="J19"/>
  <c r="K19"/>
  <c r="E16"/>
  <c r="L16"/>
  <c r="F16"/>
  <c r="G16"/>
  <c r="H16"/>
  <c r="I16"/>
  <c r="J16"/>
  <c r="K16"/>
  <c r="E12"/>
  <c r="D178"/>
  <c r="D177" s="1"/>
  <c r="J177"/>
  <c r="I177"/>
  <c r="H177"/>
  <c r="G177"/>
  <c r="F177"/>
  <c r="L177"/>
  <c r="E177"/>
  <c r="D176"/>
  <c r="D175" s="1"/>
  <c r="J175"/>
  <c r="I175"/>
  <c r="I174" s="1"/>
  <c r="H175"/>
  <c r="G175"/>
  <c r="F175"/>
  <c r="L175"/>
  <c r="L174" s="1"/>
  <c r="E175"/>
  <c r="D173"/>
  <c r="D172" s="1"/>
  <c r="M172"/>
  <c r="J172"/>
  <c r="I172"/>
  <c r="H172"/>
  <c r="G172"/>
  <c r="F172"/>
  <c r="L172"/>
  <c r="E172"/>
  <c r="M169"/>
  <c r="M168" s="1"/>
  <c r="D170"/>
  <c r="J169"/>
  <c r="I169"/>
  <c r="H169"/>
  <c r="G169"/>
  <c r="F169"/>
  <c r="L169"/>
  <c r="E169"/>
  <c r="D166"/>
  <c r="D165" s="1"/>
  <c r="J165"/>
  <c r="I165"/>
  <c r="H165"/>
  <c r="G165"/>
  <c r="F165"/>
  <c r="L165"/>
  <c r="E165"/>
  <c r="D164"/>
  <c r="D163" s="1"/>
  <c r="J163"/>
  <c r="I163"/>
  <c r="I162" s="1"/>
  <c r="H163"/>
  <c r="G163"/>
  <c r="F163"/>
  <c r="F162" s="1"/>
  <c r="L163"/>
  <c r="L162" s="1"/>
  <c r="E163"/>
  <c r="D161"/>
  <c r="D160" s="1"/>
  <c r="M160"/>
  <c r="J160"/>
  <c r="I160"/>
  <c r="H160"/>
  <c r="G160"/>
  <c r="F160"/>
  <c r="L160"/>
  <c r="E160"/>
  <c r="M157"/>
  <c r="M156" s="1"/>
  <c r="J157"/>
  <c r="I157"/>
  <c r="H157"/>
  <c r="G157"/>
  <c r="F157"/>
  <c r="L157"/>
  <c r="F19"/>
  <c r="L19"/>
  <c r="F47"/>
  <c r="F9" s="1"/>
  <c r="I168" l="1"/>
  <c r="F156"/>
  <c r="J156"/>
  <c r="D158"/>
  <c r="J168"/>
  <c r="L156"/>
  <c r="I156"/>
  <c r="E168"/>
  <c r="H168"/>
  <c r="J174"/>
  <c r="J162"/>
  <c r="E162"/>
  <c r="H156"/>
  <c r="F174"/>
  <c r="G168"/>
  <c r="F168"/>
  <c r="L168"/>
  <c r="E174"/>
  <c r="H174"/>
  <c r="H162"/>
  <c r="G156"/>
  <c r="G162"/>
  <c r="E157"/>
  <c r="E156" s="1"/>
  <c r="G174"/>
  <c r="D174"/>
  <c r="D162"/>
  <c r="D171"/>
  <c r="D159"/>
  <c r="D157" s="1"/>
  <c r="D156" s="1"/>
  <c r="L251" i="6"/>
  <c r="F250"/>
  <c r="F249" s="1"/>
  <c r="H43"/>
  <c r="E41"/>
  <c r="H47"/>
  <c r="E45"/>
  <c r="H52"/>
  <c r="E50"/>
  <c r="D53"/>
  <c r="L58"/>
  <c r="M33"/>
  <c r="L37"/>
  <c r="M52" l="1"/>
  <c r="D48"/>
  <c r="D33"/>
  <c r="D52"/>
  <c r="D169" i="7"/>
  <c r="D168" s="1"/>
  <c r="D47" i="6"/>
  <c r="F70" i="5"/>
  <c r="F69" s="1"/>
  <c r="F73"/>
  <c r="F72" s="1"/>
  <c r="H29" i="3"/>
  <c r="H30"/>
  <c r="G30"/>
  <c r="E27"/>
  <c r="E12" s="1"/>
  <c r="E11" s="1"/>
  <c r="H35"/>
  <c r="H36"/>
  <c r="G36"/>
  <c r="I42"/>
  <c r="L22"/>
  <c r="H454" i="2"/>
  <c r="G454"/>
  <c r="H455"/>
  <c r="G455"/>
  <c r="H459"/>
  <c r="G459"/>
  <c r="H460"/>
  <c r="G460"/>
  <c r="H448"/>
  <c r="G440"/>
  <c r="M440" s="1"/>
  <c r="G445"/>
  <c r="M445" s="1"/>
  <c r="E442"/>
  <c r="E369" s="1"/>
  <c r="E367" s="1"/>
  <c r="H375" l="1"/>
  <c r="H373" s="1"/>
  <c r="M36" i="3"/>
  <c r="M455" i="2"/>
  <c r="M35" i="3"/>
  <c r="M30"/>
  <c r="M454" i="2"/>
  <c r="M29" i="3"/>
  <c r="I22"/>
  <c r="I21" s="1"/>
  <c r="I18" s="1"/>
  <c r="D445" i="2"/>
  <c r="D440"/>
  <c r="E437"/>
  <c r="D35" i="3"/>
  <c r="D29"/>
  <c r="D36"/>
  <c r="E33"/>
  <c r="E16" s="1"/>
  <c r="E15" s="1"/>
  <c r="D30"/>
  <c r="E10" l="1"/>
  <c r="L73" i="8"/>
  <c r="L18" s="1"/>
  <c r="L71"/>
  <c r="D244" i="9"/>
  <c r="D21" s="1"/>
  <c r="K243"/>
  <c r="J243"/>
  <c r="I243"/>
  <c r="H243"/>
  <c r="G243"/>
  <c r="F243"/>
  <c r="L243"/>
  <c r="L237"/>
  <c r="F237"/>
  <c r="G237"/>
  <c r="H237"/>
  <c r="G240"/>
  <c r="H240"/>
  <c r="I240"/>
  <c r="J240"/>
  <c r="K240"/>
  <c r="E232"/>
  <c r="E233"/>
  <c r="I237"/>
  <c r="J237"/>
  <c r="K237"/>
  <c r="I233"/>
  <c r="H230"/>
  <c r="H228"/>
  <c r="I228"/>
  <c r="J228"/>
  <c r="K228"/>
  <c r="G228"/>
  <c r="D245"/>
  <c r="K245"/>
  <c r="J245"/>
  <c r="I245"/>
  <c r="H245"/>
  <c r="G245"/>
  <c r="F245"/>
  <c r="L245"/>
  <c r="E245"/>
  <c r="M240"/>
  <c r="D240"/>
  <c r="F240"/>
  <c r="E240"/>
  <c r="M237"/>
  <c r="D237"/>
  <c r="D234"/>
  <c r="D233" s="1"/>
  <c r="D232" s="1"/>
  <c r="K233"/>
  <c r="K23" s="1"/>
  <c r="J233"/>
  <c r="H233"/>
  <c r="G233"/>
  <c r="G23" s="1"/>
  <c r="F233"/>
  <c r="L233"/>
  <c r="M230"/>
  <c r="D231"/>
  <c r="D230" s="1"/>
  <c r="F230"/>
  <c r="E230"/>
  <c r="M228"/>
  <c r="D229"/>
  <c r="D228" s="1"/>
  <c r="F228"/>
  <c r="L228"/>
  <c r="E228"/>
  <c r="L227"/>
  <c r="E242" l="1"/>
  <c r="H23"/>
  <c r="J23"/>
  <c r="I23"/>
  <c r="E23"/>
  <c r="K236"/>
  <c r="E236"/>
  <c r="L236"/>
  <c r="E227"/>
  <c r="J236"/>
  <c r="D236"/>
  <c r="I236"/>
  <c r="K232"/>
  <c r="K227" s="1"/>
  <c r="I227"/>
  <c r="H236"/>
  <c r="G236"/>
  <c r="D243"/>
  <c r="D242" s="1"/>
  <c r="F236"/>
  <c r="H227"/>
  <c r="F232"/>
  <c r="H232"/>
  <c r="F242"/>
  <c r="H242"/>
  <c r="I232"/>
  <c r="L232"/>
  <c r="G232"/>
  <c r="J232"/>
  <c r="G242"/>
  <c r="I242"/>
  <c r="L242"/>
  <c r="K242"/>
  <c r="J242"/>
  <c r="M236"/>
  <c r="D227"/>
  <c r="M227"/>
  <c r="L137"/>
  <c r="F227" l="1"/>
  <c r="J227"/>
  <c r="G227"/>
  <c r="F40" i="13" l="1"/>
  <c r="F29" l="1"/>
  <c r="F38"/>
  <c r="F31"/>
  <c r="F13" l="1"/>
  <c r="F172" i="9"/>
  <c r="F23" s="1"/>
  <c r="L172"/>
  <c r="G18" i="7" l="1"/>
  <c r="H18"/>
  <c r="I18"/>
  <c r="K18"/>
  <c r="E11"/>
  <c r="G11"/>
  <c r="I11"/>
  <c r="K11"/>
  <c r="E18"/>
  <c r="L18"/>
  <c r="J18"/>
  <c r="H11"/>
  <c r="D152"/>
  <c r="D20" s="1"/>
  <c r="E150"/>
  <c r="L150"/>
  <c r="F150"/>
  <c r="G150"/>
  <c r="H150"/>
  <c r="I150"/>
  <c r="J150"/>
  <c r="L143"/>
  <c r="F143"/>
  <c r="G143"/>
  <c r="H143"/>
  <c r="I143"/>
  <c r="J143"/>
  <c r="K143"/>
  <c r="D146"/>
  <c r="D14" s="1"/>
  <c r="D154"/>
  <c r="D153" s="1"/>
  <c r="J153"/>
  <c r="I153"/>
  <c r="H153"/>
  <c r="G153"/>
  <c r="F153"/>
  <c r="L153"/>
  <c r="E153"/>
  <c r="D151"/>
  <c r="D148"/>
  <c r="D147" s="1"/>
  <c r="M147"/>
  <c r="J147"/>
  <c r="I147"/>
  <c r="H147"/>
  <c r="G147"/>
  <c r="F147"/>
  <c r="L147"/>
  <c r="D145"/>
  <c r="D144"/>
  <c r="E7"/>
  <c r="G7"/>
  <c r="H7"/>
  <c r="K7"/>
  <c r="L39"/>
  <c r="L38" s="1"/>
  <c r="D40"/>
  <c r="D39" s="1"/>
  <c r="D38" s="1"/>
  <c r="F39"/>
  <c r="F38" s="1"/>
  <c r="D37"/>
  <c r="D36" s="1"/>
  <c r="F34"/>
  <c r="F33" s="1"/>
  <c r="D35"/>
  <c r="D8" s="1"/>
  <c r="H34"/>
  <c r="G34"/>
  <c r="L34"/>
  <c r="L33" s="1"/>
  <c r="H33"/>
  <c r="G33"/>
  <c r="K23" i="3"/>
  <c r="G45" i="2"/>
  <c r="H45"/>
  <c r="I45"/>
  <c r="J45"/>
  <c r="K45"/>
  <c r="G38"/>
  <c r="H38"/>
  <c r="I38"/>
  <c r="J38"/>
  <c r="K38"/>
  <c r="M230"/>
  <c r="F45"/>
  <c r="F38"/>
  <c r="F176"/>
  <c r="L176"/>
  <c r="G262"/>
  <c r="G257"/>
  <c r="G254"/>
  <c r="D263"/>
  <c r="D262" s="1"/>
  <c r="F262"/>
  <c r="D261"/>
  <c r="D260" s="1"/>
  <c r="F260"/>
  <c r="L260"/>
  <c r="M257"/>
  <c r="D258"/>
  <c r="D257" s="1"/>
  <c r="F257"/>
  <c r="M256"/>
  <c r="D256"/>
  <c r="M254"/>
  <c r="D255"/>
  <c r="F254"/>
  <c r="F580"/>
  <c r="F579" s="1"/>
  <c r="L581"/>
  <c r="M38" l="1"/>
  <c r="J149" i="7"/>
  <c r="J142"/>
  <c r="H142"/>
  <c r="L142"/>
  <c r="E149"/>
  <c r="H149"/>
  <c r="K21" i="3"/>
  <c r="K18" s="1"/>
  <c r="I142" i="7"/>
  <c r="D254" i="2"/>
  <c r="D253" s="1"/>
  <c r="F21" i="3"/>
  <c r="F18" s="1"/>
  <c r="D150" i="7"/>
  <c r="D149" s="1"/>
  <c r="F149"/>
  <c r="F142"/>
  <c r="G142"/>
  <c r="G259" i="2"/>
  <c r="M170"/>
  <c r="F253"/>
  <c r="G253"/>
  <c r="D34" i="7"/>
  <c r="D33" s="1"/>
  <c r="F18"/>
  <c r="I149"/>
  <c r="G149"/>
  <c r="L149"/>
  <c r="D143"/>
  <c r="D142" s="1"/>
  <c r="M143"/>
  <c r="M142" s="1"/>
  <c r="M34"/>
  <c r="M33" s="1"/>
  <c r="F259" i="2"/>
  <c r="D259"/>
  <c r="M253"/>
  <c r="L254"/>
  <c r="L257"/>
  <c r="L262"/>
  <c r="F379"/>
  <c r="F381"/>
  <c r="F378" l="1"/>
  <c r="L259"/>
  <c r="L253"/>
  <c r="L103" i="13" l="1"/>
  <c r="F103" l="1"/>
  <c r="M103" s="1"/>
  <c r="L156" i="3" l="1"/>
  <c r="L152"/>
  <c r="D152" s="1"/>
  <c r="L151"/>
  <c r="L146"/>
  <c r="H143"/>
  <c r="M143" s="1"/>
  <c r="L141"/>
  <c r="L23" l="1"/>
  <c r="D153"/>
  <c r="D143"/>
  <c r="D140"/>
  <c r="D142"/>
  <c r="D151"/>
  <c r="D139"/>
  <c r="D141"/>
  <c r="D85" i="8"/>
  <c r="D84" s="1"/>
  <c r="D83" s="1"/>
  <c r="G84"/>
  <c r="F84"/>
  <c r="L84"/>
  <c r="E84"/>
  <c r="M81"/>
  <c r="D82"/>
  <c r="D81" s="1"/>
  <c r="G81"/>
  <c r="F81"/>
  <c r="L81"/>
  <c r="E81"/>
  <c r="M79"/>
  <c r="D80"/>
  <c r="D79" s="1"/>
  <c r="G79"/>
  <c r="F79"/>
  <c r="L79"/>
  <c r="E79"/>
  <c r="I10"/>
  <c r="J10"/>
  <c r="K10"/>
  <c r="L20"/>
  <c r="F20"/>
  <c r="G20"/>
  <c r="H20"/>
  <c r="I20"/>
  <c r="J20"/>
  <c r="K20"/>
  <c r="D76"/>
  <c r="H75"/>
  <c r="G75"/>
  <c r="F75"/>
  <c r="L75"/>
  <c r="E75"/>
  <c r="G74"/>
  <c r="G145" s="1"/>
  <c r="M72"/>
  <c r="D73"/>
  <c r="D72" s="1"/>
  <c r="H72"/>
  <c r="G72"/>
  <c r="F72"/>
  <c r="L72"/>
  <c r="E72"/>
  <c r="M70"/>
  <c r="D71"/>
  <c r="H70"/>
  <c r="G70"/>
  <c r="F70"/>
  <c r="L70"/>
  <c r="E70"/>
  <c r="D106"/>
  <c r="E106"/>
  <c r="L106"/>
  <c r="I49" i="1" s="1"/>
  <c r="F106" i="8"/>
  <c r="G106"/>
  <c r="H106"/>
  <c r="I106"/>
  <c r="G83" l="1"/>
  <c r="F83"/>
  <c r="D29"/>
  <c r="E69"/>
  <c r="D75"/>
  <c r="D74" s="1"/>
  <c r="D145" s="1"/>
  <c r="G78"/>
  <c r="F78"/>
  <c r="H69"/>
  <c r="H10" s="1"/>
  <c r="L74"/>
  <c r="L145" s="1"/>
  <c r="F69"/>
  <c r="E74"/>
  <c r="E145" s="1"/>
  <c r="H74"/>
  <c r="H145" s="1"/>
  <c r="M106"/>
  <c r="E78"/>
  <c r="F74"/>
  <c r="F145" s="1"/>
  <c r="L83"/>
  <c r="M78"/>
  <c r="D78"/>
  <c r="L78"/>
  <c r="E83"/>
  <c r="M69"/>
  <c r="L69"/>
  <c r="G69"/>
  <c r="D70"/>
  <c r="D69" s="1"/>
  <c r="J52"/>
  <c r="J23" s="1"/>
  <c r="J49"/>
  <c r="J47"/>
  <c r="F14"/>
  <c r="J18" l="1"/>
  <c r="M49"/>
  <c r="J14"/>
  <c r="M47"/>
  <c r="M14" s="1"/>
  <c r="F18"/>
  <c r="F23"/>
  <c r="D52"/>
  <c r="D23" s="1"/>
  <c r="L537" i="2"/>
  <c r="E581"/>
  <c r="E251" i="6"/>
  <c r="K13" i="9"/>
  <c r="M13" s="1"/>
  <c r="E20"/>
  <c r="E19" s="1"/>
  <c r="L20"/>
  <c r="L19" s="1"/>
  <c r="F20"/>
  <c r="F19" s="1"/>
  <c r="G20"/>
  <c r="G19" s="1"/>
  <c r="H20"/>
  <c r="H19" s="1"/>
  <c r="I20"/>
  <c r="I19" s="1"/>
  <c r="J20"/>
  <c r="J19" s="1"/>
  <c r="K20"/>
  <c r="K19" s="1"/>
  <c r="E22"/>
  <c r="E18" s="1"/>
  <c r="H22"/>
  <c r="I22"/>
  <c r="J22"/>
  <c r="K22"/>
  <c r="E15" i="8"/>
  <c r="L15"/>
  <c r="F15"/>
  <c r="G15"/>
  <c r="H15"/>
  <c r="I15"/>
  <c r="J15"/>
  <c r="K15"/>
  <c r="F16"/>
  <c r="G16"/>
  <c r="H16"/>
  <c r="I16"/>
  <c r="J16"/>
  <c r="K16"/>
  <c r="E20"/>
  <c r="E16" s="1"/>
  <c r="E25"/>
  <c r="L25"/>
  <c r="F25"/>
  <c r="G25"/>
  <c r="H25"/>
  <c r="I25"/>
  <c r="J25"/>
  <c r="K25"/>
  <c r="E31"/>
  <c r="E28" s="1"/>
  <c r="L31"/>
  <c r="G31"/>
  <c r="G28" s="1"/>
  <c r="H31"/>
  <c r="H28" s="1"/>
  <c r="I31"/>
  <c r="I28" s="1"/>
  <c r="J31"/>
  <c r="J28" s="1"/>
  <c r="K31"/>
  <c r="K28" s="1"/>
  <c r="F54"/>
  <c r="F51"/>
  <c r="F48"/>
  <c r="F46"/>
  <c r="F13" s="1"/>
  <c r="K105" i="4"/>
  <c r="J105"/>
  <c r="L105"/>
  <c r="E52"/>
  <c r="L52"/>
  <c r="F52"/>
  <c r="J52"/>
  <c r="M52" s="1"/>
  <c r="E6"/>
  <c r="L53"/>
  <c r="F53"/>
  <c r="G53"/>
  <c r="H53"/>
  <c r="I53"/>
  <c r="J53"/>
  <c r="K53"/>
  <c r="E54"/>
  <c r="L54"/>
  <c r="F54"/>
  <c r="G54"/>
  <c r="H54"/>
  <c r="I54"/>
  <c r="F109" i="1" s="1"/>
  <c r="J54" i="4"/>
  <c r="K54"/>
  <c r="E55"/>
  <c r="L55"/>
  <c r="F55"/>
  <c r="G55"/>
  <c r="H55"/>
  <c r="I55"/>
  <c r="J55"/>
  <c r="E57"/>
  <c r="L57"/>
  <c r="F57"/>
  <c r="G57"/>
  <c r="H57"/>
  <c r="I57"/>
  <c r="J57"/>
  <c r="K57"/>
  <c r="E58"/>
  <c r="L58"/>
  <c r="F58"/>
  <c r="G58"/>
  <c r="H58"/>
  <c r="I58"/>
  <c r="J58"/>
  <c r="K58"/>
  <c r="E62"/>
  <c r="L62"/>
  <c r="F62"/>
  <c r="G62"/>
  <c r="H62"/>
  <c r="I62"/>
  <c r="J62"/>
  <c r="K62"/>
  <c r="E63"/>
  <c r="L63"/>
  <c r="F63"/>
  <c r="G63"/>
  <c r="H63"/>
  <c r="I63"/>
  <c r="J63"/>
  <c r="K63"/>
  <c r="E64"/>
  <c r="L64"/>
  <c r="F64"/>
  <c r="G64"/>
  <c r="H64"/>
  <c r="I64"/>
  <c r="J64"/>
  <c r="K64"/>
  <c r="E48"/>
  <c r="L48"/>
  <c r="F48"/>
  <c r="G48"/>
  <c r="H48"/>
  <c r="I48"/>
  <c r="J48"/>
  <c r="K48"/>
  <c r="E49"/>
  <c r="L49"/>
  <c r="F49"/>
  <c r="J49"/>
  <c r="K49"/>
  <c r="H56" i="1" l="1"/>
  <c r="K6" i="4"/>
  <c r="D56" i="1"/>
  <c r="G6" i="4"/>
  <c r="E56" i="1"/>
  <c r="H6" i="4"/>
  <c r="F56" i="1"/>
  <c r="I6" i="4"/>
  <c r="G56" i="1"/>
  <c r="J6" i="4"/>
  <c r="C56" i="1"/>
  <c r="P53" s="1"/>
  <c r="J18" i="9"/>
  <c r="H18"/>
  <c r="I18"/>
  <c r="K18"/>
  <c r="F45" i="8"/>
  <c r="F44" s="1"/>
  <c r="F9" s="1"/>
  <c r="F12"/>
  <c r="F11" s="1"/>
  <c r="J61" i="4"/>
  <c r="J60" s="1"/>
  <c r="H61"/>
  <c r="F61"/>
  <c r="E61"/>
  <c r="E60" s="1"/>
  <c r="K61"/>
  <c r="I61"/>
  <c r="G61"/>
  <c r="L61"/>
  <c r="L60" s="1"/>
  <c r="K51"/>
  <c r="K50" s="1"/>
  <c r="I51"/>
  <c r="I50" s="1"/>
  <c r="G51"/>
  <c r="G50" s="1"/>
  <c r="J51"/>
  <c r="J50" s="1"/>
  <c r="H51"/>
  <c r="H50" s="1"/>
  <c r="F51"/>
  <c r="F50" s="1"/>
  <c r="E51"/>
  <c r="E50" s="1"/>
  <c r="J22" i="8"/>
  <c r="H22"/>
  <c r="H21" s="1"/>
  <c r="E22"/>
  <c r="E21" s="1"/>
  <c r="H12"/>
  <c r="H11" s="1"/>
  <c r="E12"/>
  <c r="E11" s="1"/>
  <c r="K22"/>
  <c r="K21" s="1"/>
  <c r="I22"/>
  <c r="I21" s="1"/>
  <c r="G22"/>
  <c r="G21" s="1"/>
  <c r="K12"/>
  <c r="K11" s="1"/>
  <c r="F22"/>
  <c r="G12"/>
  <c r="G11" s="1"/>
  <c r="L51" i="4"/>
  <c r="L50" s="1"/>
  <c r="J12" i="8"/>
  <c r="J11" s="1"/>
  <c r="I12"/>
  <c r="I11" s="1"/>
  <c r="F50"/>
  <c r="F144" s="1"/>
  <c r="E10" i="9"/>
  <c r="J21" i="8"/>
  <c r="K60" i="4"/>
  <c r="G60" l="1"/>
  <c r="F60"/>
  <c r="F6"/>
  <c r="M6"/>
  <c r="I60"/>
  <c r="H60"/>
  <c r="G41" i="2"/>
  <c r="I41"/>
  <c r="J41"/>
  <c r="K41"/>
  <c r="F138"/>
  <c r="L45"/>
  <c r="L38"/>
  <c r="E90"/>
  <c r="E51" s="1"/>
  <c r="E88"/>
  <c r="E85"/>
  <c r="E83"/>
  <c r="E37"/>
  <c r="E42" l="1"/>
  <c r="E38"/>
  <c r="E45"/>
  <c r="E44" s="1"/>
  <c r="J44"/>
  <c r="J43" s="1"/>
  <c r="H44"/>
  <c r="J36"/>
  <c r="J35" s="1"/>
  <c r="K44"/>
  <c r="K43" s="1"/>
  <c r="I44"/>
  <c r="I43" s="1"/>
  <c r="G44"/>
  <c r="G43" s="1"/>
  <c r="K36"/>
  <c r="K35" s="1"/>
  <c r="I36"/>
  <c r="I35" s="1"/>
  <c r="G36"/>
  <c r="G35" s="1"/>
  <c r="E41" l="1"/>
  <c r="E49"/>
  <c r="E43" s="1"/>
  <c r="E36"/>
  <c r="E35" l="1"/>
  <c r="U106" i="4"/>
  <c r="E370" i="2" l="1"/>
  <c r="E372" l="1"/>
  <c r="E366"/>
  <c r="E141" l="1"/>
  <c r="E138"/>
  <c r="E137" l="1"/>
  <c r="E149"/>
  <c r="E146"/>
  <c r="E154"/>
  <c r="E151" s="1"/>
  <c r="G157" i="6"/>
  <c r="H157"/>
  <c r="I157"/>
  <c r="J157"/>
  <c r="K157"/>
  <c r="L158"/>
  <c r="L157" s="1"/>
  <c r="F158"/>
  <c r="F157" s="1"/>
  <c r="D159"/>
  <c r="M159"/>
  <c r="G161"/>
  <c r="G160" s="1"/>
  <c r="H161"/>
  <c r="H160" s="1"/>
  <c r="I161"/>
  <c r="I160" s="1"/>
  <c r="J161"/>
  <c r="J160" s="1"/>
  <c r="K161"/>
  <c r="K160" s="1"/>
  <c r="L162"/>
  <c r="L161" s="1"/>
  <c r="F162"/>
  <c r="F161" s="1"/>
  <c r="F160" s="1"/>
  <c r="L164"/>
  <c r="F164"/>
  <c r="G164"/>
  <c r="H164"/>
  <c r="I164"/>
  <c r="J164"/>
  <c r="K164"/>
  <c r="D165"/>
  <c r="G167"/>
  <c r="G166" s="1"/>
  <c r="H167"/>
  <c r="H166" s="1"/>
  <c r="I167"/>
  <c r="I166" s="1"/>
  <c r="J167"/>
  <c r="J166" s="1"/>
  <c r="K167"/>
  <c r="K166" s="1"/>
  <c r="L168"/>
  <c r="L167" s="1"/>
  <c r="F168"/>
  <c r="F167" s="1"/>
  <c r="F166" s="1"/>
  <c r="M53"/>
  <c r="M47"/>
  <c r="M48"/>
  <c r="M43"/>
  <c r="M64" i="13"/>
  <c r="M66"/>
  <c r="M158" i="6" l="1"/>
  <c r="M162"/>
  <c r="M63" i="13"/>
  <c r="E145" i="2"/>
  <c r="D164" i="6"/>
  <c r="K163"/>
  <c r="L166"/>
  <c r="D166" s="1"/>
  <c r="D167"/>
  <c r="J163"/>
  <c r="H163"/>
  <c r="F163"/>
  <c r="L160"/>
  <c r="L156" s="1"/>
  <c r="D161"/>
  <c r="M161"/>
  <c r="D157"/>
  <c r="M157"/>
  <c r="J156"/>
  <c r="H156"/>
  <c r="I163"/>
  <c r="G163"/>
  <c r="F156"/>
  <c r="K156"/>
  <c r="I156"/>
  <c r="G156"/>
  <c r="D168"/>
  <c r="D162"/>
  <c r="D158"/>
  <c r="D275" i="9"/>
  <c r="M222"/>
  <c r="M221"/>
  <c r="M218"/>
  <c r="M217"/>
  <c r="M209"/>
  <c r="M207"/>
  <c r="M196"/>
  <c r="M195"/>
  <c r="M187"/>
  <c r="M185"/>
  <c r="M178"/>
  <c r="M176"/>
  <c r="M124" i="8"/>
  <c r="M18"/>
  <c r="M35"/>
  <c r="M15" s="1"/>
  <c r="L163" i="6" l="1"/>
  <c r="D163" s="1"/>
  <c r="D156"/>
  <c r="M156"/>
  <c r="D160"/>
  <c r="M160"/>
  <c r="M99" l="1"/>
  <c r="M101"/>
  <c r="M131"/>
  <c r="M130"/>
  <c r="M129"/>
  <c r="E15"/>
  <c r="I15"/>
  <c r="J15"/>
  <c r="K15"/>
  <c r="E16"/>
  <c r="E22"/>
  <c r="G22"/>
  <c r="H22"/>
  <c r="I22"/>
  <c r="J22"/>
  <c r="K22"/>
  <c r="M230"/>
  <c r="M228"/>
  <c r="M57" i="5"/>
  <c r="M72" i="4"/>
  <c r="M57" s="1"/>
  <c r="M71"/>
  <c r="M55" s="1"/>
  <c r="M70"/>
  <c r="M101" i="3"/>
  <c r="M89"/>
  <c r="M77"/>
  <c r="M65"/>
  <c r="M558" i="2"/>
  <c r="M557"/>
  <c r="M412"/>
  <c r="M410"/>
  <c r="M403"/>
  <c r="M401"/>
  <c r="M220"/>
  <c r="M150"/>
  <c r="M147"/>
  <c r="M120"/>
  <c r="M116"/>
  <c r="M108"/>
  <c r="M106"/>
  <c r="M97"/>
  <c r="M95"/>
  <c r="M94"/>
  <c r="M73"/>
  <c r="M71"/>
  <c r="M70"/>
  <c r="M60"/>
  <c r="M57"/>
  <c r="M56"/>
  <c r="V105" i="4" l="1"/>
  <c r="U108" s="1"/>
  <c r="L60" i="9" l="1"/>
  <c r="M51"/>
  <c r="L48"/>
  <c r="M39"/>
  <c r="F22"/>
  <c r="F18" s="1"/>
  <c r="L36"/>
  <c r="L23" s="1"/>
  <c r="L22" l="1"/>
  <c r="L18" s="1"/>
  <c r="G224" i="2"/>
  <c r="G226"/>
  <c r="L227"/>
  <c r="G221"/>
  <c r="G218"/>
  <c r="F141"/>
  <c r="F137" s="1"/>
  <c r="L191"/>
  <c r="M27" i="9" l="1"/>
  <c r="G217" i="2"/>
  <c r="G223"/>
  <c r="F49" l="1"/>
  <c r="I644" l="1"/>
  <c r="I643"/>
  <c r="H644"/>
  <c r="G644"/>
  <c r="I602"/>
  <c r="I601" s="1"/>
  <c r="H602"/>
  <c r="H601" s="1"/>
  <c r="M644" l="1"/>
  <c r="I642"/>
  <c r="F150" i="3"/>
  <c r="G150"/>
  <c r="H150"/>
  <c r="I150"/>
  <c r="J150"/>
  <c r="M651" i="2" l="1"/>
  <c r="K108" i="6" l="1"/>
  <c r="K100"/>
  <c r="E125"/>
  <c r="E121"/>
  <c r="E102"/>
  <c r="L96"/>
  <c r="D130"/>
  <c r="D129"/>
  <c r="E14"/>
  <c r="K96" l="1"/>
  <c r="E17"/>
  <c r="B23" i="1" s="1"/>
  <c r="M17" i="13" l="1"/>
  <c r="L21"/>
  <c r="L20" s="1"/>
  <c r="D278" i="9"/>
  <c r="D277" s="1"/>
  <c r="D56" i="8"/>
  <c r="D126" i="7"/>
  <c r="D133"/>
  <c r="D46"/>
  <c r="D28"/>
  <c r="D132"/>
  <c r="D44" i="5"/>
  <c r="D43" s="1"/>
  <c r="D106" i="3"/>
  <c r="D101"/>
  <c r="D94"/>
  <c r="D89"/>
  <c r="D43"/>
  <c r="D40"/>
  <c r="D37"/>
  <c r="D31"/>
  <c r="D524" i="2"/>
  <c r="D521"/>
  <c r="D519"/>
  <c r="D506"/>
  <c r="D503"/>
  <c r="D501"/>
  <c r="D497"/>
  <c r="D496"/>
  <c r="D495"/>
  <c r="D493"/>
  <c r="D492"/>
  <c r="D491"/>
  <c r="D488"/>
  <c r="D487"/>
  <c r="D485"/>
  <c r="D484"/>
  <c r="D483"/>
  <c r="D460"/>
  <c r="D459"/>
  <c r="D592"/>
  <c r="D589"/>
  <c r="D588"/>
  <c r="D577"/>
  <c r="D574"/>
  <c r="D573"/>
  <c r="D333"/>
  <c r="D361"/>
  <c r="D359"/>
  <c r="D356"/>
  <c r="D354"/>
  <c r="D353"/>
  <c r="D321"/>
  <c r="D316"/>
  <c r="D249"/>
  <c r="D244"/>
  <c r="D237"/>
  <c r="D232"/>
  <c r="D126"/>
  <c r="D124"/>
  <c r="D123"/>
  <c r="D102"/>
  <c r="D65"/>
  <c r="D59"/>
  <c r="D57"/>
  <c r="E182" i="6"/>
  <c r="E181" s="1"/>
  <c r="E179"/>
  <c r="E171"/>
  <c r="E175"/>
  <c r="E174" s="1"/>
  <c r="E144"/>
  <c r="E143" s="1"/>
  <c r="E19" s="1"/>
  <c r="E23"/>
  <c r="E21" s="1"/>
  <c r="M15" i="1"/>
  <c r="E151" i="6" l="1"/>
  <c r="E25" s="1"/>
  <c r="E13"/>
  <c r="E170"/>
  <c r="E178"/>
  <c r="E142"/>
  <c r="E18"/>
  <c r="E24" l="1"/>
  <c r="E20" s="1"/>
  <c r="E150"/>
  <c r="E12"/>
  <c r="E243"/>
  <c r="E242" s="1"/>
  <c r="E241" s="1"/>
  <c r="E23" i="13"/>
  <c r="E21"/>
  <c r="E20" s="1"/>
  <c r="E14"/>
  <c r="E12" s="1"/>
  <c r="E21" i="7"/>
  <c r="E17" s="1"/>
  <c r="E15"/>
  <c r="E24" i="5"/>
  <c r="E22" s="1"/>
  <c r="E19" s="1"/>
  <c r="E18"/>
  <c r="E16" s="1"/>
  <c r="E14"/>
  <c r="E13" s="1"/>
  <c r="E540" i="2"/>
  <c r="E539"/>
  <c r="E538"/>
  <c r="E534"/>
  <c r="E533"/>
  <c r="E532"/>
  <c r="E28"/>
  <c r="E15"/>
  <c r="B20" i="1" s="1"/>
  <c r="E110" i="13"/>
  <c r="E109" s="1"/>
  <c r="E99" s="1"/>
  <c r="E98" s="1"/>
  <c r="E71"/>
  <c r="E69"/>
  <c r="E52"/>
  <c r="E39"/>
  <c r="E37"/>
  <c r="E30"/>
  <c r="E28"/>
  <c r="D115"/>
  <c r="D103" s="1"/>
  <c r="D51"/>
  <c r="D72"/>
  <c r="D71" s="1"/>
  <c r="D70"/>
  <c r="D69" s="1"/>
  <c r="D67"/>
  <c r="D66" s="1"/>
  <c r="D64"/>
  <c r="D48"/>
  <c r="D31"/>
  <c r="D29"/>
  <c r="E286" i="9"/>
  <c r="E285" s="1"/>
  <c r="E282"/>
  <c r="E281" s="1"/>
  <c r="E224"/>
  <c r="E211"/>
  <c r="E210" s="1"/>
  <c r="E208"/>
  <c r="E206"/>
  <c r="E202"/>
  <c r="E189"/>
  <c r="E186"/>
  <c r="E184"/>
  <c r="E180"/>
  <c r="E177"/>
  <c r="E175"/>
  <c r="E158"/>
  <c r="E157" s="1"/>
  <c r="E134"/>
  <c r="E136"/>
  <c r="E131"/>
  <c r="E128"/>
  <c r="E124"/>
  <c r="E123" s="1"/>
  <c r="E121"/>
  <c r="E119"/>
  <c r="E93"/>
  <c r="E92" s="1"/>
  <c r="E88"/>
  <c r="E84"/>
  <c r="E80"/>
  <c r="E79" s="1"/>
  <c r="E77"/>
  <c r="E75"/>
  <c r="E47"/>
  <c r="E44" s="1"/>
  <c r="E38"/>
  <c r="E35"/>
  <c r="E32" s="1"/>
  <c r="D287"/>
  <c r="D283"/>
  <c r="D225"/>
  <c r="D212"/>
  <c r="D209"/>
  <c r="D207"/>
  <c r="D203"/>
  <c r="D181"/>
  <c r="D172"/>
  <c r="D171" s="1"/>
  <c r="D170" s="1"/>
  <c r="D167"/>
  <c r="D163"/>
  <c r="D159"/>
  <c r="D158" s="1"/>
  <c r="D157" s="1"/>
  <c r="D156"/>
  <c r="D154"/>
  <c r="D150"/>
  <c r="D149" s="1"/>
  <c r="D148" s="1"/>
  <c r="D135"/>
  <c r="D130"/>
  <c r="D13" s="1"/>
  <c r="D125"/>
  <c r="D124" s="1"/>
  <c r="D123" s="1"/>
  <c r="D122"/>
  <c r="D120"/>
  <c r="D81"/>
  <c r="E54" i="8"/>
  <c r="E51"/>
  <c r="E48"/>
  <c r="E45"/>
  <c r="E41"/>
  <c r="E39"/>
  <c r="E38" s="1"/>
  <c r="E36"/>
  <c r="E34"/>
  <c r="E123"/>
  <c r="E122" s="1"/>
  <c r="E107" s="1"/>
  <c r="E105" s="1"/>
  <c r="D128"/>
  <c r="D124"/>
  <c r="D53"/>
  <c r="E119" i="7"/>
  <c r="E53"/>
  <c r="E50" s="1"/>
  <c r="E48"/>
  <c r="E45"/>
  <c r="D120"/>
  <c r="D12" s="1"/>
  <c r="D123"/>
  <c r="D52"/>
  <c r="D49"/>
  <c r="D128"/>
  <c r="D54"/>
  <c r="D31"/>
  <c r="E260" i="6"/>
  <c r="E259" s="1"/>
  <c r="E254"/>
  <c r="E253" s="1"/>
  <c r="E250"/>
  <c r="E249" s="1"/>
  <c r="E234"/>
  <c r="E232"/>
  <c r="E229"/>
  <c r="E227"/>
  <c r="E223"/>
  <c r="E221"/>
  <c r="E218"/>
  <c r="E214"/>
  <c r="E148"/>
  <c r="E139"/>
  <c r="E138" s="1"/>
  <c r="E135"/>
  <c r="E134" s="1"/>
  <c r="E124"/>
  <c r="E120"/>
  <c r="E116"/>
  <c r="E115" s="1"/>
  <c r="E105"/>
  <c r="E95"/>
  <c r="E91"/>
  <c r="E89"/>
  <c r="E86"/>
  <c r="E84"/>
  <c r="E80"/>
  <c r="E78"/>
  <c r="E75"/>
  <c r="E73"/>
  <c r="E69"/>
  <c r="E67"/>
  <c r="E57"/>
  <c r="E55"/>
  <c r="E49"/>
  <c r="E40"/>
  <c r="E36"/>
  <c r="E35" s="1"/>
  <c r="E30"/>
  <c r="E28"/>
  <c r="D87"/>
  <c r="D70"/>
  <c r="D69" s="1"/>
  <c r="D37"/>
  <c r="D261"/>
  <c r="D260" s="1"/>
  <c r="D251"/>
  <c r="D235"/>
  <c r="D233"/>
  <c r="D230"/>
  <c r="D228"/>
  <c r="D101"/>
  <c r="D99"/>
  <c r="D97"/>
  <c r="D92"/>
  <c r="D90"/>
  <c r="D85"/>
  <c r="D68"/>
  <c r="D65"/>
  <c r="D64" s="1"/>
  <c r="D63"/>
  <c r="D62"/>
  <c r="D58"/>
  <c r="D56"/>
  <c r="D43"/>
  <c r="E73" i="5"/>
  <c r="E72" s="1"/>
  <c r="E70"/>
  <c r="E69" s="1"/>
  <c r="E59"/>
  <c r="E58" s="1"/>
  <c r="E56"/>
  <c r="E55" s="1"/>
  <c r="E43"/>
  <c r="E45"/>
  <c r="E40"/>
  <c r="E38"/>
  <c r="D60"/>
  <c r="D88" i="4"/>
  <c r="E91"/>
  <c r="E90" s="1"/>
  <c r="E86"/>
  <c r="E85" s="1"/>
  <c r="E81"/>
  <c r="E80" s="1"/>
  <c r="E68"/>
  <c r="E67" s="1"/>
  <c r="E76"/>
  <c r="E75"/>
  <c r="D92"/>
  <c r="D87"/>
  <c r="D83"/>
  <c r="D52" s="1"/>
  <c r="D82"/>
  <c r="D62"/>
  <c r="D72"/>
  <c r="D71"/>
  <c r="D70"/>
  <c r="D54" s="1"/>
  <c r="D69"/>
  <c r="E155" i="3"/>
  <c r="E154" s="1"/>
  <c r="E105"/>
  <c r="E107"/>
  <c r="E102"/>
  <c r="E99"/>
  <c r="E93"/>
  <c r="E95"/>
  <c r="E90"/>
  <c r="E87"/>
  <c r="E81"/>
  <c r="E83"/>
  <c r="E78"/>
  <c r="E75"/>
  <c r="E69"/>
  <c r="E71"/>
  <c r="E66"/>
  <c r="E63"/>
  <c r="E56"/>
  <c r="E58"/>
  <c r="E51"/>
  <c r="E46"/>
  <c r="E32"/>
  <c r="E26"/>
  <c r="D76"/>
  <c r="E19" i="13" l="1"/>
  <c r="O63" i="6"/>
  <c r="E147"/>
  <c r="E239"/>
  <c r="E72"/>
  <c r="E83"/>
  <c r="E44" i="7"/>
  <c r="E201" i="9"/>
  <c r="E213" i="6"/>
  <c r="D22" i="7"/>
  <c r="E33" i="8"/>
  <c r="E54" i="6"/>
  <c r="E77"/>
  <c r="E231"/>
  <c r="D16" i="7"/>
  <c r="E44" i="8"/>
  <c r="E9" s="1"/>
  <c r="E74" i="9"/>
  <c r="E118" i="7"/>
  <c r="E205" i="9"/>
  <c r="E26"/>
  <c r="E223"/>
  <c r="D19" i="7"/>
  <c r="D18" s="1"/>
  <c r="D55" i="4"/>
  <c r="E183" i="9"/>
  <c r="E179"/>
  <c r="D48" i="4"/>
  <c r="E50" i="8"/>
  <c r="E16" i="13"/>
  <c r="E118" i="9"/>
  <c r="E133"/>
  <c r="E174"/>
  <c r="E188"/>
  <c r="E530" i="2"/>
  <c r="E529" s="1"/>
  <c r="E42" i="5"/>
  <c r="E146" s="1"/>
  <c r="E12"/>
  <c r="D67" i="6"/>
  <c r="E226"/>
  <c r="E27"/>
  <c r="E39"/>
  <c r="E25" i="3"/>
  <c r="E45"/>
  <c r="E62"/>
  <c r="E74"/>
  <c r="E86"/>
  <c r="E98"/>
  <c r="E94" i="6"/>
  <c r="E119"/>
  <c r="E27" i="13"/>
  <c r="E36"/>
  <c r="E45"/>
  <c r="E10"/>
  <c r="D61" i="6"/>
  <c r="E88"/>
  <c r="D63" i="13"/>
  <c r="D10" s="1"/>
  <c r="D68"/>
  <c r="D120" s="1"/>
  <c r="E68"/>
  <c r="E120" s="1"/>
  <c r="E83" i="9"/>
  <c r="E127"/>
  <c r="E10" i="7"/>
  <c r="E66" i="6"/>
  <c r="E220"/>
  <c r="E37" i="5"/>
  <c r="E47" i="4"/>
  <c r="E55" i="3"/>
  <c r="E68"/>
  <c r="E80"/>
  <c r="E92"/>
  <c r="E104"/>
  <c r="E536" i="2"/>
  <c r="E535" s="1"/>
  <c r="E127" i="8"/>
  <c r="E126" s="1"/>
  <c r="D84" i="3"/>
  <c r="D79"/>
  <c r="D156"/>
  <c r="D146"/>
  <c r="O146" s="1"/>
  <c r="D134"/>
  <c r="E580" i="2"/>
  <c r="E579" s="1"/>
  <c r="E667"/>
  <c r="E666" s="1"/>
  <c r="E643"/>
  <c r="E642" s="1"/>
  <c r="E610"/>
  <c r="E609" s="1"/>
  <c r="E606"/>
  <c r="E605" s="1"/>
  <c r="E602"/>
  <c r="E601" s="1"/>
  <c r="E568"/>
  <c r="E567" s="1"/>
  <c r="E564"/>
  <c r="E563" s="1"/>
  <c r="E560"/>
  <c r="E559" s="1"/>
  <c r="E556"/>
  <c r="E555" s="1"/>
  <c r="E546"/>
  <c r="E543"/>
  <c r="E542" s="1"/>
  <c r="E462"/>
  <c r="E441"/>
  <c r="E436"/>
  <c r="E432"/>
  <c r="E431" s="1"/>
  <c r="E429"/>
  <c r="E428"/>
  <c r="E365" s="1"/>
  <c r="E423"/>
  <c r="E422" s="1"/>
  <c r="E420"/>
  <c r="E9" i="9" l="1"/>
  <c r="E299"/>
  <c r="E8"/>
  <c r="E300"/>
  <c r="E690" i="2"/>
  <c r="B89" i="1" s="1"/>
  <c r="E295" i="3"/>
  <c r="E8"/>
  <c r="E144" i="8"/>
  <c r="E146" s="1"/>
  <c r="E11" i="13"/>
  <c r="E10" i="8"/>
  <c r="E8" s="1"/>
  <c r="E461" i="2"/>
  <c r="E682" s="1"/>
  <c r="E296" i="3"/>
  <c r="E9"/>
  <c r="O68"/>
  <c r="E689" i="2"/>
  <c r="B88" i="1" s="1"/>
  <c r="E10" i="6"/>
  <c r="E427" i="2"/>
  <c r="E426" s="1"/>
  <c r="E11" i="6"/>
  <c r="E9" i="13"/>
  <c r="E527" i="2"/>
  <c r="E417"/>
  <c r="E435"/>
  <c r="E414"/>
  <c r="E413" s="1"/>
  <c r="E411"/>
  <c r="E409"/>
  <c r="E405"/>
  <c r="E404" s="1"/>
  <c r="E402"/>
  <c r="E400"/>
  <c r="E396"/>
  <c r="E394"/>
  <c r="E391"/>
  <c r="E388"/>
  <c r="E383"/>
  <c r="E379"/>
  <c r="E322"/>
  <c r="E320"/>
  <c r="E226"/>
  <c r="E224"/>
  <c r="E221"/>
  <c r="E218"/>
  <c r="E202"/>
  <c r="E200"/>
  <c r="E197"/>
  <c r="E194"/>
  <c r="E190"/>
  <c r="E173"/>
  <c r="E170"/>
  <c r="E166"/>
  <c r="E163" s="1"/>
  <c r="E161"/>
  <c r="E158"/>
  <c r="E134"/>
  <c r="E130"/>
  <c r="E125"/>
  <c r="E119"/>
  <c r="E115"/>
  <c r="E110"/>
  <c r="E109" s="1"/>
  <c r="E107"/>
  <c r="E105"/>
  <c r="D675"/>
  <c r="D668"/>
  <c r="D660"/>
  <c r="D644"/>
  <c r="D584"/>
  <c r="D569"/>
  <c r="D561"/>
  <c r="D558"/>
  <c r="D557"/>
  <c r="D548"/>
  <c r="D547" s="1"/>
  <c r="D546" s="1"/>
  <c r="D463"/>
  <c r="D433"/>
  <c r="D430"/>
  <c r="D428"/>
  <c r="D424"/>
  <c r="D421"/>
  <c r="D419"/>
  <c r="D395"/>
  <c r="D390"/>
  <c r="D339"/>
  <c r="D227"/>
  <c r="D225"/>
  <c r="D222"/>
  <c r="D220"/>
  <c r="D219"/>
  <c r="D215"/>
  <c r="D210"/>
  <c r="D140"/>
  <c r="D133"/>
  <c r="D132"/>
  <c r="D120"/>
  <c r="D111"/>
  <c r="D108"/>
  <c r="D100"/>
  <c r="D97"/>
  <c r="D95"/>
  <c r="D90"/>
  <c r="D88"/>
  <c r="D85"/>
  <c r="D83"/>
  <c r="D76"/>
  <c r="D73"/>
  <c r="D71"/>
  <c r="D78"/>
  <c r="D66"/>
  <c r="D63"/>
  <c r="D60"/>
  <c r="E187" l="1"/>
  <c r="E301" i="9"/>
  <c r="E7"/>
  <c r="E7" i="3"/>
  <c r="E691" i="2"/>
  <c r="E692" s="1"/>
  <c r="E9" i="6"/>
  <c r="E364" i="2"/>
  <c r="E363" s="1"/>
  <c r="E526"/>
  <c r="E8" i="13"/>
  <c r="E199" i="2"/>
  <c r="E217"/>
  <c r="E223"/>
  <c r="E169"/>
  <c r="E319"/>
  <c r="E114"/>
  <c r="E104"/>
  <c r="E408"/>
  <c r="E387"/>
  <c r="E393"/>
  <c r="E399"/>
  <c r="E25"/>
  <c r="B30" i="1" s="1"/>
  <c r="E122" i="2"/>
  <c r="E121" s="1"/>
  <c r="E129"/>
  <c r="E157"/>
  <c r="E193"/>
  <c r="E378"/>
  <c r="J372" l="1"/>
  <c r="I372"/>
  <c r="H372"/>
  <c r="G372"/>
  <c r="F372"/>
  <c r="L372"/>
  <c r="D661" l="1"/>
  <c r="D664"/>
  <c r="F538" l="1"/>
  <c r="G538"/>
  <c r="H538"/>
  <c r="I538"/>
  <c r="J538"/>
  <c r="K538"/>
  <c r="F532"/>
  <c r="G532"/>
  <c r="H532"/>
  <c r="I532"/>
  <c r="J532"/>
  <c r="K532"/>
  <c r="F651"/>
  <c r="G651"/>
  <c r="H651"/>
  <c r="I651"/>
  <c r="J651"/>
  <c r="K651"/>
  <c r="L655"/>
  <c r="L654" s="1"/>
  <c r="K655"/>
  <c r="K654" s="1"/>
  <c r="J655"/>
  <c r="J654" s="1"/>
  <c r="I655"/>
  <c r="I654" s="1"/>
  <c r="H655"/>
  <c r="H654" s="1"/>
  <c r="G655"/>
  <c r="G654" s="1"/>
  <c r="F655"/>
  <c r="F654" s="1"/>
  <c r="D581"/>
  <c r="L583"/>
  <c r="L582" s="1"/>
  <c r="F583"/>
  <c r="F582" s="1"/>
  <c r="G583"/>
  <c r="G582" s="1"/>
  <c r="H583"/>
  <c r="H582" s="1"/>
  <c r="I583"/>
  <c r="I582" s="1"/>
  <c r="J583"/>
  <c r="J582" s="1"/>
  <c r="K583"/>
  <c r="K582" s="1"/>
  <c r="D583"/>
  <c r="D582" s="1"/>
  <c r="M532" l="1"/>
  <c r="D652"/>
  <c r="D565"/>
  <c r="D656"/>
  <c r="D655" s="1"/>
  <c r="D654" s="1"/>
  <c r="L532"/>
  <c r="D653"/>
  <c r="D532" s="1"/>
  <c r="L651"/>
  <c r="L538"/>
  <c r="D538" l="1"/>
  <c r="D94" i="9"/>
  <c r="D218"/>
  <c r="D20"/>
  <c r="D19" s="1"/>
  <c r="D93" l="1"/>
  <c r="D92" s="1"/>
  <c r="F411" i="2"/>
  <c r="F409"/>
  <c r="G414"/>
  <c r="G413" s="1"/>
  <c r="L415"/>
  <c r="D415" s="1"/>
  <c r="F400"/>
  <c r="G405"/>
  <c r="G404" s="1"/>
  <c r="L406"/>
  <c r="F402"/>
  <c r="L403"/>
  <c r="F391"/>
  <c r="G396"/>
  <c r="D385"/>
  <c r="D382"/>
  <c r="D380"/>
  <c r="G393" l="1"/>
  <c r="F399"/>
  <c r="D403"/>
  <c r="D410"/>
  <c r="D392"/>
  <c r="D389"/>
  <c r="D412"/>
  <c r="D406"/>
  <c r="D397"/>
  <c r="F408"/>
  <c r="F322"/>
  <c r="F319" s="1"/>
  <c r="L323"/>
  <c r="D323" s="1"/>
  <c r="D315"/>
  <c r="D82"/>
  <c r="D56"/>
  <c r="D106"/>
  <c r="D94"/>
  <c r="D318" l="1"/>
  <c r="D251"/>
  <c r="D127"/>
  <c r="D116"/>
  <c r="D239"/>
  <c r="D155"/>
  <c r="D150"/>
  <c r="D147"/>
  <c r="D174"/>
  <c r="D198"/>
  <c r="D195"/>
  <c r="D186"/>
  <c r="D143"/>
  <c r="D136"/>
  <c r="L121" i="7"/>
  <c r="D140"/>
  <c r="J139"/>
  <c r="I139"/>
  <c r="H139"/>
  <c r="G139"/>
  <c r="F139"/>
  <c r="L139"/>
  <c r="J137"/>
  <c r="I137"/>
  <c r="H137"/>
  <c r="G137"/>
  <c r="F137"/>
  <c r="L137"/>
  <c r="M134"/>
  <c r="J134"/>
  <c r="I134"/>
  <c r="H134"/>
  <c r="G134"/>
  <c r="F134"/>
  <c r="L134"/>
  <c r="M130"/>
  <c r="D131"/>
  <c r="J131"/>
  <c r="I131"/>
  <c r="H131"/>
  <c r="H130" s="1"/>
  <c r="G131"/>
  <c r="F131"/>
  <c r="L9"/>
  <c r="G75" i="9"/>
  <c r="G77"/>
  <c r="L78"/>
  <c r="L76"/>
  <c r="D60"/>
  <c r="D55"/>
  <c r="D52"/>
  <c r="D51" s="1"/>
  <c r="D48"/>
  <c r="D43"/>
  <c r="D40"/>
  <c r="D39" s="1"/>
  <c r="G22"/>
  <c r="G18" s="1"/>
  <c r="D28"/>
  <c r="H136" i="7" l="1"/>
  <c r="G136"/>
  <c r="F7"/>
  <c r="F13"/>
  <c r="L13"/>
  <c r="F136"/>
  <c r="J136"/>
  <c r="D27" i="9"/>
  <c r="L7" i="7"/>
  <c r="F119"/>
  <c r="D121"/>
  <c r="D76" i="9"/>
  <c r="D78"/>
  <c r="G74"/>
  <c r="D231" i="2"/>
  <c r="D243"/>
  <c r="D246"/>
  <c r="D159"/>
  <c r="D167"/>
  <c r="D31" i="9"/>
  <c r="D36"/>
  <c r="D138" i="7"/>
  <c r="D137" s="1"/>
  <c r="D26"/>
  <c r="L130"/>
  <c r="G130"/>
  <c r="I130"/>
  <c r="L136"/>
  <c r="D162" i="2"/>
  <c r="D183"/>
  <c r="D191"/>
  <c r="D171"/>
  <c r="D179"/>
  <c r="D234"/>
  <c r="F130" i="7"/>
  <c r="J130"/>
  <c r="I136"/>
  <c r="D139"/>
  <c r="E139"/>
  <c r="E134"/>
  <c r="E130" s="1"/>
  <c r="E137"/>
  <c r="L220" i="9"/>
  <c r="L219" s="1"/>
  <c r="K224"/>
  <c r="J224"/>
  <c r="I224"/>
  <c r="H224"/>
  <c r="G224"/>
  <c r="F224"/>
  <c r="L224"/>
  <c r="D222"/>
  <c r="D221"/>
  <c r="K220"/>
  <c r="K219" s="1"/>
  <c r="J220"/>
  <c r="J219" s="1"/>
  <c r="I220"/>
  <c r="I219" s="1"/>
  <c r="H220"/>
  <c r="H219" s="1"/>
  <c r="G220"/>
  <c r="F220"/>
  <c r="F219" s="1"/>
  <c r="D217"/>
  <c r="K216"/>
  <c r="J216"/>
  <c r="I216"/>
  <c r="H216"/>
  <c r="G216"/>
  <c r="F216"/>
  <c r="L216"/>
  <c r="L12" s="1"/>
  <c r="G219" l="1"/>
  <c r="M220"/>
  <c r="M219" s="1"/>
  <c r="M216"/>
  <c r="M215" s="1"/>
  <c r="L11"/>
  <c r="I223"/>
  <c r="L11" i="7"/>
  <c r="L215" i="9"/>
  <c r="L223"/>
  <c r="K223"/>
  <c r="F11" i="7"/>
  <c r="I215" i="9"/>
  <c r="G215"/>
  <c r="K215"/>
  <c r="F215"/>
  <c r="H215"/>
  <c r="J215"/>
  <c r="J223"/>
  <c r="G223"/>
  <c r="D216"/>
  <c r="F223"/>
  <c r="H223"/>
  <c r="D220"/>
  <c r="D136" i="7"/>
  <c r="D135"/>
  <c r="D134" s="1"/>
  <c r="D130" s="1"/>
  <c r="D224" i="9"/>
  <c r="E136" i="7"/>
  <c r="L131" i="6"/>
  <c r="D219" i="9" l="1"/>
  <c r="M214"/>
  <c r="G214"/>
  <c r="F214"/>
  <c r="L214"/>
  <c r="K214"/>
  <c r="D223"/>
  <c r="I214"/>
  <c r="H214"/>
  <c r="J214"/>
  <c r="D131" i="6"/>
  <c r="D215" i="9"/>
  <c r="D214" s="1"/>
  <c r="F132" i="6"/>
  <c r="M132" s="1"/>
  <c r="F122"/>
  <c r="J100"/>
  <c r="J96" l="1"/>
  <c r="M127"/>
  <c r="D112"/>
  <c r="M112"/>
  <c r="L106"/>
  <c r="L102"/>
  <c r="D127"/>
  <c r="D81"/>
  <c r="D76" l="1"/>
  <c r="D74"/>
  <c r="D79"/>
  <c r="F134" i="9"/>
  <c r="L134"/>
  <c r="L128"/>
  <c r="F128"/>
  <c r="G128"/>
  <c r="G127" s="1"/>
  <c r="H128"/>
  <c r="I128"/>
  <c r="J128"/>
  <c r="K128"/>
  <c r="F208"/>
  <c r="D208" s="1"/>
  <c r="L211"/>
  <c r="F211"/>
  <c r="G211"/>
  <c r="H211"/>
  <c r="I211"/>
  <c r="J211"/>
  <c r="K211"/>
  <c r="K210" s="1"/>
  <c r="L206"/>
  <c r="F206"/>
  <c r="G206"/>
  <c r="H206"/>
  <c r="I206"/>
  <c r="J206"/>
  <c r="K206"/>
  <c r="K205" s="1"/>
  <c r="D200"/>
  <c r="D199"/>
  <c r="D195"/>
  <c r="M208"/>
  <c r="M206"/>
  <c r="L202"/>
  <c r="F202"/>
  <c r="G202"/>
  <c r="H202"/>
  <c r="I202"/>
  <c r="J202"/>
  <c r="K202"/>
  <c r="L198"/>
  <c r="L16" s="1"/>
  <c r="F198"/>
  <c r="F16" s="1"/>
  <c r="G198"/>
  <c r="H198"/>
  <c r="H16" s="1"/>
  <c r="I198"/>
  <c r="I16" s="1"/>
  <c r="J198"/>
  <c r="J16" s="1"/>
  <c r="K198"/>
  <c r="K16" s="1"/>
  <c r="F194"/>
  <c r="F12" s="1"/>
  <c r="G194"/>
  <c r="H194"/>
  <c r="H12" s="1"/>
  <c r="I194"/>
  <c r="I12" s="1"/>
  <c r="J194"/>
  <c r="J12" s="1"/>
  <c r="K194"/>
  <c r="K12" s="1"/>
  <c r="G16" l="1"/>
  <c r="M16" s="1"/>
  <c r="M198"/>
  <c r="M197" s="1"/>
  <c r="G12"/>
  <c r="G11" s="1"/>
  <c r="M194"/>
  <c r="M12" s="1"/>
  <c r="I11"/>
  <c r="J11"/>
  <c r="F11"/>
  <c r="H11"/>
  <c r="F15"/>
  <c r="J15"/>
  <c r="I15"/>
  <c r="L15"/>
  <c r="K15"/>
  <c r="H15"/>
  <c r="M128"/>
  <c r="K11"/>
  <c r="D134"/>
  <c r="G210"/>
  <c r="L210"/>
  <c r="I210"/>
  <c r="L205"/>
  <c r="M193"/>
  <c r="F210"/>
  <c r="D129"/>
  <c r="J201"/>
  <c r="H201"/>
  <c r="F201"/>
  <c r="J205"/>
  <c r="F205"/>
  <c r="D198"/>
  <c r="D194"/>
  <c r="K201"/>
  <c r="I201"/>
  <c r="G201"/>
  <c r="L201"/>
  <c r="H205"/>
  <c r="I205"/>
  <c r="G205"/>
  <c r="J210"/>
  <c r="H210"/>
  <c r="J197"/>
  <c r="H197"/>
  <c r="F197"/>
  <c r="K197"/>
  <c r="I197"/>
  <c r="G197"/>
  <c r="L197"/>
  <c r="K193"/>
  <c r="I193"/>
  <c r="G193"/>
  <c r="J193"/>
  <c r="H193"/>
  <c r="F193"/>
  <c r="D206"/>
  <c r="D202"/>
  <c r="D211"/>
  <c r="M205"/>
  <c r="L193"/>
  <c r="M674" i="2"/>
  <c r="M673" s="1"/>
  <c r="L674"/>
  <c r="L673" s="1"/>
  <c r="F674"/>
  <c r="F673" s="1"/>
  <c r="G674"/>
  <c r="G673" s="1"/>
  <c r="H674"/>
  <c r="H673" s="1"/>
  <c r="I674"/>
  <c r="I673" s="1"/>
  <c r="J674"/>
  <c r="J673" s="1"/>
  <c r="K674"/>
  <c r="K673" s="1"/>
  <c r="D674"/>
  <c r="D673" s="1"/>
  <c r="H611"/>
  <c r="H537" s="1"/>
  <c r="H607"/>
  <c r="M607" s="1"/>
  <c r="G15" i="9" l="1"/>
  <c r="I10"/>
  <c r="J10"/>
  <c r="H10"/>
  <c r="D197"/>
  <c r="K10"/>
  <c r="F192"/>
  <c r="J192"/>
  <c r="K192"/>
  <c r="D205"/>
  <c r="F10"/>
  <c r="D210"/>
  <c r="D193"/>
  <c r="D544" i="2"/>
  <c r="D545"/>
  <c r="M192" i="9"/>
  <c r="D607" i="2"/>
  <c r="G192" i="9"/>
  <c r="D201"/>
  <c r="I192"/>
  <c r="H192"/>
  <c r="D611" i="2"/>
  <c r="D537" s="1"/>
  <c r="L192" i="9"/>
  <c r="D192" l="1"/>
  <c r="K10" i="13" l="1"/>
  <c r="J10"/>
  <c r="I10"/>
  <c r="H10"/>
  <c r="G10"/>
  <c r="F10"/>
  <c r="G21"/>
  <c r="G20" s="1"/>
  <c r="H21"/>
  <c r="H20" s="1"/>
  <c r="I21"/>
  <c r="I20" s="1"/>
  <c r="J21"/>
  <c r="J20" s="1"/>
  <c r="M10" l="1"/>
  <c r="D53" i="4" l="1"/>
  <c r="D61" i="13" l="1"/>
  <c r="L64"/>
  <c r="L66"/>
  <c r="F69"/>
  <c r="F71"/>
  <c r="F453" i="2"/>
  <c r="G453"/>
  <c r="H453"/>
  <c r="L453"/>
  <c r="L458"/>
  <c r="F458"/>
  <c r="G458"/>
  <c r="H458"/>
  <c r="M453" l="1"/>
  <c r="D59" i="13"/>
  <c r="D21" s="1"/>
  <c r="D20" s="1"/>
  <c r="F21"/>
  <c r="F20" s="1"/>
  <c r="L63"/>
  <c r="D458" i="2"/>
  <c r="F68" i="13"/>
  <c r="F120" s="1"/>
  <c r="L10" l="1"/>
  <c r="D453" i="2"/>
  <c r="D454"/>
  <c r="D455"/>
  <c r="F452"/>
  <c r="G452"/>
  <c r="H452"/>
  <c r="H365" s="1"/>
  <c r="L452"/>
  <c r="D452" s="1"/>
  <c r="D451" s="1"/>
  <c r="M458"/>
  <c r="M459"/>
  <c r="M460"/>
  <c r="F457"/>
  <c r="G457"/>
  <c r="M457" s="1"/>
  <c r="H457"/>
  <c r="L457"/>
  <c r="L369" s="1"/>
  <c r="D462"/>
  <c r="D461" s="1"/>
  <c r="G462"/>
  <c r="H462"/>
  <c r="F462"/>
  <c r="M452" l="1"/>
  <c r="M451" s="1"/>
  <c r="H369"/>
  <c r="H367" s="1"/>
  <c r="L367"/>
  <c r="M456"/>
  <c r="D457"/>
  <c r="L456"/>
  <c r="H461"/>
  <c r="F461"/>
  <c r="G461"/>
  <c r="G451"/>
  <c r="H451"/>
  <c r="F451"/>
  <c r="L451"/>
  <c r="F456"/>
  <c r="G456"/>
  <c r="H456"/>
  <c r="M450" l="1"/>
  <c r="D456"/>
  <c r="D450" s="1"/>
  <c r="G450"/>
  <c r="F450"/>
  <c r="L450"/>
  <c r="H450"/>
  <c r="D55" i="6" l="1"/>
  <c r="D57"/>
  <c r="F55"/>
  <c r="G55"/>
  <c r="H55"/>
  <c r="I55"/>
  <c r="L55"/>
  <c r="F57"/>
  <c r="G57"/>
  <c r="H57"/>
  <c r="I57"/>
  <c r="L57"/>
  <c r="L41"/>
  <c r="F41"/>
  <c r="G41"/>
  <c r="H41"/>
  <c r="L45"/>
  <c r="F45"/>
  <c r="G45"/>
  <c r="H45"/>
  <c r="H15" s="1"/>
  <c r="L50"/>
  <c r="F50"/>
  <c r="G50"/>
  <c r="H50"/>
  <c r="H49" s="1"/>
  <c r="L61"/>
  <c r="G49" l="1"/>
  <c r="M50"/>
  <c r="M49" s="1"/>
  <c r="G15"/>
  <c r="M45"/>
  <c r="M41"/>
  <c r="D45"/>
  <c r="F49"/>
  <c r="L49"/>
  <c r="D50"/>
  <c r="D49" s="1"/>
  <c r="D41"/>
  <c r="I54"/>
  <c r="G54"/>
  <c r="L54"/>
  <c r="H54"/>
  <c r="F54"/>
  <c r="O54" s="1"/>
  <c r="D54"/>
  <c r="H40"/>
  <c r="F40"/>
  <c r="G40"/>
  <c r="L40"/>
  <c r="M40" l="1"/>
  <c r="M39" s="1"/>
  <c r="L39"/>
  <c r="G39"/>
  <c r="H39"/>
  <c r="F39"/>
  <c r="D40"/>
  <c r="D39" s="1"/>
  <c r="M171" l="1"/>
  <c r="H200"/>
  <c r="H198" s="1"/>
  <c r="G200"/>
  <c r="H207"/>
  <c r="G207"/>
  <c r="M175" l="1"/>
  <c r="M174" s="1"/>
  <c r="D612" i="2" l="1"/>
  <c r="D608" l="1"/>
  <c r="F539"/>
  <c r="G539"/>
  <c r="H539"/>
  <c r="I539"/>
  <c r="J539"/>
  <c r="K539"/>
  <c r="K533"/>
  <c r="J533"/>
  <c r="I533"/>
  <c r="H533"/>
  <c r="G533"/>
  <c r="F533"/>
  <c r="L533"/>
  <c r="L539"/>
  <c r="L663"/>
  <c r="L662" s="1"/>
  <c r="L690" s="1"/>
  <c r="D663"/>
  <c r="K659"/>
  <c r="J659"/>
  <c r="I659"/>
  <c r="H659"/>
  <c r="G659"/>
  <c r="F659"/>
  <c r="M533" l="1"/>
  <c r="L659"/>
  <c r="D662"/>
  <c r="D165" i="9" l="1"/>
  <c r="D169"/>
  <c r="D168"/>
  <c r="D164"/>
  <c r="D34" i="13" l="1"/>
  <c r="D25" s="1"/>
  <c r="D43"/>
  <c r="J119" l="1"/>
  <c r="J121" s="1"/>
  <c r="K119"/>
  <c r="K121" s="1"/>
  <c r="D34" i="6" l="1"/>
  <c r="D29"/>
  <c r="L119" i="9"/>
  <c r="D132" l="1"/>
  <c r="D137"/>
  <c r="D23" s="1"/>
  <c r="D131" i="2"/>
  <c r="D136" i="9" l="1"/>
  <c r="D133" s="1"/>
  <c r="L84" i="6"/>
  <c r="L86"/>
  <c r="L89"/>
  <c r="L91"/>
  <c r="L88" l="1"/>
  <c r="L83"/>
  <c r="H99" i="13"/>
  <c r="I99"/>
  <c r="J99"/>
  <c r="K99"/>
  <c r="M114"/>
  <c r="M113" s="1"/>
  <c r="F114"/>
  <c r="F113" s="1"/>
  <c r="L114"/>
  <c r="L113" s="1"/>
  <c r="D114" l="1"/>
  <c r="D113" s="1"/>
  <c r="J31" i="6"/>
  <c r="I31"/>
  <c r="H31"/>
  <c r="G31"/>
  <c r="M31" s="1"/>
  <c r="L31"/>
  <c r="D31" l="1"/>
  <c r="D59" i="9"/>
  <c r="D56" s="1"/>
  <c r="G59"/>
  <c r="F59"/>
  <c r="L59"/>
  <c r="F54"/>
  <c r="M54"/>
  <c r="D54"/>
  <c r="L54"/>
  <c r="G56" l="1"/>
  <c r="L56"/>
  <c r="F56"/>
  <c r="M50"/>
  <c r="F50"/>
  <c r="D50"/>
  <c r="L50" l="1"/>
  <c r="K138" i="3" l="1"/>
  <c r="J138"/>
  <c r="I138"/>
  <c r="H138"/>
  <c r="G138"/>
  <c r="F138"/>
  <c r="L138"/>
  <c r="D155"/>
  <c r="D154" s="1"/>
  <c r="K155"/>
  <c r="J155"/>
  <c r="I155"/>
  <c r="H155"/>
  <c r="G155"/>
  <c r="F155"/>
  <c r="L155"/>
  <c r="K150"/>
  <c r="M150" s="1"/>
  <c r="I149"/>
  <c r="H149"/>
  <c r="G149"/>
  <c r="J149"/>
  <c r="F149"/>
  <c r="D145"/>
  <c r="D144" s="1"/>
  <c r="K145"/>
  <c r="J145"/>
  <c r="I145"/>
  <c r="H145"/>
  <c r="G145"/>
  <c r="F145"/>
  <c r="L145"/>
  <c r="D133"/>
  <c r="D132" s="1"/>
  <c r="K133"/>
  <c r="K132" s="1"/>
  <c r="J133"/>
  <c r="J132" s="1"/>
  <c r="I133"/>
  <c r="I132" s="1"/>
  <c r="H133"/>
  <c r="G133"/>
  <c r="F133"/>
  <c r="L133"/>
  <c r="D131"/>
  <c r="D130"/>
  <c r="K129"/>
  <c r="K17" s="1"/>
  <c r="J129"/>
  <c r="I129"/>
  <c r="H129"/>
  <c r="G129"/>
  <c r="F129"/>
  <c r="L129"/>
  <c r="D127"/>
  <c r="D126"/>
  <c r="K125"/>
  <c r="K12" s="1"/>
  <c r="J125"/>
  <c r="J12" s="1"/>
  <c r="I125"/>
  <c r="I12" s="1"/>
  <c r="H125"/>
  <c r="G125"/>
  <c r="F125"/>
  <c r="L125"/>
  <c r="M129" l="1"/>
  <c r="M138"/>
  <c r="M125"/>
  <c r="M124" s="1"/>
  <c r="L17"/>
  <c r="I17"/>
  <c r="I15" s="1"/>
  <c r="K11"/>
  <c r="J11"/>
  <c r="I11"/>
  <c r="H17"/>
  <c r="J17"/>
  <c r="K15"/>
  <c r="I137"/>
  <c r="I136" s="1"/>
  <c r="J137"/>
  <c r="J136" s="1"/>
  <c r="K137"/>
  <c r="K136" s="1"/>
  <c r="J154"/>
  <c r="J128"/>
  <c r="I128"/>
  <c r="I124"/>
  <c r="H124"/>
  <c r="G124"/>
  <c r="K124"/>
  <c r="J124"/>
  <c r="G137"/>
  <c r="G136" s="1"/>
  <c r="H137"/>
  <c r="H136" s="1"/>
  <c r="F137"/>
  <c r="F136" s="1"/>
  <c r="L154"/>
  <c r="G154"/>
  <c r="I154"/>
  <c r="K154"/>
  <c r="K144"/>
  <c r="F154"/>
  <c r="H154"/>
  <c r="D138"/>
  <c r="D137" s="1"/>
  <c r="D136" s="1"/>
  <c r="F124"/>
  <c r="K149"/>
  <c r="K148" s="1"/>
  <c r="D150"/>
  <c r="O151" s="1"/>
  <c r="L144"/>
  <c r="I144"/>
  <c r="L137"/>
  <c r="L136" s="1"/>
  <c r="D129"/>
  <c r="D125"/>
  <c r="G144"/>
  <c r="F132"/>
  <c r="H132"/>
  <c r="F144"/>
  <c r="O144" s="1"/>
  <c r="H144"/>
  <c r="J144"/>
  <c r="F148"/>
  <c r="G148"/>
  <c r="I148"/>
  <c r="L132"/>
  <c r="G132"/>
  <c r="J148"/>
  <c r="H148"/>
  <c r="F128"/>
  <c r="H128"/>
  <c r="L149"/>
  <c r="G128"/>
  <c r="K128"/>
  <c r="L128"/>
  <c r="L124"/>
  <c r="J15" l="1"/>
  <c r="J10" s="1"/>
  <c r="I123"/>
  <c r="K123"/>
  <c r="O136"/>
  <c r="K10"/>
  <c r="I10"/>
  <c r="J123"/>
  <c r="G123"/>
  <c r="H123"/>
  <c r="F123"/>
  <c r="L148"/>
  <c r="L123"/>
  <c r="M149"/>
  <c r="M148" s="1"/>
  <c r="D149"/>
  <c r="D148" s="1"/>
  <c r="M137"/>
  <c r="M136" s="1"/>
  <c r="M128"/>
  <c r="M123" s="1"/>
  <c r="D128"/>
  <c r="D124"/>
  <c r="D123" l="1"/>
  <c r="M667" i="2"/>
  <c r="M666" s="1"/>
  <c r="D667"/>
  <c r="D666" s="1"/>
  <c r="H667"/>
  <c r="H666" s="1"/>
  <c r="G667"/>
  <c r="G666" s="1"/>
  <c r="F667"/>
  <c r="F666" s="1"/>
  <c r="L667"/>
  <c r="L666" s="1"/>
  <c r="K111" i="6" l="1"/>
  <c r="O105" l="1"/>
  <c r="O95"/>
  <c r="O94" l="1"/>
  <c r="I527" i="2"/>
  <c r="J527"/>
  <c r="K527"/>
  <c r="L534"/>
  <c r="F534"/>
  <c r="G534"/>
  <c r="H534"/>
  <c r="I534"/>
  <c r="J534"/>
  <c r="K534"/>
  <c r="L540"/>
  <c r="I66" i="1" s="1"/>
  <c r="F540" i="2"/>
  <c r="C66" i="1" s="1"/>
  <c r="G540" i="2"/>
  <c r="D66" i="1" s="1"/>
  <c r="H540" i="2"/>
  <c r="E66" i="1" s="1"/>
  <c r="I540" i="2"/>
  <c r="F66" i="1" s="1"/>
  <c r="J540" i="2"/>
  <c r="G66" i="1" s="1"/>
  <c r="K540" i="2"/>
  <c r="H66" i="1" s="1"/>
  <c r="G543" i="2"/>
  <c r="G542" s="1"/>
  <c r="H543"/>
  <c r="H542" s="1"/>
  <c r="F543"/>
  <c r="L546"/>
  <c r="F546"/>
  <c r="G546"/>
  <c r="H546"/>
  <c r="I547"/>
  <c r="I546" s="1"/>
  <c r="I689" s="1"/>
  <c r="J547"/>
  <c r="J546" s="1"/>
  <c r="J689" s="1"/>
  <c r="K547"/>
  <c r="K546" s="1"/>
  <c r="K689" s="1"/>
  <c r="D534"/>
  <c r="M534" l="1"/>
  <c r="G88" i="1"/>
  <c r="J691" i="2"/>
  <c r="H88" i="1"/>
  <c r="K691" i="2"/>
  <c r="F88" i="1"/>
  <c r="I691" i="2"/>
  <c r="D540"/>
  <c r="M543"/>
  <c r="L543"/>
  <c r="L330" l="1"/>
  <c r="L42" s="1"/>
  <c r="L335"/>
  <c r="L328"/>
  <c r="H349"/>
  <c r="H51" s="1"/>
  <c r="F346"/>
  <c r="L346"/>
  <c r="H343"/>
  <c r="F41"/>
  <c r="H340"/>
  <c r="F340"/>
  <c r="L340"/>
  <c r="M343" l="1"/>
  <c r="H42"/>
  <c r="M42" s="1"/>
  <c r="L51"/>
  <c r="F48"/>
  <c r="F44" s="1"/>
  <c r="F43" s="1"/>
  <c r="L40"/>
  <c r="L36" s="1"/>
  <c r="F40"/>
  <c r="F36" s="1"/>
  <c r="F35" s="1"/>
  <c r="H40"/>
  <c r="H36" s="1"/>
  <c r="L48"/>
  <c r="L44" s="1"/>
  <c r="D328"/>
  <c r="D330"/>
  <c r="D340"/>
  <c r="D346"/>
  <c r="D48" s="1"/>
  <c r="D335"/>
  <c r="D349"/>
  <c r="D343"/>
  <c r="D42" l="1"/>
  <c r="H41"/>
  <c r="L49"/>
  <c r="L43" s="1"/>
  <c r="H49"/>
  <c r="H43" s="1"/>
  <c r="H35"/>
  <c r="D40"/>
  <c r="M40"/>
  <c r="L41"/>
  <c r="L35" s="1"/>
  <c r="L91" i="4"/>
  <c r="L90" s="1"/>
  <c r="F91"/>
  <c r="F90" s="1"/>
  <c r="G91"/>
  <c r="G90" s="1"/>
  <c r="H91"/>
  <c r="H90" s="1"/>
  <c r="I91"/>
  <c r="I90" s="1"/>
  <c r="J91"/>
  <c r="J90" s="1"/>
  <c r="K91"/>
  <c r="K90" s="1"/>
  <c r="M91" l="1"/>
  <c r="M90" s="1"/>
  <c r="D91"/>
  <c r="D90" s="1"/>
  <c r="M11" i="9" l="1"/>
  <c r="D141"/>
  <c r="D12" s="1"/>
  <c r="D11" l="1"/>
  <c r="G10"/>
  <c r="D145"/>
  <c r="D16" s="1"/>
  <c r="O23" l="1"/>
  <c r="L10"/>
  <c r="F184" l="1"/>
  <c r="D108" i="3" l="1"/>
  <c r="L21"/>
  <c r="L18" s="1"/>
  <c r="D91" l="1"/>
  <c r="D88"/>
  <c r="O88" s="1"/>
  <c r="D96"/>
  <c r="D103"/>
  <c r="D100"/>
  <c r="D186" i="9"/>
  <c r="D189"/>
  <c r="D188" s="1"/>
  <c r="M175"/>
  <c r="M177"/>
  <c r="D175"/>
  <c r="F175"/>
  <c r="G175"/>
  <c r="L175"/>
  <c r="D177"/>
  <c r="F177"/>
  <c r="G177"/>
  <c r="L177"/>
  <c r="F180"/>
  <c r="G180"/>
  <c r="L180"/>
  <c r="D180"/>
  <c r="D179" s="1"/>
  <c r="D299" s="1"/>
  <c r="M184"/>
  <c r="M186"/>
  <c r="G184"/>
  <c r="H184"/>
  <c r="L184"/>
  <c r="D184"/>
  <c r="F186"/>
  <c r="G186"/>
  <c r="H186"/>
  <c r="L186"/>
  <c r="F189"/>
  <c r="G189"/>
  <c r="H189"/>
  <c r="L189"/>
  <c r="F442" i="2"/>
  <c r="F369" s="1"/>
  <c r="G442"/>
  <c r="M442" s="1"/>
  <c r="I31"/>
  <c r="H31"/>
  <c r="J31"/>
  <c r="K31"/>
  <c r="F22" i="6"/>
  <c r="L22"/>
  <c r="F15"/>
  <c r="L15"/>
  <c r="M128"/>
  <c r="K123"/>
  <c r="J123"/>
  <c r="J121" s="1"/>
  <c r="J120" s="1"/>
  <c r="I123"/>
  <c r="H123"/>
  <c r="H121" s="1"/>
  <c r="H120" s="1"/>
  <c r="G123"/>
  <c r="F123"/>
  <c r="F121" s="1"/>
  <c r="F120" s="1"/>
  <c r="L123"/>
  <c r="K133"/>
  <c r="K125" s="1"/>
  <c r="J133"/>
  <c r="J125" s="1"/>
  <c r="I133"/>
  <c r="I125" s="1"/>
  <c r="H133"/>
  <c r="H125" s="1"/>
  <c r="G133"/>
  <c r="G125" s="1"/>
  <c r="F133"/>
  <c r="L133"/>
  <c r="G116"/>
  <c r="G115" s="1"/>
  <c r="L116"/>
  <c r="L115" s="1"/>
  <c r="K114"/>
  <c r="J114"/>
  <c r="I114"/>
  <c r="H114"/>
  <c r="G114"/>
  <c r="F114"/>
  <c r="J111"/>
  <c r="I111"/>
  <c r="H111"/>
  <c r="G111"/>
  <c r="K110"/>
  <c r="J110"/>
  <c r="I110"/>
  <c r="J108"/>
  <c r="K104"/>
  <c r="K102" s="1"/>
  <c r="J104"/>
  <c r="J102" s="1"/>
  <c r="I104"/>
  <c r="H104"/>
  <c r="H102" s="1"/>
  <c r="G104"/>
  <c r="F104"/>
  <c r="G96"/>
  <c r="H98"/>
  <c r="M37" i="8"/>
  <c r="M20" s="1"/>
  <c r="M16" s="1"/>
  <c r="D71" i="5"/>
  <c r="D74"/>
  <c r="D73" s="1"/>
  <c r="D72" s="1"/>
  <c r="D39"/>
  <c r="D41"/>
  <c r="D40" s="1"/>
  <c r="D46"/>
  <c r="L33" i="3"/>
  <c r="L16" s="1"/>
  <c r="L15" s="1"/>
  <c r="F27"/>
  <c r="G27"/>
  <c r="H27"/>
  <c r="H12" s="1"/>
  <c r="I158" i="9"/>
  <c r="J158"/>
  <c r="K158"/>
  <c r="H155"/>
  <c r="I155"/>
  <c r="J155"/>
  <c r="K155"/>
  <c r="H153"/>
  <c r="I153"/>
  <c r="J153"/>
  <c r="K153"/>
  <c r="G153"/>
  <c r="L84"/>
  <c r="L30"/>
  <c r="L26" s="1"/>
  <c r="L131"/>
  <c r="L75"/>
  <c r="L77"/>
  <c r="L153"/>
  <c r="L155"/>
  <c r="F88"/>
  <c r="F84"/>
  <c r="F30"/>
  <c r="F26" s="1"/>
  <c r="F131"/>
  <c r="F75"/>
  <c r="F77"/>
  <c r="F153"/>
  <c r="F155"/>
  <c r="G155"/>
  <c r="G88"/>
  <c r="G84"/>
  <c r="G26"/>
  <c r="H88"/>
  <c r="H84"/>
  <c r="H127"/>
  <c r="I88"/>
  <c r="I83" s="1"/>
  <c r="I127"/>
  <c r="J152"/>
  <c r="J88"/>
  <c r="J83" s="1"/>
  <c r="J127"/>
  <c r="K88"/>
  <c r="K83" s="1"/>
  <c r="K127"/>
  <c r="L118"/>
  <c r="L140"/>
  <c r="L144"/>
  <c r="L162"/>
  <c r="L166"/>
  <c r="F124"/>
  <c r="F119"/>
  <c r="F140"/>
  <c r="F144"/>
  <c r="F162"/>
  <c r="F166"/>
  <c r="G140"/>
  <c r="G144"/>
  <c r="G162"/>
  <c r="G166"/>
  <c r="H118"/>
  <c r="H139"/>
  <c r="H161"/>
  <c r="I118"/>
  <c r="I139"/>
  <c r="I161"/>
  <c r="J118"/>
  <c r="J139"/>
  <c r="J161"/>
  <c r="K118"/>
  <c r="K139"/>
  <c r="K161"/>
  <c r="D30"/>
  <c r="D26" s="1"/>
  <c r="D128"/>
  <c r="D153"/>
  <c r="D119"/>
  <c r="D140"/>
  <c r="D166"/>
  <c r="D35"/>
  <c r="D32" s="1"/>
  <c r="M66" i="3"/>
  <c r="D67"/>
  <c r="D127" i="7"/>
  <c r="J127"/>
  <c r="I127"/>
  <c r="H127"/>
  <c r="G127"/>
  <c r="F127"/>
  <c r="L127"/>
  <c r="D125"/>
  <c r="J125"/>
  <c r="I125"/>
  <c r="H125"/>
  <c r="G125"/>
  <c r="F125"/>
  <c r="L125"/>
  <c r="D122"/>
  <c r="M122"/>
  <c r="J122"/>
  <c r="I122"/>
  <c r="H122"/>
  <c r="G122"/>
  <c r="F122"/>
  <c r="L122"/>
  <c r="M119"/>
  <c r="M118" s="1"/>
  <c r="J119"/>
  <c r="I119"/>
  <c r="H119"/>
  <c r="G119"/>
  <c r="L119"/>
  <c r="F118"/>
  <c r="J47"/>
  <c r="K171" i="9"/>
  <c r="J171"/>
  <c r="I171"/>
  <c r="H171"/>
  <c r="G171"/>
  <c r="F171"/>
  <c r="L171"/>
  <c r="M166"/>
  <c r="M162"/>
  <c r="L158"/>
  <c r="F158"/>
  <c r="G158"/>
  <c r="H158"/>
  <c r="L149"/>
  <c r="F149"/>
  <c r="G149"/>
  <c r="H149"/>
  <c r="I149"/>
  <c r="J149"/>
  <c r="K149"/>
  <c r="M155"/>
  <c r="M153"/>
  <c r="M144"/>
  <c r="M140"/>
  <c r="F200" i="6"/>
  <c r="H203"/>
  <c r="G203"/>
  <c r="G202" s="1"/>
  <c r="F204"/>
  <c r="F207"/>
  <c r="H210"/>
  <c r="G210"/>
  <c r="G209" s="1"/>
  <c r="G208" s="1"/>
  <c r="F211"/>
  <c r="H447" i="2"/>
  <c r="H446" s="1"/>
  <c r="H682" s="1"/>
  <c r="L334"/>
  <c r="L332"/>
  <c r="L329"/>
  <c r="L326"/>
  <c r="F345"/>
  <c r="L80" i="9"/>
  <c r="F80"/>
  <c r="G80"/>
  <c r="H274"/>
  <c r="I274"/>
  <c r="J274"/>
  <c r="K274"/>
  <c r="E274"/>
  <c r="L274"/>
  <c r="F274"/>
  <c r="G274"/>
  <c r="M274" s="1"/>
  <c r="D274"/>
  <c r="M286"/>
  <c r="M285" s="1"/>
  <c r="K286"/>
  <c r="J286"/>
  <c r="I286"/>
  <c r="H286"/>
  <c r="G286"/>
  <c r="F286"/>
  <c r="L286"/>
  <c r="D286"/>
  <c r="K285"/>
  <c r="J285"/>
  <c r="I285"/>
  <c r="H285"/>
  <c r="G285"/>
  <c r="F285"/>
  <c r="L285"/>
  <c r="D285"/>
  <c r="M75"/>
  <c r="M77"/>
  <c r="D203" i="2"/>
  <c r="D51" s="1"/>
  <c r="O42" s="1"/>
  <c r="D250"/>
  <c r="F250"/>
  <c r="L250"/>
  <c r="D248"/>
  <c r="F248"/>
  <c r="L248"/>
  <c r="M245"/>
  <c r="D245"/>
  <c r="F245"/>
  <c r="L245"/>
  <c r="M244"/>
  <c r="M242"/>
  <c r="F242"/>
  <c r="L242"/>
  <c r="D238"/>
  <c r="F238"/>
  <c r="L238"/>
  <c r="D236"/>
  <c r="F236"/>
  <c r="L236"/>
  <c r="M233"/>
  <c r="F233"/>
  <c r="L233"/>
  <c r="D233"/>
  <c r="F230"/>
  <c r="L230"/>
  <c r="D226"/>
  <c r="F226"/>
  <c r="L226"/>
  <c r="F224"/>
  <c r="L224"/>
  <c r="M221"/>
  <c r="D221"/>
  <c r="F221"/>
  <c r="L221"/>
  <c r="M218"/>
  <c r="F218"/>
  <c r="L218"/>
  <c r="F214"/>
  <c r="F212"/>
  <c r="L209"/>
  <c r="F209"/>
  <c r="D207"/>
  <c r="D214"/>
  <c r="D209"/>
  <c r="L214"/>
  <c r="D212"/>
  <c r="L212"/>
  <c r="M209"/>
  <c r="D70"/>
  <c r="D224"/>
  <c r="D218"/>
  <c r="M133" i="8"/>
  <c r="M132" s="1"/>
  <c r="M131" s="1"/>
  <c r="J106"/>
  <c r="K106"/>
  <c r="D110"/>
  <c r="E120"/>
  <c r="B66" i="1" s="1"/>
  <c r="J66" s="1"/>
  <c r="E119" i="8"/>
  <c r="L119"/>
  <c r="L116" s="1"/>
  <c r="L115" s="1"/>
  <c r="F119"/>
  <c r="G119"/>
  <c r="G116" s="1"/>
  <c r="G115" s="1"/>
  <c r="H119"/>
  <c r="I119"/>
  <c r="I116" s="1"/>
  <c r="I115" s="1"/>
  <c r="J119"/>
  <c r="J116" s="1"/>
  <c r="J115" s="1"/>
  <c r="K119"/>
  <c r="E113"/>
  <c r="L113"/>
  <c r="F113"/>
  <c r="G113"/>
  <c r="H113"/>
  <c r="I113"/>
  <c r="J113"/>
  <c r="K113"/>
  <c r="D113"/>
  <c r="L127"/>
  <c r="L126" s="1"/>
  <c r="I89" i="1" s="1"/>
  <c r="F127" i="8"/>
  <c r="F126" s="1"/>
  <c r="C89" i="1" s="1"/>
  <c r="G127" i="8"/>
  <c r="G126" s="1"/>
  <c r="D89" i="1" s="1"/>
  <c r="H127" i="8"/>
  <c r="H126" s="1"/>
  <c r="E89" i="1" s="1"/>
  <c r="I127" i="8"/>
  <c r="I126" s="1"/>
  <c r="F89" i="1" s="1"/>
  <c r="J127" i="8"/>
  <c r="J126" s="1"/>
  <c r="G89" i="1" s="1"/>
  <c r="K127" i="8"/>
  <c r="K126" s="1"/>
  <c r="H89" i="1" s="1"/>
  <c r="L123" i="8"/>
  <c r="L122" s="1"/>
  <c r="L107" s="1"/>
  <c r="F123"/>
  <c r="F122" s="1"/>
  <c r="F107" s="1"/>
  <c r="G123"/>
  <c r="G122" s="1"/>
  <c r="G107" s="1"/>
  <c r="G105" s="1"/>
  <c r="H123"/>
  <c r="H122" s="1"/>
  <c r="H107" s="1"/>
  <c r="H105" s="1"/>
  <c r="I123"/>
  <c r="I122" s="1"/>
  <c r="I107" s="1"/>
  <c r="I105" s="1"/>
  <c r="J123"/>
  <c r="J122" s="1"/>
  <c r="J107" s="1"/>
  <c r="K123"/>
  <c r="K122" s="1"/>
  <c r="K107" s="1"/>
  <c r="D119"/>
  <c r="K110"/>
  <c r="G110"/>
  <c r="I110"/>
  <c r="L110"/>
  <c r="I54" i="1" s="1"/>
  <c r="E110" i="8"/>
  <c r="J110"/>
  <c r="H110"/>
  <c r="F110"/>
  <c r="M81" i="4"/>
  <c r="M80" s="1"/>
  <c r="I26" i="3"/>
  <c r="I25" s="1"/>
  <c r="L38"/>
  <c r="G41"/>
  <c r="I41"/>
  <c r="F71"/>
  <c r="L66"/>
  <c r="F63"/>
  <c r="F66"/>
  <c r="B130" i="1"/>
  <c r="B142"/>
  <c r="D234" i="6"/>
  <c r="D259"/>
  <c r="D229"/>
  <c r="D28"/>
  <c r="D58" i="13"/>
  <c r="O33"/>
  <c r="D81" i="4"/>
  <c r="D80" s="1"/>
  <c r="D75" i="3"/>
  <c r="D659" i="2"/>
  <c r="D658" s="1"/>
  <c r="D366"/>
  <c r="D332"/>
  <c r="M86" i="4"/>
  <c r="M85" s="1"/>
  <c r="M30" i="13"/>
  <c r="M119" i="9"/>
  <c r="M262" i="6"/>
  <c r="M260" s="1"/>
  <c r="M259" s="1"/>
  <c r="M73"/>
  <c r="M28"/>
  <c r="M64" i="5"/>
  <c r="M63" s="1"/>
  <c r="M62" s="1"/>
  <c r="L14"/>
  <c r="L13" s="1"/>
  <c r="M90" i="3"/>
  <c r="M659" i="2"/>
  <c r="M658" s="1"/>
  <c r="M640"/>
  <c r="M636"/>
  <c r="M635" s="1"/>
  <c r="M634" s="1"/>
  <c r="M629"/>
  <c r="M628"/>
  <c r="M621"/>
  <c r="M596"/>
  <c r="M595" s="1"/>
  <c r="M594" s="1"/>
  <c r="M330"/>
  <c r="M329" s="1"/>
  <c r="M328"/>
  <c r="M326" s="1"/>
  <c r="M355"/>
  <c r="M206"/>
  <c r="M81"/>
  <c r="L28" i="6"/>
  <c r="F28"/>
  <c r="G28"/>
  <c r="H28"/>
  <c r="I28"/>
  <c r="J28"/>
  <c r="G140"/>
  <c r="D59" i="3"/>
  <c r="L580" i="2"/>
  <c r="L579" s="1"/>
  <c r="M411"/>
  <c r="M409"/>
  <c r="L115"/>
  <c r="L114" s="1"/>
  <c r="M149"/>
  <c r="D651"/>
  <c r="D650" s="1"/>
  <c r="D38" i="13"/>
  <c r="D13" s="1"/>
  <c r="I30" i="6"/>
  <c r="J30"/>
  <c r="I36"/>
  <c r="I35" s="1"/>
  <c r="J36"/>
  <c r="J35" s="1"/>
  <c r="K36"/>
  <c r="K35" s="1"/>
  <c r="L177"/>
  <c r="D177" s="1"/>
  <c r="D145" s="1"/>
  <c r="L184"/>
  <c r="D184" s="1"/>
  <c r="D153" s="1"/>
  <c r="L250"/>
  <c r="L249" s="1"/>
  <c r="L240" s="1"/>
  <c r="L83" i="3"/>
  <c r="L78"/>
  <c r="L75"/>
  <c r="G71"/>
  <c r="H71"/>
  <c r="H68" s="1"/>
  <c r="G66"/>
  <c r="H66"/>
  <c r="G63"/>
  <c r="H63"/>
  <c r="I53" i="7"/>
  <c r="J53"/>
  <c r="I51"/>
  <c r="J51"/>
  <c r="I48"/>
  <c r="J48"/>
  <c r="I45"/>
  <c r="F30"/>
  <c r="F29" s="1"/>
  <c r="F234" i="6"/>
  <c r="L234"/>
  <c r="L232"/>
  <c r="F232"/>
  <c r="M229"/>
  <c r="F229"/>
  <c r="L229"/>
  <c r="F227"/>
  <c r="M227" s="1"/>
  <c r="L227"/>
  <c r="K107" i="3"/>
  <c r="J107"/>
  <c r="I107"/>
  <c r="H107"/>
  <c r="G107"/>
  <c r="F107"/>
  <c r="L107"/>
  <c r="K105"/>
  <c r="J105"/>
  <c r="I105"/>
  <c r="H105"/>
  <c r="G105"/>
  <c r="F105"/>
  <c r="L105"/>
  <c r="M102"/>
  <c r="K102"/>
  <c r="J102"/>
  <c r="I102"/>
  <c r="H102"/>
  <c r="G102"/>
  <c r="F102"/>
  <c r="L102"/>
  <c r="K99"/>
  <c r="J99"/>
  <c r="I99"/>
  <c r="H99"/>
  <c r="G99"/>
  <c r="F99"/>
  <c r="L99"/>
  <c r="L55" i="2"/>
  <c r="L54" s="1"/>
  <c r="L69"/>
  <c r="L68" s="1"/>
  <c r="L81"/>
  <c r="L80" s="1"/>
  <c r="L93"/>
  <c r="L92" s="1"/>
  <c r="L105"/>
  <c r="L104" s="1"/>
  <c r="M173"/>
  <c r="M169" s="1"/>
  <c r="M185"/>
  <c r="M182"/>
  <c r="F121" i="9"/>
  <c r="K136"/>
  <c r="K133" s="1"/>
  <c r="J136"/>
  <c r="J133" s="1"/>
  <c r="I136"/>
  <c r="I133" s="1"/>
  <c r="H136"/>
  <c r="H133" s="1"/>
  <c r="F136"/>
  <c r="L136"/>
  <c r="M131"/>
  <c r="K124"/>
  <c r="K123" s="1"/>
  <c r="J124"/>
  <c r="J123" s="1"/>
  <c r="I124"/>
  <c r="I123" s="1"/>
  <c r="H124"/>
  <c r="G124"/>
  <c r="L124"/>
  <c r="M121"/>
  <c r="M542" i="2"/>
  <c r="L556"/>
  <c r="L555" s="1"/>
  <c r="G348"/>
  <c r="G345"/>
  <c r="H345"/>
  <c r="H348"/>
  <c r="G338"/>
  <c r="G342"/>
  <c r="H342"/>
  <c r="H338"/>
  <c r="M340"/>
  <c r="H658"/>
  <c r="G658"/>
  <c r="F658"/>
  <c r="L658"/>
  <c r="F650"/>
  <c r="G650"/>
  <c r="H650"/>
  <c r="M650"/>
  <c r="L650"/>
  <c r="H564"/>
  <c r="H563" s="1"/>
  <c r="M564"/>
  <c r="M563" s="1"/>
  <c r="M620"/>
  <c r="H50" i="13"/>
  <c r="G50"/>
  <c r="H56"/>
  <c r="G56"/>
  <c r="L70" i="5"/>
  <c r="L69" s="1"/>
  <c r="L73"/>
  <c r="L40"/>
  <c r="L38"/>
  <c r="K23" i="13"/>
  <c r="I16"/>
  <c r="J16"/>
  <c r="K16"/>
  <c r="I14"/>
  <c r="I12" s="1"/>
  <c r="J14"/>
  <c r="J12" s="1"/>
  <c r="K14"/>
  <c r="K12" s="1"/>
  <c r="L42"/>
  <c r="F42"/>
  <c r="G42"/>
  <c r="H42"/>
  <c r="I42"/>
  <c r="L37"/>
  <c r="F37"/>
  <c r="G37"/>
  <c r="H37"/>
  <c r="L39"/>
  <c r="F39"/>
  <c r="G39"/>
  <c r="H39"/>
  <c r="F33"/>
  <c r="G33"/>
  <c r="H33"/>
  <c r="L33"/>
  <c r="L30"/>
  <c r="F30"/>
  <c r="G30"/>
  <c r="L28"/>
  <c r="F28"/>
  <c r="G28"/>
  <c r="G47" i="9"/>
  <c r="F47"/>
  <c r="G27"/>
  <c r="H36" i="13"/>
  <c r="M88" i="9"/>
  <c r="L130" i="2"/>
  <c r="D54" i="3"/>
  <c r="D53"/>
  <c r="D48"/>
  <c r="F52"/>
  <c r="F17" s="1"/>
  <c r="G52"/>
  <c r="D49"/>
  <c r="L47"/>
  <c r="F47"/>
  <c r="F12" s="1"/>
  <c r="G47"/>
  <c r="F58"/>
  <c r="G58"/>
  <c r="L56"/>
  <c r="F56"/>
  <c r="G56"/>
  <c r="F36" i="8"/>
  <c r="G36"/>
  <c r="F34"/>
  <c r="G34"/>
  <c r="G41"/>
  <c r="G39"/>
  <c r="G38" s="1"/>
  <c r="D40"/>
  <c r="D25" s="1"/>
  <c r="L282" i="9"/>
  <c r="L281" s="1"/>
  <c r="L270" s="1"/>
  <c r="F282"/>
  <c r="F281" s="1"/>
  <c r="G282"/>
  <c r="G281" s="1"/>
  <c r="L437" i="2"/>
  <c r="L365" s="1"/>
  <c r="G26" i="3"/>
  <c r="H610" i="2"/>
  <c r="H609" s="1"/>
  <c r="H689" s="1"/>
  <c r="G602"/>
  <c r="G601" s="1"/>
  <c r="G564"/>
  <c r="G563" s="1"/>
  <c r="D648"/>
  <c r="D647" s="1"/>
  <c r="D646" s="1"/>
  <c r="L647"/>
  <c r="L646" s="1"/>
  <c r="M639"/>
  <c r="M638" s="1"/>
  <c r="K372"/>
  <c r="L366"/>
  <c r="L25" s="1"/>
  <c r="I30" i="1" s="1"/>
  <c r="F366" i="2"/>
  <c r="F25" s="1"/>
  <c r="G366"/>
  <c r="H366"/>
  <c r="H25" s="1"/>
  <c r="E30" i="1" s="1"/>
  <c r="I366" i="2"/>
  <c r="I25" s="1"/>
  <c r="F30" i="1" s="1"/>
  <c r="J366" i="2"/>
  <c r="J15" s="1"/>
  <c r="G20" i="1" s="1"/>
  <c r="K366" i="2"/>
  <c r="J364"/>
  <c r="F202"/>
  <c r="L202"/>
  <c r="D201"/>
  <c r="D200" s="1"/>
  <c r="M197"/>
  <c r="F197"/>
  <c r="L197"/>
  <c r="D196"/>
  <c r="D194" s="1"/>
  <c r="M194"/>
  <c r="F194"/>
  <c r="L194"/>
  <c r="F190"/>
  <c r="L190"/>
  <c r="D189"/>
  <c r="D188" s="1"/>
  <c r="D185"/>
  <c r="F185"/>
  <c r="L185"/>
  <c r="D184"/>
  <c r="F182"/>
  <c r="L182"/>
  <c r="F178"/>
  <c r="D177"/>
  <c r="F173"/>
  <c r="L173"/>
  <c r="D172"/>
  <c r="F170"/>
  <c r="L170"/>
  <c r="F166"/>
  <c r="F161"/>
  <c r="F158"/>
  <c r="L166"/>
  <c r="D165"/>
  <c r="D164" s="1"/>
  <c r="M161"/>
  <c r="L161"/>
  <c r="D160"/>
  <c r="M158"/>
  <c r="L158"/>
  <c r="H432"/>
  <c r="G432"/>
  <c r="F432"/>
  <c r="L432"/>
  <c r="M429"/>
  <c r="G429"/>
  <c r="F429"/>
  <c r="L429"/>
  <c r="M427"/>
  <c r="M426" s="1"/>
  <c r="G427"/>
  <c r="F427"/>
  <c r="L427"/>
  <c r="H423"/>
  <c r="F423"/>
  <c r="G423"/>
  <c r="F420"/>
  <c r="G420"/>
  <c r="F418"/>
  <c r="G418"/>
  <c r="L423"/>
  <c r="M420"/>
  <c r="L420"/>
  <c r="M418"/>
  <c r="L418"/>
  <c r="F414"/>
  <c r="L414"/>
  <c r="D411"/>
  <c r="L411"/>
  <c r="L409"/>
  <c r="F405"/>
  <c r="F404" s="1"/>
  <c r="L405"/>
  <c r="L404" s="1"/>
  <c r="M402"/>
  <c r="L402"/>
  <c r="M400"/>
  <c r="L400"/>
  <c r="M647"/>
  <c r="M646" s="1"/>
  <c r="F647"/>
  <c r="F646" s="1"/>
  <c r="F388"/>
  <c r="F396"/>
  <c r="M391"/>
  <c r="M388"/>
  <c r="F384"/>
  <c r="L381"/>
  <c r="L379"/>
  <c r="D394"/>
  <c r="D372"/>
  <c r="D371" s="1"/>
  <c r="H54" i="8"/>
  <c r="I54"/>
  <c r="J54"/>
  <c r="K54"/>
  <c r="H51"/>
  <c r="H50" s="1"/>
  <c r="H144" s="1"/>
  <c r="I51"/>
  <c r="I50" s="1"/>
  <c r="I144" s="1"/>
  <c r="J51"/>
  <c r="K51"/>
  <c r="K50" s="1"/>
  <c r="K144" s="1"/>
  <c r="H48"/>
  <c r="I48"/>
  <c r="J48"/>
  <c r="K48"/>
  <c r="H45"/>
  <c r="H44" s="1"/>
  <c r="H9" s="1"/>
  <c r="I45"/>
  <c r="J45"/>
  <c r="J44" s="1"/>
  <c r="J9" s="1"/>
  <c r="K45"/>
  <c r="D207" i="6"/>
  <c r="D206" s="1"/>
  <c r="L18" i="5"/>
  <c r="L16" s="1"/>
  <c r="F18"/>
  <c r="F16" s="1"/>
  <c r="G18"/>
  <c r="G16" s="1"/>
  <c r="H18"/>
  <c r="I18"/>
  <c r="I16" s="1"/>
  <c r="J18"/>
  <c r="J16" s="1"/>
  <c r="K18"/>
  <c r="K16" s="1"/>
  <c r="L24"/>
  <c r="L22" s="1"/>
  <c r="L19" s="1"/>
  <c r="F24"/>
  <c r="F22" s="1"/>
  <c r="F19" s="1"/>
  <c r="G24"/>
  <c r="G22" s="1"/>
  <c r="G19" s="1"/>
  <c r="H24"/>
  <c r="H22" s="1"/>
  <c r="H19" s="1"/>
  <c r="I24"/>
  <c r="I22" s="1"/>
  <c r="I19" s="1"/>
  <c r="J24"/>
  <c r="J22" s="1"/>
  <c r="J19" s="1"/>
  <c r="K24"/>
  <c r="K22" s="1"/>
  <c r="K19" s="1"/>
  <c r="K21" i="13"/>
  <c r="K20" s="1"/>
  <c r="I9"/>
  <c r="J9"/>
  <c r="J8" s="1"/>
  <c r="K9"/>
  <c r="K8" s="1"/>
  <c r="I58"/>
  <c r="I60"/>
  <c r="L58"/>
  <c r="F58"/>
  <c r="G58"/>
  <c r="H58"/>
  <c r="L60"/>
  <c r="F60"/>
  <c r="G60"/>
  <c r="H60"/>
  <c r="L140" i="6"/>
  <c r="H191"/>
  <c r="H190" s="1"/>
  <c r="H189" s="1"/>
  <c r="G191"/>
  <c r="M191" s="1"/>
  <c r="F191"/>
  <c r="F190" s="1"/>
  <c r="F189" s="1"/>
  <c r="H195"/>
  <c r="H299" s="1"/>
  <c r="G195"/>
  <c r="G299" s="1"/>
  <c r="F195"/>
  <c r="D70" i="5"/>
  <c r="D69" s="1"/>
  <c r="M70"/>
  <c r="M69" s="1"/>
  <c r="F437" i="2"/>
  <c r="F365" s="1"/>
  <c r="F214" i="6"/>
  <c r="M342" i="2"/>
  <c r="M338"/>
  <c r="E300" i="6"/>
  <c r="E303" s="1"/>
  <c r="J299"/>
  <c r="J298"/>
  <c r="I299"/>
  <c r="I298"/>
  <c r="F298"/>
  <c r="F223"/>
  <c r="L221"/>
  <c r="F218"/>
  <c r="L218"/>
  <c r="F447" i="2"/>
  <c r="F446" s="1"/>
  <c r="F682" s="1"/>
  <c r="G447"/>
  <c r="L447"/>
  <c r="L446" s="1"/>
  <c r="L682" s="1"/>
  <c r="L348"/>
  <c r="F348"/>
  <c r="L342"/>
  <c r="F342"/>
  <c r="L345"/>
  <c r="L338"/>
  <c r="F338"/>
  <c r="D327"/>
  <c r="D37" s="1"/>
  <c r="F317"/>
  <c r="F314"/>
  <c r="D180" i="6"/>
  <c r="F198"/>
  <c r="G198"/>
  <c r="L198"/>
  <c r="I198"/>
  <c r="J198"/>
  <c r="K198"/>
  <c r="D200"/>
  <c r="L206"/>
  <c r="F206"/>
  <c r="G206"/>
  <c r="H206"/>
  <c r="I206"/>
  <c r="J206"/>
  <c r="K206"/>
  <c r="F140"/>
  <c r="H140"/>
  <c r="I140"/>
  <c r="J140"/>
  <c r="K140"/>
  <c r="K14" s="1"/>
  <c r="L141"/>
  <c r="F141"/>
  <c r="G141"/>
  <c r="G16" s="1"/>
  <c r="H141"/>
  <c r="H16" s="1"/>
  <c r="I141"/>
  <c r="I16" s="1"/>
  <c r="J141"/>
  <c r="J16" s="1"/>
  <c r="K141"/>
  <c r="K16" s="1"/>
  <c r="L144"/>
  <c r="I144"/>
  <c r="I301" s="1"/>
  <c r="J144"/>
  <c r="J301" s="1"/>
  <c r="K144"/>
  <c r="F145"/>
  <c r="G145"/>
  <c r="H145"/>
  <c r="I145"/>
  <c r="J145"/>
  <c r="K145"/>
  <c r="L146"/>
  <c r="G146"/>
  <c r="H146"/>
  <c r="I146"/>
  <c r="J146"/>
  <c r="K146"/>
  <c r="L149"/>
  <c r="F149"/>
  <c r="F23" s="1"/>
  <c r="G149"/>
  <c r="G148" s="1"/>
  <c r="H149"/>
  <c r="H23" s="1"/>
  <c r="I149"/>
  <c r="J149"/>
  <c r="J23" s="1"/>
  <c r="K149"/>
  <c r="K148" s="1"/>
  <c r="L152"/>
  <c r="I152"/>
  <c r="J152"/>
  <c r="K152"/>
  <c r="F153"/>
  <c r="G153"/>
  <c r="H153"/>
  <c r="I153"/>
  <c r="J153"/>
  <c r="K153"/>
  <c r="L154"/>
  <c r="G154"/>
  <c r="H154"/>
  <c r="I154"/>
  <c r="J154"/>
  <c r="K154"/>
  <c r="L171"/>
  <c r="F171"/>
  <c r="G171"/>
  <c r="H171"/>
  <c r="I171"/>
  <c r="J171"/>
  <c r="K171"/>
  <c r="F175"/>
  <c r="F174" s="1"/>
  <c r="G175"/>
  <c r="H175"/>
  <c r="H174" s="1"/>
  <c r="I175"/>
  <c r="I174" s="1"/>
  <c r="J175"/>
  <c r="J174" s="1"/>
  <c r="K175"/>
  <c r="K174" s="1"/>
  <c r="D173"/>
  <c r="D172"/>
  <c r="L179"/>
  <c r="F179"/>
  <c r="G179"/>
  <c r="H179"/>
  <c r="I179"/>
  <c r="J179"/>
  <c r="K179"/>
  <c r="F182"/>
  <c r="F181" s="1"/>
  <c r="G182"/>
  <c r="G181" s="1"/>
  <c r="H182"/>
  <c r="I182"/>
  <c r="I181" s="1"/>
  <c r="J182"/>
  <c r="K182"/>
  <c r="K181" s="1"/>
  <c r="L187"/>
  <c r="F187"/>
  <c r="G187"/>
  <c r="H187"/>
  <c r="I187"/>
  <c r="J187"/>
  <c r="K187"/>
  <c r="D188"/>
  <c r="L190"/>
  <c r="L189" s="1"/>
  <c r="I190"/>
  <c r="I189" s="1"/>
  <c r="J190"/>
  <c r="J189" s="1"/>
  <c r="K190"/>
  <c r="K189" s="1"/>
  <c r="L194"/>
  <c r="L193" s="1"/>
  <c r="L192" s="1"/>
  <c r="I194"/>
  <c r="I193" s="1"/>
  <c r="I192" s="1"/>
  <c r="J194"/>
  <c r="J193" s="1"/>
  <c r="J192" s="1"/>
  <c r="K194"/>
  <c r="K193" s="1"/>
  <c r="K192" s="1"/>
  <c r="D199"/>
  <c r="L202"/>
  <c r="I202"/>
  <c r="I201" s="1"/>
  <c r="J202"/>
  <c r="J201" s="1"/>
  <c r="K202"/>
  <c r="K201" s="1"/>
  <c r="L209"/>
  <c r="L208" s="1"/>
  <c r="L205" s="1"/>
  <c r="I209"/>
  <c r="I208" s="1"/>
  <c r="J209"/>
  <c r="J208" s="1"/>
  <c r="K209"/>
  <c r="K208" s="1"/>
  <c r="I93" i="9"/>
  <c r="K98" i="13"/>
  <c r="J98"/>
  <c r="I98"/>
  <c r="G110"/>
  <c r="G109" s="1"/>
  <c r="G99" s="1"/>
  <c r="F110"/>
  <c r="F109" s="1"/>
  <c r="F99" s="1"/>
  <c r="L110"/>
  <c r="L109" s="1"/>
  <c r="L99" s="1"/>
  <c r="L98" s="1"/>
  <c r="M110"/>
  <c r="M109" s="1"/>
  <c r="P112" s="1"/>
  <c r="H107"/>
  <c r="H106" s="1"/>
  <c r="H105" s="1"/>
  <c r="G107"/>
  <c r="G106" s="1"/>
  <c r="G105" s="1"/>
  <c r="F107"/>
  <c r="F106" s="1"/>
  <c r="F105" s="1"/>
  <c r="L107"/>
  <c r="L106" s="1"/>
  <c r="L105" s="1"/>
  <c r="D107"/>
  <c r="D106" s="1"/>
  <c r="D105" s="1"/>
  <c r="H104"/>
  <c r="G104"/>
  <c r="F104"/>
  <c r="L104"/>
  <c r="D104"/>
  <c r="H98"/>
  <c r="D110"/>
  <c r="D109" s="1"/>
  <c r="F38" i="5"/>
  <c r="G38"/>
  <c r="F40"/>
  <c r="G40"/>
  <c r="L43"/>
  <c r="F43"/>
  <c r="K523" i="2"/>
  <c r="K522" s="1"/>
  <c r="J523"/>
  <c r="J522" s="1"/>
  <c r="I523"/>
  <c r="I522" s="1"/>
  <c r="K520"/>
  <c r="J520"/>
  <c r="I520"/>
  <c r="K518"/>
  <c r="J518"/>
  <c r="I518"/>
  <c r="I530"/>
  <c r="I529" s="1"/>
  <c r="K530"/>
  <c r="K529" s="1"/>
  <c r="J530"/>
  <c r="J529" s="1"/>
  <c r="K264" i="6"/>
  <c r="K263" s="1"/>
  <c r="K279" i="9"/>
  <c r="J264" i="6"/>
  <c r="J263" s="1"/>
  <c r="I264"/>
  <c r="I263" s="1"/>
  <c r="I279" i="9"/>
  <c r="K260" i="6"/>
  <c r="K259" s="1"/>
  <c r="K239" s="1"/>
  <c r="K238" s="1"/>
  <c r="J260"/>
  <c r="J259" s="1"/>
  <c r="J239" s="1"/>
  <c r="J238" s="1"/>
  <c r="I260"/>
  <c r="I259" s="1"/>
  <c r="I239" s="1"/>
  <c r="I238" s="1"/>
  <c r="I86" i="4"/>
  <c r="I85" s="1"/>
  <c r="J86"/>
  <c r="J85" s="1"/>
  <c r="K86"/>
  <c r="K85" s="1"/>
  <c r="H86"/>
  <c r="H85" s="1"/>
  <c r="G86"/>
  <c r="G85" s="1"/>
  <c r="F86"/>
  <c r="F85" s="1"/>
  <c r="L86"/>
  <c r="L85" s="1"/>
  <c r="K76"/>
  <c r="K75" s="1"/>
  <c r="J76"/>
  <c r="J75" s="1"/>
  <c r="I76"/>
  <c r="I75" s="1"/>
  <c r="K68"/>
  <c r="K67" s="1"/>
  <c r="J68"/>
  <c r="J67" s="1"/>
  <c r="I68"/>
  <c r="I67" s="1"/>
  <c r="O571" i="2"/>
  <c r="I526"/>
  <c r="J526"/>
  <c r="D576"/>
  <c r="D575" s="1"/>
  <c r="K526"/>
  <c r="I38" i="5"/>
  <c r="J38"/>
  <c r="K38"/>
  <c r="I40"/>
  <c r="J40"/>
  <c r="K40"/>
  <c r="I45"/>
  <c r="I42" s="1"/>
  <c r="I146" s="1"/>
  <c r="J45"/>
  <c r="J42" s="1"/>
  <c r="J146" s="1"/>
  <c r="K45"/>
  <c r="K42" s="1"/>
  <c r="K146" s="1"/>
  <c r="I49"/>
  <c r="J49"/>
  <c r="K49"/>
  <c r="I52"/>
  <c r="I51" s="1"/>
  <c r="J52"/>
  <c r="J51" s="1"/>
  <c r="K52"/>
  <c r="K51" s="1"/>
  <c r="I56"/>
  <c r="I55" s="1"/>
  <c r="J56"/>
  <c r="J55" s="1"/>
  <c r="K56"/>
  <c r="K55" s="1"/>
  <c r="I59"/>
  <c r="J59"/>
  <c r="K59"/>
  <c r="I105"/>
  <c r="J105"/>
  <c r="K105"/>
  <c r="I111"/>
  <c r="J111"/>
  <c r="K111"/>
  <c r="I107"/>
  <c r="J107"/>
  <c r="K107"/>
  <c r="I117"/>
  <c r="I113" s="1"/>
  <c r="J117"/>
  <c r="J113" s="1"/>
  <c r="K117"/>
  <c r="K113" s="1"/>
  <c r="I129"/>
  <c r="J129"/>
  <c r="K129"/>
  <c r="I135"/>
  <c r="J135"/>
  <c r="K135"/>
  <c r="I142"/>
  <c r="I141" s="1"/>
  <c r="J142"/>
  <c r="J141" s="1"/>
  <c r="K142"/>
  <c r="K141" s="1"/>
  <c r="I63"/>
  <c r="J63"/>
  <c r="K63"/>
  <c r="I66"/>
  <c r="I65" s="1"/>
  <c r="J66"/>
  <c r="J65" s="1"/>
  <c r="K66"/>
  <c r="K65" s="1"/>
  <c r="H66"/>
  <c r="G66"/>
  <c r="F66"/>
  <c r="F65" s="1"/>
  <c r="L66"/>
  <c r="L65" s="1"/>
  <c r="H65"/>
  <c r="G65"/>
  <c r="H63"/>
  <c r="G63"/>
  <c r="F63"/>
  <c r="L63"/>
  <c r="L62" s="1"/>
  <c r="F105"/>
  <c r="C50" i="1" s="1"/>
  <c r="G105" i="5"/>
  <c r="H105"/>
  <c r="E50" i="1" s="1"/>
  <c r="M84" i="9"/>
  <c r="H279"/>
  <c r="H278" s="1"/>
  <c r="H277" s="1"/>
  <c r="J279"/>
  <c r="J278" s="1"/>
  <c r="J277" s="1"/>
  <c r="G279"/>
  <c r="G278" s="1"/>
  <c r="G277" s="1"/>
  <c r="I281"/>
  <c r="I270" s="1"/>
  <c r="J281"/>
  <c r="J271" s="1"/>
  <c r="K281"/>
  <c r="J93"/>
  <c r="K93"/>
  <c r="F69" i="3"/>
  <c r="L69"/>
  <c r="D69"/>
  <c r="D81"/>
  <c r="D78"/>
  <c r="M78"/>
  <c r="M75"/>
  <c r="J370" i="2"/>
  <c r="F150" i="1"/>
  <c r="G150"/>
  <c r="H150"/>
  <c r="F139"/>
  <c r="G139"/>
  <c r="H139"/>
  <c r="F142"/>
  <c r="G142"/>
  <c r="H142"/>
  <c r="F130"/>
  <c r="G130"/>
  <c r="H130"/>
  <c r="I130"/>
  <c r="C130"/>
  <c r="D130"/>
  <c r="E130"/>
  <c r="B139"/>
  <c r="I139"/>
  <c r="C139"/>
  <c r="D139"/>
  <c r="E139"/>
  <c r="J139"/>
  <c r="I142"/>
  <c r="C142"/>
  <c r="D142"/>
  <c r="E142"/>
  <c r="B150"/>
  <c r="I150"/>
  <c r="C150"/>
  <c r="D150"/>
  <c r="E150"/>
  <c r="J150"/>
  <c r="J130"/>
  <c r="J142"/>
  <c r="K135" i="6"/>
  <c r="K134" s="1"/>
  <c r="J135"/>
  <c r="J134" s="1"/>
  <c r="I135"/>
  <c r="I134" s="1"/>
  <c r="K116"/>
  <c r="K115" s="1"/>
  <c r="J116"/>
  <c r="J115" s="1"/>
  <c r="I8" i="13"/>
  <c r="I23"/>
  <c r="I19" s="1"/>
  <c r="J23"/>
  <c r="I275" i="9"/>
  <c r="F55" i="1" s="1"/>
  <c r="J275" i="9"/>
  <c r="G55" i="1" s="1"/>
  <c r="K275" i="9"/>
  <c r="H55" i="1" s="1"/>
  <c r="I276" i="9"/>
  <c r="I273" s="1"/>
  <c r="I272" s="1"/>
  <c r="J276"/>
  <c r="K276"/>
  <c r="I15" i="7"/>
  <c r="I10" s="1"/>
  <c r="J15"/>
  <c r="K15"/>
  <c r="K10" s="1"/>
  <c r="I21"/>
  <c r="I17" s="1"/>
  <c r="J21"/>
  <c r="J17" s="1"/>
  <c r="K21"/>
  <c r="K17" s="1"/>
  <c r="K47" i="4"/>
  <c r="F155" i="1"/>
  <c r="H109"/>
  <c r="H155" s="1"/>
  <c r="F59"/>
  <c r="G59"/>
  <c r="H59"/>
  <c r="F58"/>
  <c r="G58"/>
  <c r="H58"/>
  <c r="F61"/>
  <c r="F60" s="1"/>
  <c r="H61"/>
  <c r="H60" s="1"/>
  <c r="F64"/>
  <c r="G64"/>
  <c r="H64"/>
  <c r="F65"/>
  <c r="G65"/>
  <c r="H65"/>
  <c r="F69"/>
  <c r="F68" s="1"/>
  <c r="G69"/>
  <c r="G68" s="1"/>
  <c r="H69"/>
  <c r="H68" s="1"/>
  <c r="I81" i="4"/>
  <c r="I80" s="1"/>
  <c r="J81"/>
  <c r="J80" s="1"/>
  <c r="K81"/>
  <c r="K80" s="1"/>
  <c r="I14" i="5"/>
  <c r="J14"/>
  <c r="K14"/>
  <c r="G61" i="1"/>
  <c r="G60" s="1"/>
  <c r="I47" i="4"/>
  <c r="J47"/>
  <c r="I95" i="3"/>
  <c r="J95"/>
  <c r="K95"/>
  <c r="I93"/>
  <c r="J93"/>
  <c r="K93"/>
  <c r="I90"/>
  <c r="J90"/>
  <c r="K90"/>
  <c r="I87"/>
  <c r="J87"/>
  <c r="K87"/>
  <c r="K370" i="2"/>
  <c r="I467"/>
  <c r="J467"/>
  <c r="K467"/>
  <c r="I468"/>
  <c r="I14" s="1"/>
  <c r="J468"/>
  <c r="J14" s="1"/>
  <c r="K468"/>
  <c r="I469"/>
  <c r="J469"/>
  <c r="J16" s="1"/>
  <c r="K469"/>
  <c r="I471"/>
  <c r="I20" s="1"/>
  <c r="J471"/>
  <c r="J20" s="1"/>
  <c r="K471"/>
  <c r="K20" s="1"/>
  <c r="I472"/>
  <c r="I21" s="1"/>
  <c r="J472"/>
  <c r="J21" s="1"/>
  <c r="K472"/>
  <c r="K21" s="1"/>
  <c r="I475"/>
  <c r="I24" s="1"/>
  <c r="F29" i="1" s="1"/>
  <c r="J475" i="2"/>
  <c r="J24" s="1"/>
  <c r="G29" i="1" s="1"/>
  <c r="K475" i="2"/>
  <c r="I476"/>
  <c r="J476"/>
  <c r="K476"/>
  <c r="K26" s="1"/>
  <c r="I478"/>
  <c r="I32" s="1"/>
  <c r="J478"/>
  <c r="J32" s="1"/>
  <c r="K478"/>
  <c r="K32" s="1"/>
  <c r="I479"/>
  <c r="I33" s="1"/>
  <c r="J479"/>
  <c r="J33" s="1"/>
  <c r="K479"/>
  <c r="K33" s="1"/>
  <c r="I510"/>
  <c r="I509" s="1"/>
  <c r="J510"/>
  <c r="J509" s="1"/>
  <c r="K510"/>
  <c r="I512"/>
  <c r="J512"/>
  <c r="K512"/>
  <c r="I515"/>
  <c r="I514" s="1"/>
  <c r="I513" s="1"/>
  <c r="J515"/>
  <c r="J514" s="1"/>
  <c r="J513" s="1"/>
  <c r="K515"/>
  <c r="K514" s="1"/>
  <c r="K513" s="1"/>
  <c r="K17"/>
  <c r="H22" i="1" s="1"/>
  <c r="K27" i="2"/>
  <c r="H32" i="1" s="1"/>
  <c r="H123" s="1"/>
  <c r="H169" s="1"/>
  <c r="K30" i="2"/>
  <c r="I17"/>
  <c r="F22" i="1" s="1"/>
  <c r="J17" i="2"/>
  <c r="G22" i="1" s="1"/>
  <c r="I27" i="2"/>
  <c r="F32" i="1" s="1"/>
  <c r="F123" s="1"/>
  <c r="F169" s="1"/>
  <c r="I28" i="2"/>
  <c r="J28"/>
  <c r="I30"/>
  <c r="K28"/>
  <c r="D512"/>
  <c r="D511" s="1"/>
  <c r="D468"/>
  <c r="D14" s="1"/>
  <c r="I370"/>
  <c r="F93" i="3"/>
  <c r="G93"/>
  <c r="H93"/>
  <c r="F95"/>
  <c r="G95"/>
  <c r="H95"/>
  <c r="F90"/>
  <c r="G90"/>
  <c r="H90"/>
  <c r="F87"/>
  <c r="G87"/>
  <c r="H87"/>
  <c r="M120" i="6"/>
  <c r="M102"/>
  <c r="H135"/>
  <c r="H134" s="1"/>
  <c r="G135"/>
  <c r="G134" s="1"/>
  <c r="F135"/>
  <c r="F134" s="1"/>
  <c r="O137" s="1"/>
  <c r="L135"/>
  <c r="L134" s="1"/>
  <c r="H116"/>
  <c r="H115" s="1"/>
  <c r="F116"/>
  <c r="F115" s="1"/>
  <c r="F47" i="4"/>
  <c r="M78" i="13"/>
  <c r="M74" s="1"/>
  <c r="M28"/>
  <c r="M125" i="8"/>
  <c r="M123" s="1"/>
  <c r="M122" s="1"/>
  <c r="M114"/>
  <c r="M48" i="7"/>
  <c r="M60"/>
  <c r="M72"/>
  <c r="M84"/>
  <c r="M110"/>
  <c r="M107"/>
  <c r="M106" s="1"/>
  <c r="M81"/>
  <c r="M80" s="1"/>
  <c r="M69"/>
  <c r="M68" s="1"/>
  <c r="M15"/>
  <c r="M86" i="6"/>
  <c r="M84"/>
  <c r="M64"/>
  <c r="M488" i="2"/>
  <c r="M643"/>
  <c r="M642" s="1"/>
  <c r="M589"/>
  <c r="M588"/>
  <c r="M587" s="1"/>
  <c r="M586" s="1"/>
  <c r="M580"/>
  <c r="M579" s="1"/>
  <c r="M574"/>
  <c r="M573"/>
  <c r="M568"/>
  <c r="M567" s="1"/>
  <c r="M556"/>
  <c r="M555" s="1"/>
  <c r="M521"/>
  <c r="M520" s="1"/>
  <c r="M519"/>
  <c r="M518" s="1"/>
  <c r="M503"/>
  <c r="M502" s="1"/>
  <c r="M501"/>
  <c r="M500" s="1"/>
  <c r="M487"/>
  <c r="M483"/>
  <c r="M485"/>
  <c r="M484"/>
  <c r="M381"/>
  <c r="M317"/>
  <c r="M314"/>
  <c r="M134"/>
  <c r="M130"/>
  <c r="M119"/>
  <c r="M115"/>
  <c r="M107"/>
  <c r="M105"/>
  <c r="M96"/>
  <c r="M84"/>
  <c r="M72"/>
  <c r="M58"/>
  <c r="K119" i="1"/>
  <c r="K120"/>
  <c r="K121"/>
  <c r="K122"/>
  <c r="K124"/>
  <c r="K125"/>
  <c r="M75" i="6"/>
  <c r="M72" s="1"/>
  <c r="K139" i="1"/>
  <c r="M69" i="2"/>
  <c r="M93"/>
  <c r="M30" i="6"/>
  <c r="M55" i="2"/>
  <c r="K130" i="1"/>
  <c r="M290" i="9"/>
  <c r="M289" s="1"/>
  <c r="M30"/>
  <c r="M26" s="1"/>
  <c r="M142" i="5"/>
  <c r="M141" s="1"/>
  <c r="M56"/>
  <c r="M55" s="1"/>
  <c r="M49"/>
  <c r="M48" s="1"/>
  <c r="M40"/>
  <c r="M132"/>
  <c r="M129"/>
  <c r="M128" s="1"/>
  <c r="M122"/>
  <c r="M121" s="1"/>
  <c r="M120" s="1"/>
  <c r="M104"/>
  <c r="M38"/>
  <c r="M37" i="3"/>
  <c r="M31"/>
  <c r="I59" i="1"/>
  <c r="M282" i="9"/>
  <c r="M281" s="1"/>
  <c r="M25" i="7"/>
  <c r="M24" s="1"/>
  <c r="F39" i="8"/>
  <c r="F38" s="1"/>
  <c r="L47" i="4"/>
  <c r="H93" i="9"/>
  <c r="G93"/>
  <c r="F93"/>
  <c r="L93"/>
  <c r="H92"/>
  <c r="L384" i="2"/>
  <c r="D469"/>
  <c r="D16" s="1"/>
  <c r="L317"/>
  <c r="L322"/>
  <c r="L314"/>
  <c r="G45" i="8"/>
  <c r="G48"/>
  <c r="G51"/>
  <c r="G54"/>
  <c r="M46"/>
  <c r="L46"/>
  <c r="L13" s="1"/>
  <c r="M48"/>
  <c r="L154" i="2"/>
  <c r="L149"/>
  <c r="L146"/>
  <c r="D153"/>
  <c r="D148"/>
  <c r="L134"/>
  <c r="L138"/>
  <c r="L141"/>
  <c r="D142"/>
  <c r="D50" s="1"/>
  <c r="D49" s="1"/>
  <c r="D139"/>
  <c r="D46" s="1"/>
  <c r="L122"/>
  <c r="L125"/>
  <c r="D118"/>
  <c r="D117"/>
  <c r="D39" s="1"/>
  <c r="D59" i="5"/>
  <c r="D58" s="1"/>
  <c r="H59"/>
  <c r="H58" s="1"/>
  <c r="G59"/>
  <c r="G58" s="1"/>
  <c r="F59"/>
  <c r="F58" s="1"/>
  <c r="L59"/>
  <c r="L58" s="1"/>
  <c r="D56"/>
  <c r="D55" s="1"/>
  <c r="H56"/>
  <c r="G56"/>
  <c r="F56"/>
  <c r="L56"/>
  <c r="L55" s="1"/>
  <c r="E275" i="9"/>
  <c r="F275"/>
  <c r="G275"/>
  <c r="D55" i="1" s="1"/>
  <c r="H275" i="9"/>
  <c r="E55" i="1" s="1"/>
  <c r="H281" i="9"/>
  <c r="H290"/>
  <c r="H289" s="1"/>
  <c r="G290"/>
  <c r="G289" s="1"/>
  <c r="F290"/>
  <c r="F289" s="1"/>
  <c r="H293"/>
  <c r="H292" s="1"/>
  <c r="G293"/>
  <c r="G292" s="1"/>
  <c r="F293"/>
  <c r="D39" i="3"/>
  <c r="D475" i="2"/>
  <c r="D24" s="1"/>
  <c r="L610"/>
  <c r="L609" s="1"/>
  <c r="L689" s="1"/>
  <c r="F610"/>
  <c r="F609" s="1"/>
  <c r="F689" s="1"/>
  <c r="C88" i="1" s="1"/>
  <c r="H65" i="7"/>
  <c r="H63"/>
  <c r="H60"/>
  <c r="H57"/>
  <c r="G65"/>
  <c r="G63"/>
  <c r="G60"/>
  <c r="G57"/>
  <c r="H77"/>
  <c r="H75"/>
  <c r="H72"/>
  <c r="H69"/>
  <c r="G77"/>
  <c r="G75"/>
  <c r="G72"/>
  <c r="G69"/>
  <c r="H115"/>
  <c r="H113"/>
  <c r="H110"/>
  <c r="H107"/>
  <c r="G115"/>
  <c r="G113"/>
  <c r="G110"/>
  <c r="G107"/>
  <c r="H89"/>
  <c r="H87"/>
  <c r="H84"/>
  <c r="H81"/>
  <c r="G89"/>
  <c r="G87"/>
  <c r="G84"/>
  <c r="G81"/>
  <c r="H48"/>
  <c r="H45"/>
  <c r="G48"/>
  <c r="G45"/>
  <c r="H53"/>
  <c r="H51"/>
  <c r="G53"/>
  <c r="G51"/>
  <c r="G25"/>
  <c r="G24" s="1"/>
  <c r="H25"/>
  <c r="H24" s="1"/>
  <c r="I56" i="1"/>
  <c r="L15" i="7"/>
  <c r="F15"/>
  <c r="F10" s="1"/>
  <c r="G15"/>
  <c r="H15"/>
  <c r="C67" i="1"/>
  <c r="C122" s="1"/>
  <c r="C168" s="1"/>
  <c r="L21" i="7"/>
  <c r="F21"/>
  <c r="F17" s="1"/>
  <c r="G21"/>
  <c r="G17" s="1"/>
  <c r="H21"/>
  <c r="H17" s="1"/>
  <c r="E61" i="1"/>
  <c r="E60" s="1"/>
  <c r="H10" i="7"/>
  <c r="F23" i="13"/>
  <c r="F19" s="1"/>
  <c r="H23"/>
  <c r="H19" s="1"/>
  <c r="L23"/>
  <c r="L19" s="1"/>
  <c r="G23"/>
  <c r="G19" s="1"/>
  <c r="E110" i="5"/>
  <c r="B54" i="1" s="1"/>
  <c r="D14" i="5"/>
  <c r="D13" s="1"/>
  <c r="E27"/>
  <c r="M27"/>
  <c r="M29"/>
  <c r="G14"/>
  <c r="G13" s="1"/>
  <c r="H14"/>
  <c r="H34"/>
  <c r="G34"/>
  <c r="H32"/>
  <c r="G32"/>
  <c r="H29"/>
  <c r="G29"/>
  <c r="H27"/>
  <c r="G27"/>
  <c r="H38"/>
  <c r="H40"/>
  <c r="G45"/>
  <c r="G42" s="1"/>
  <c r="H45"/>
  <c r="H42" s="1"/>
  <c r="G49"/>
  <c r="H49"/>
  <c r="G52"/>
  <c r="G51" s="1"/>
  <c r="H52"/>
  <c r="H51" s="1"/>
  <c r="G109"/>
  <c r="D57" i="1" s="1"/>
  <c r="H109" i="5"/>
  <c r="E57" i="1" s="1"/>
  <c r="G111" i="5"/>
  <c r="H111"/>
  <c r="G117"/>
  <c r="H117"/>
  <c r="G114"/>
  <c r="H114"/>
  <c r="H135"/>
  <c r="G135"/>
  <c r="H129"/>
  <c r="G129"/>
  <c r="H142"/>
  <c r="H141" s="1"/>
  <c r="G142"/>
  <c r="G141" s="1"/>
  <c r="H276" i="9"/>
  <c r="H273" s="1"/>
  <c r="H272" s="1"/>
  <c r="G276"/>
  <c r="M276" s="1"/>
  <c r="F276"/>
  <c r="G35"/>
  <c r="F35"/>
  <c r="L35"/>
  <c r="L32" s="1"/>
  <c r="E34" i="5"/>
  <c r="E31" s="1"/>
  <c r="E29"/>
  <c r="L76" i="4"/>
  <c r="F76"/>
  <c r="G76"/>
  <c r="H76"/>
  <c r="L75"/>
  <c r="F75"/>
  <c r="G75"/>
  <c r="H75"/>
  <c r="L68"/>
  <c r="F68"/>
  <c r="F67" s="1"/>
  <c r="G68"/>
  <c r="G67" s="1"/>
  <c r="H68"/>
  <c r="H67" s="1"/>
  <c r="L67"/>
  <c r="G81"/>
  <c r="G80" s="1"/>
  <c r="H81"/>
  <c r="H80" s="1"/>
  <c r="D69" i="1"/>
  <c r="D68" s="1"/>
  <c r="E69"/>
  <c r="E68" s="1"/>
  <c r="I65"/>
  <c r="I64"/>
  <c r="C64"/>
  <c r="D64"/>
  <c r="E64"/>
  <c r="I58"/>
  <c r="C58"/>
  <c r="D58"/>
  <c r="C59"/>
  <c r="D59"/>
  <c r="E59"/>
  <c r="H47" i="4"/>
  <c r="M50" i="3"/>
  <c r="G643" i="2"/>
  <c r="G642" s="1"/>
  <c r="H643"/>
  <c r="H642" s="1"/>
  <c r="H364"/>
  <c r="H370"/>
  <c r="H606"/>
  <c r="H605" s="1"/>
  <c r="G606"/>
  <c r="G605" s="1"/>
  <c r="H568"/>
  <c r="H567" s="1"/>
  <c r="G568"/>
  <c r="G567" s="1"/>
  <c r="E58" i="1"/>
  <c r="H520" i="2"/>
  <c r="H518"/>
  <c r="G520"/>
  <c r="G518"/>
  <c r="H523"/>
  <c r="H522" s="1"/>
  <c r="G523"/>
  <c r="G522" s="1"/>
  <c r="H515"/>
  <c r="H514" s="1"/>
  <c r="H513" s="1"/>
  <c r="H512"/>
  <c r="H511" s="1"/>
  <c r="H510"/>
  <c r="H509" s="1"/>
  <c r="G515"/>
  <c r="G514" s="1"/>
  <c r="G513" s="1"/>
  <c r="G512"/>
  <c r="G511" s="1"/>
  <c r="G510"/>
  <c r="G509" s="1"/>
  <c r="F515"/>
  <c r="F514" s="1"/>
  <c r="F513" s="1"/>
  <c r="F512"/>
  <c r="F511" s="1"/>
  <c r="F510"/>
  <c r="F509" s="1"/>
  <c r="H494"/>
  <c r="H490"/>
  <c r="H486"/>
  <c r="H482"/>
  <c r="G494"/>
  <c r="G490"/>
  <c r="G486"/>
  <c r="G482"/>
  <c r="F494"/>
  <c r="F490"/>
  <c r="F486"/>
  <c r="F482"/>
  <c r="L494"/>
  <c r="L490"/>
  <c r="L486"/>
  <c r="L482"/>
  <c r="H472"/>
  <c r="H21" s="1"/>
  <c r="H471"/>
  <c r="H20" s="1"/>
  <c r="H469"/>
  <c r="H16" s="1"/>
  <c r="H468"/>
  <c r="H14" s="1"/>
  <c r="H467"/>
  <c r="G472"/>
  <c r="G21" s="1"/>
  <c r="G471"/>
  <c r="G469"/>
  <c r="G468"/>
  <c r="G14" s="1"/>
  <c r="G467"/>
  <c r="H479"/>
  <c r="H478"/>
  <c r="H32" s="1"/>
  <c r="H476"/>
  <c r="H26" s="1"/>
  <c r="H475"/>
  <c r="H24" s="1"/>
  <c r="E29" i="1" s="1"/>
  <c r="G479" i="2"/>
  <c r="G478"/>
  <c r="G32" s="1"/>
  <c r="G476"/>
  <c r="G475"/>
  <c r="G24" s="1"/>
  <c r="D29" i="1" s="1"/>
  <c r="G17" i="2"/>
  <c r="H17"/>
  <c r="E22" i="1" s="1"/>
  <c r="G27" i="2"/>
  <c r="D32" i="1" s="1"/>
  <c r="D123" s="1"/>
  <c r="D169" s="1"/>
  <c r="H27" i="2"/>
  <c r="E32" i="1" s="1"/>
  <c r="E123" s="1"/>
  <c r="E169" s="1"/>
  <c r="G28" i="2"/>
  <c r="H28"/>
  <c r="G30"/>
  <c r="H30"/>
  <c r="D490"/>
  <c r="E475"/>
  <c r="E24" s="1"/>
  <c r="B29" i="1" s="1"/>
  <c r="H15" i="2"/>
  <c r="E20" i="1" s="1"/>
  <c r="D65"/>
  <c r="E65"/>
  <c r="E468" i="2"/>
  <c r="E512"/>
  <c r="E19" s="1"/>
  <c r="E520"/>
  <c r="L247" i="6"/>
  <c r="L246" s="1"/>
  <c r="L245" s="1"/>
  <c r="F247"/>
  <c r="F246" s="1"/>
  <c r="F245" s="1"/>
  <c r="G247"/>
  <c r="G246" s="1"/>
  <c r="G245" s="1"/>
  <c r="H247"/>
  <c r="H246" s="1"/>
  <c r="H245" s="1"/>
  <c r="H264"/>
  <c r="H263" s="1"/>
  <c r="G264"/>
  <c r="G263" s="1"/>
  <c r="F264"/>
  <c r="F263" s="1"/>
  <c r="H260"/>
  <c r="H259" s="1"/>
  <c r="G260"/>
  <c r="G259" s="1"/>
  <c r="F260"/>
  <c r="F259" s="1"/>
  <c r="L259"/>
  <c r="L244"/>
  <c r="F244"/>
  <c r="G244"/>
  <c r="H244"/>
  <c r="H243"/>
  <c r="G242"/>
  <c r="G241" s="1"/>
  <c r="G240"/>
  <c r="H240"/>
  <c r="G91"/>
  <c r="H91"/>
  <c r="G89"/>
  <c r="H89"/>
  <c r="G86"/>
  <c r="H86"/>
  <c r="G84"/>
  <c r="H84"/>
  <c r="H80"/>
  <c r="G80"/>
  <c r="H78"/>
  <c r="G78"/>
  <c r="H75"/>
  <c r="G75"/>
  <c r="H73"/>
  <c r="G73"/>
  <c r="H61"/>
  <c r="H69"/>
  <c r="G69"/>
  <c r="F69"/>
  <c r="L69"/>
  <c r="H67"/>
  <c r="G67"/>
  <c r="F67"/>
  <c r="L67"/>
  <c r="H66"/>
  <c r="G66"/>
  <c r="F66"/>
  <c r="O66" s="1"/>
  <c r="L66"/>
  <c r="H64"/>
  <c r="G64"/>
  <c r="F64"/>
  <c r="L64"/>
  <c r="G61"/>
  <c r="F61"/>
  <c r="H36"/>
  <c r="H35" s="1"/>
  <c r="G36"/>
  <c r="G35" s="1"/>
  <c r="F36"/>
  <c r="F35" s="1"/>
  <c r="O35" s="1"/>
  <c r="L36"/>
  <c r="L35" s="1"/>
  <c r="H30"/>
  <c r="G30"/>
  <c r="F30"/>
  <c r="L30"/>
  <c r="H254"/>
  <c r="H253" s="1"/>
  <c r="G254"/>
  <c r="G253" s="1"/>
  <c r="G239" s="1"/>
  <c r="F243"/>
  <c r="L47" i="9"/>
  <c r="F91" i="6"/>
  <c r="F86"/>
  <c r="F89"/>
  <c r="F84"/>
  <c r="D80"/>
  <c r="L80"/>
  <c r="F80"/>
  <c r="L78"/>
  <c r="F78"/>
  <c r="D75"/>
  <c r="L75"/>
  <c r="F75"/>
  <c r="L73"/>
  <c r="F73"/>
  <c r="F69" i="7"/>
  <c r="L69"/>
  <c r="L81" i="4"/>
  <c r="L80" s="1"/>
  <c r="F81"/>
  <c r="F80" s="1"/>
  <c r="D42" i="13"/>
  <c r="D41" s="1"/>
  <c r="D37"/>
  <c r="D30"/>
  <c r="D33"/>
  <c r="D32" s="1"/>
  <c r="L276" i="9"/>
  <c r="D127" i="8"/>
  <c r="D126" s="1"/>
  <c r="E114"/>
  <c r="L54"/>
  <c r="L51"/>
  <c r="L48"/>
  <c r="L41"/>
  <c r="L39"/>
  <c r="L38" s="1"/>
  <c r="L34"/>
  <c r="F115" i="7"/>
  <c r="L115"/>
  <c r="F113"/>
  <c r="L113"/>
  <c r="F110"/>
  <c r="L110"/>
  <c r="L106" s="1"/>
  <c r="F107"/>
  <c r="F89"/>
  <c r="L89"/>
  <c r="F87"/>
  <c r="L87"/>
  <c r="F84"/>
  <c r="L84"/>
  <c r="F81"/>
  <c r="L81"/>
  <c r="F77"/>
  <c r="L77"/>
  <c r="F75"/>
  <c r="L75"/>
  <c r="F72"/>
  <c r="L72"/>
  <c r="F65"/>
  <c r="L65"/>
  <c r="F63"/>
  <c r="L63"/>
  <c r="F60"/>
  <c r="L60"/>
  <c r="F57"/>
  <c r="L57"/>
  <c r="F53"/>
  <c r="L53"/>
  <c r="F51"/>
  <c r="L51"/>
  <c r="F48"/>
  <c r="L48"/>
  <c r="F45"/>
  <c r="L45"/>
  <c r="F25"/>
  <c r="F24" s="1"/>
  <c r="L25"/>
  <c r="L24" s="1"/>
  <c r="F254" i="6"/>
  <c r="F253" s="1"/>
  <c r="F239" s="1"/>
  <c r="L254"/>
  <c r="L253" s="1"/>
  <c r="M250"/>
  <c r="M249" s="1"/>
  <c r="F240"/>
  <c r="F142" i="5"/>
  <c r="F141" s="1"/>
  <c r="D115"/>
  <c r="F135"/>
  <c r="F129"/>
  <c r="F121"/>
  <c r="F120" s="1"/>
  <c r="I68" i="1"/>
  <c r="F117" i="5"/>
  <c r="I122" i="1"/>
  <c r="I168" s="1"/>
  <c r="F114" i="5"/>
  <c r="F111"/>
  <c r="F109"/>
  <c r="C57" i="1" s="1"/>
  <c r="F52" i="5"/>
  <c r="F51" s="1"/>
  <c r="L52"/>
  <c r="L51" s="1"/>
  <c r="F49"/>
  <c r="L49"/>
  <c r="L48" s="1"/>
  <c r="F45"/>
  <c r="L45"/>
  <c r="F34"/>
  <c r="L34"/>
  <c r="F32"/>
  <c r="L32"/>
  <c r="F29"/>
  <c r="L29"/>
  <c r="F27"/>
  <c r="L27"/>
  <c r="D73" i="4"/>
  <c r="L95" i="3"/>
  <c r="L93"/>
  <c r="L90"/>
  <c r="L87"/>
  <c r="F643" i="2"/>
  <c r="F642" s="1"/>
  <c r="L643"/>
  <c r="L642" s="1"/>
  <c r="D606"/>
  <c r="D605" s="1"/>
  <c r="F606"/>
  <c r="F605" s="1"/>
  <c r="L606"/>
  <c r="L605" s="1"/>
  <c r="F602"/>
  <c r="F601" s="1"/>
  <c r="L602"/>
  <c r="L601" s="1"/>
  <c r="D591"/>
  <c r="D590" s="1"/>
  <c r="F568"/>
  <c r="F567" s="1"/>
  <c r="L568"/>
  <c r="L567" s="1"/>
  <c r="F564"/>
  <c r="F563" s="1"/>
  <c r="L564"/>
  <c r="L563" s="1"/>
  <c r="F542"/>
  <c r="L542"/>
  <c r="C65" i="1"/>
  <c r="F523" i="2"/>
  <c r="F522" s="1"/>
  <c r="L523"/>
  <c r="L522" s="1"/>
  <c r="F520"/>
  <c r="L520"/>
  <c r="F518"/>
  <c r="L518"/>
  <c r="L515"/>
  <c r="L514" s="1"/>
  <c r="L513" s="1"/>
  <c r="L512"/>
  <c r="L511" s="1"/>
  <c r="L510"/>
  <c r="L509" s="1"/>
  <c r="F479"/>
  <c r="F33" s="1"/>
  <c r="L479"/>
  <c r="L33" s="1"/>
  <c r="F478"/>
  <c r="F32" s="1"/>
  <c r="L478"/>
  <c r="L32" s="1"/>
  <c r="F476"/>
  <c r="F26" s="1"/>
  <c r="L476"/>
  <c r="F475"/>
  <c r="F24" s="1"/>
  <c r="L475"/>
  <c r="L24" s="1"/>
  <c r="F472"/>
  <c r="F21" s="1"/>
  <c r="L472"/>
  <c r="L21" s="1"/>
  <c r="F471"/>
  <c r="F20" s="1"/>
  <c r="L471"/>
  <c r="L20" s="1"/>
  <c r="F469"/>
  <c r="F16" s="1"/>
  <c r="L469"/>
  <c r="F468"/>
  <c r="F14" s="1"/>
  <c r="L468"/>
  <c r="L14" s="1"/>
  <c r="F467"/>
  <c r="L467"/>
  <c r="D320"/>
  <c r="D317"/>
  <c r="D58"/>
  <c r="F30"/>
  <c r="L30"/>
  <c r="F28"/>
  <c r="L28"/>
  <c r="F27"/>
  <c r="C32" i="1" s="1"/>
  <c r="C123" s="1"/>
  <c r="C169" s="1"/>
  <c r="L27" i="2"/>
  <c r="I32" i="1" s="1"/>
  <c r="D342" i="2"/>
  <c r="D568"/>
  <c r="D567" s="1"/>
  <c r="D77"/>
  <c r="D322"/>
  <c r="D89"/>
  <c r="D476"/>
  <c r="E105" i="5"/>
  <c r="B50" i="1" s="1"/>
  <c r="E112" i="5"/>
  <c r="E111" s="1"/>
  <c r="D112"/>
  <c r="D111" s="1"/>
  <c r="E142"/>
  <c r="E141" s="1"/>
  <c r="E132"/>
  <c r="E116"/>
  <c r="E109"/>
  <c r="B57" i="1" s="1"/>
  <c r="E138" i="5"/>
  <c r="E118"/>
  <c r="E117" s="1"/>
  <c r="D141" i="2"/>
  <c r="E139" i="8"/>
  <c r="D120"/>
  <c r="D64" i="4"/>
  <c r="D63"/>
  <c r="E244" i="6"/>
  <c r="E264"/>
  <c r="E263" s="1"/>
  <c r="E247"/>
  <c r="E246" s="1"/>
  <c r="E245" s="1"/>
  <c r="D50" i="3"/>
  <c r="D13" s="1"/>
  <c r="D57"/>
  <c r="D20" s="1"/>
  <c r="D616" i="2"/>
  <c r="E77"/>
  <c r="O586"/>
  <c r="O499"/>
  <c r="D244" i="6"/>
  <c r="D520" i="2"/>
  <c r="D109" i="5"/>
  <c r="D123" i="8"/>
  <c r="D122" s="1"/>
  <c r="D107" s="1"/>
  <c r="D105" s="1"/>
  <c r="D114"/>
  <c r="D130" i="2"/>
  <c r="O481"/>
  <c r="D347"/>
  <c r="E490"/>
  <c r="E489" s="1"/>
  <c r="E476"/>
  <c r="D352"/>
  <c r="E502"/>
  <c r="O524"/>
  <c r="E515"/>
  <c r="E523"/>
  <c r="E522" s="1"/>
  <c r="D105" i="5"/>
  <c r="D51" i="7"/>
  <c r="B56" i="1"/>
  <c r="D93" i="3"/>
  <c r="E115" i="5"/>
  <c r="E135"/>
  <c r="E129"/>
  <c r="E108"/>
  <c r="D60" i="3"/>
  <c r="E504" i="2"/>
  <c r="D505"/>
  <c r="D504" s="1"/>
  <c r="E87"/>
  <c r="D341"/>
  <c r="D110"/>
  <c r="D109" s="1"/>
  <c r="E96"/>
  <c r="E89"/>
  <c r="D348"/>
  <c r="D360"/>
  <c r="E478"/>
  <c r="E32" s="1"/>
  <c r="B35" i="1" s="1"/>
  <c r="E486" i="2"/>
  <c r="E471"/>
  <c r="E20" s="1"/>
  <c r="B26" i="1" s="1"/>
  <c r="E469" i="2"/>
  <c r="E500"/>
  <c r="D247" i="6"/>
  <c r="D246" s="1"/>
  <c r="D245" s="1"/>
  <c r="D264"/>
  <c r="D263" s="1"/>
  <c r="D139" i="8"/>
  <c r="D118" i="5"/>
  <c r="D117" s="1"/>
  <c r="D38"/>
  <c r="D110"/>
  <c r="D500" i="2"/>
  <c r="D515"/>
  <c r="D58" i="4"/>
  <c r="G47"/>
  <c r="D28" i="2"/>
  <c r="D87"/>
  <c r="D560"/>
  <c r="D559" s="1"/>
  <c r="D690" s="1"/>
  <c r="N15" i="1"/>
  <c r="O538" i="2"/>
  <c r="D30" i="6"/>
  <c r="D84"/>
  <c r="D89"/>
  <c r="I103" i="5" l="1"/>
  <c r="F50" i="1"/>
  <c r="J103" i="5"/>
  <c r="G50" i="1"/>
  <c r="K103" i="5"/>
  <c r="H50" i="1"/>
  <c r="I53"/>
  <c r="M109" i="5"/>
  <c r="L105" i="8"/>
  <c r="I50" i="1"/>
  <c r="I48" s="1"/>
  <c r="D99" i="13"/>
  <c r="D98" s="1"/>
  <c r="M27" i="3"/>
  <c r="M68" i="2"/>
  <c r="F77" i="6"/>
  <c r="O77" s="1"/>
  <c r="M125"/>
  <c r="L344" i="2"/>
  <c r="G98" i="13"/>
  <c r="M99"/>
  <c r="M12" i="8"/>
  <c r="M13"/>
  <c r="J9" i="7"/>
  <c r="M47"/>
  <c r="M9" s="1"/>
  <c r="M7" s="1"/>
  <c r="H242" i="6"/>
  <c r="H241" s="1"/>
  <c r="M243"/>
  <c r="H16" i="5"/>
  <c r="H12" s="1"/>
  <c r="M18"/>
  <c r="H13"/>
  <c r="M14"/>
  <c r="M13" s="1"/>
  <c r="G12" i="3"/>
  <c r="M12" s="1"/>
  <c r="M47"/>
  <c r="G17"/>
  <c r="M17" s="1"/>
  <c r="M52"/>
  <c r="M51" s="1"/>
  <c r="D38" i="2"/>
  <c r="M366"/>
  <c r="D22" i="1"/>
  <c r="K22" s="1"/>
  <c r="Q22" s="1"/>
  <c r="M17" i="2"/>
  <c r="K58" i="1"/>
  <c r="Q58" s="1"/>
  <c r="K55"/>
  <c r="Q55" s="1"/>
  <c r="K59"/>
  <c r="Q59" s="1"/>
  <c r="G201" i="6"/>
  <c r="M140"/>
  <c r="J9" i="9"/>
  <c r="J14" i="6"/>
  <c r="I123" i="1"/>
  <c r="I169" s="1"/>
  <c r="I8" i="9"/>
  <c r="H8"/>
  <c r="K8"/>
  <c r="J8"/>
  <c r="I197" i="6"/>
  <c r="D514" i="2"/>
  <c r="D513" s="1"/>
  <c r="D31"/>
  <c r="G369"/>
  <c r="J19" i="13"/>
  <c r="J122" s="1"/>
  <c r="K19"/>
  <c r="J89" i="1"/>
  <c r="H431" i="2"/>
  <c r="D39" i="8"/>
  <c r="H27" i="6"/>
  <c r="L182"/>
  <c r="L181" s="1"/>
  <c r="F80" i="7"/>
  <c r="F114" i="1"/>
  <c r="F160" s="1"/>
  <c r="I13" i="5"/>
  <c r="I12" s="1"/>
  <c r="M80" i="2"/>
  <c r="G114" i="1"/>
  <c r="G160" s="1"/>
  <c r="H114"/>
  <c r="H160" s="1"/>
  <c r="J13" i="5"/>
  <c r="E114" i="1"/>
  <c r="E160" s="1"/>
  <c r="K13" i="5"/>
  <c r="F11" i="3"/>
  <c r="H11"/>
  <c r="F15" i="2"/>
  <c r="C20" i="1" s="1"/>
  <c r="C111" s="1"/>
  <c r="C157" s="1"/>
  <c r="J25" i="2"/>
  <c r="G30" i="1" s="1"/>
  <c r="G120" s="1"/>
  <c r="G166" s="1"/>
  <c r="K273" i="9"/>
  <c r="K272" s="1"/>
  <c r="G298" i="6"/>
  <c r="F42" i="5"/>
  <c r="H41" i="13"/>
  <c r="F187" i="2"/>
  <c r="H72" i="6"/>
  <c r="L153"/>
  <c r="G144"/>
  <c r="G301" s="1"/>
  <c r="G270" i="9"/>
  <c r="M118"/>
  <c r="D116" i="8"/>
  <c r="D115" s="1"/>
  <c r="L45"/>
  <c r="J273" i="9"/>
  <c r="J272" s="1"/>
  <c r="B140" i="1"/>
  <c r="K270" i="9"/>
  <c r="L68" i="7"/>
  <c r="L74"/>
  <c r="G68"/>
  <c r="H68"/>
  <c r="I44" i="8"/>
  <c r="I9" s="1"/>
  <c r="G36" i="13"/>
  <c r="H88" i="6"/>
  <c r="H13" i="2"/>
  <c r="H12" s="1"/>
  <c r="I41" i="13"/>
  <c r="F68" i="7"/>
  <c r="F106"/>
  <c r="F112"/>
  <c r="L239" i="6"/>
  <c r="H239"/>
  <c r="H238" s="1"/>
  <c r="L175" i="2"/>
  <c r="L41" i="13"/>
  <c r="H109" i="8"/>
  <c r="H108" s="1"/>
  <c r="H530" i="2"/>
  <c r="H529" s="1"/>
  <c r="G88" i="6"/>
  <c r="J102" i="13"/>
  <c r="J101" s="1"/>
  <c r="F238" i="6"/>
  <c r="G72"/>
  <c r="F74" i="7"/>
  <c r="F86"/>
  <c r="L86"/>
  <c r="G37" i="5"/>
  <c r="E26"/>
  <c r="E10" s="1"/>
  <c r="H103"/>
  <c r="E107"/>
  <c r="D103"/>
  <c r="G103"/>
  <c r="L42"/>
  <c r="M110"/>
  <c r="G113"/>
  <c r="H31"/>
  <c r="L92" i="9"/>
  <c r="I109" i="8"/>
  <c r="I108" s="1"/>
  <c r="L32" i="13"/>
  <c r="K109" i="8"/>
  <c r="K108" s="1"/>
  <c r="H106" i="6"/>
  <c r="H105" s="1"/>
  <c r="K197"/>
  <c r="G205"/>
  <c r="F441" i="2"/>
  <c r="F367"/>
  <c r="F477"/>
  <c r="J45" i="7"/>
  <c r="J13"/>
  <c r="M13" s="1"/>
  <c r="F417" i="2"/>
  <c r="L44" i="7"/>
  <c r="L56"/>
  <c r="D24" i="5"/>
  <c r="D22" s="1"/>
  <c r="D19" s="1"/>
  <c r="K106" i="6"/>
  <c r="L62" i="7"/>
  <c r="J205" i="6"/>
  <c r="D439" i="2"/>
  <c r="M439"/>
  <c r="D27" i="6"/>
  <c r="D45" i="5"/>
  <c r="D42" s="1"/>
  <c r="D146" s="1"/>
  <c r="D148" s="1"/>
  <c r="L15" i="2"/>
  <c r="I20" i="1" s="1"/>
  <c r="C29"/>
  <c r="H270" i="9"/>
  <c r="F68" i="3"/>
  <c r="I92" i="9"/>
  <c r="G437" i="2"/>
  <c r="M437" s="1"/>
  <c r="G41" i="13"/>
  <c r="G32"/>
  <c r="J270" i="6"/>
  <c r="P106"/>
  <c r="G146" i="5"/>
  <c r="H146"/>
  <c r="D18"/>
  <c r="D16" s="1"/>
  <c r="D12" s="1"/>
  <c r="H113"/>
  <c r="F113"/>
  <c r="F62"/>
  <c r="I62"/>
  <c r="K106"/>
  <c r="F31"/>
  <c r="H26"/>
  <c r="G31"/>
  <c r="L26"/>
  <c r="G26"/>
  <c r="D37"/>
  <c r="D10" s="1"/>
  <c r="D9" s="1"/>
  <c r="F37"/>
  <c r="F157" i="2"/>
  <c r="C140" i="1"/>
  <c r="J50" i="8"/>
  <c r="J144" s="1"/>
  <c r="F86" i="3"/>
  <c r="C30" i="1"/>
  <c r="C120" s="1"/>
  <c r="C166" s="1"/>
  <c r="P25" i="2"/>
  <c r="F393"/>
  <c r="F383"/>
  <c r="F387"/>
  <c r="H92" i="3"/>
  <c r="I140" i="1"/>
  <c r="H62" i="5"/>
  <c r="D152" i="2"/>
  <c r="D45"/>
  <c r="H57" i="13"/>
  <c r="L57"/>
  <c r="O13" i="3"/>
  <c r="I86"/>
  <c r="H86"/>
  <c r="F92"/>
  <c r="O92" s="1"/>
  <c r="L92"/>
  <c r="H62"/>
  <c r="K364" i="2"/>
  <c r="K363" s="1"/>
  <c r="K13"/>
  <c r="H18" i="1" s="1"/>
  <c r="H77" i="6"/>
  <c r="G83"/>
  <c r="G48" i="5"/>
  <c r="E106"/>
  <c r="F26"/>
  <c r="L31"/>
  <c r="F56" i="7"/>
  <c r="F83" i="6"/>
  <c r="G77"/>
  <c r="H83"/>
  <c r="H48" i="5"/>
  <c r="I13" i="2"/>
  <c r="K62" i="5"/>
  <c r="I37"/>
  <c r="J13" i="2"/>
  <c r="G33" i="8"/>
  <c r="H152" i="9"/>
  <c r="G92" i="3"/>
  <c r="J106" i="5"/>
  <c r="L50" i="7"/>
  <c r="F55" i="5"/>
  <c r="H55"/>
  <c r="J7" i="9"/>
  <c r="L422" i="2"/>
  <c r="F422"/>
  <c r="L163"/>
  <c r="G446"/>
  <c r="G682" s="1"/>
  <c r="L517"/>
  <c r="F199"/>
  <c r="M627"/>
  <c r="M626" s="1"/>
  <c r="J363"/>
  <c r="L470"/>
  <c r="F517"/>
  <c r="M387"/>
  <c r="L466"/>
  <c r="M619"/>
  <c r="M618" s="1"/>
  <c r="M417"/>
  <c r="G417"/>
  <c r="F48" i="5"/>
  <c r="E128"/>
  <c r="L477" i="2"/>
  <c r="F62" i="7"/>
  <c r="H50"/>
  <c r="H44"/>
  <c r="G86"/>
  <c r="H80"/>
  <c r="H86"/>
  <c r="G106"/>
  <c r="H106"/>
  <c r="H112"/>
  <c r="G74"/>
  <c r="G56"/>
  <c r="H56"/>
  <c r="H62"/>
  <c r="G55" i="5"/>
  <c r="M486" i="2"/>
  <c r="F148" i="6"/>
  <c r="K205"/>
  <c r="I205"/>
  <c r="G152"/>
  <c r="F41" i="13"/>
  <c r="H47"/>
  <c r="H14" s="1"/>
  <c r="H12" s="1"/>
  <c r="F344" i="2"/>
  <c r="K92" i="9"/>
  <c r="F109" i="8"/>
  <c r="F108" s="1"/>
  <c r="H26" i="3"/>
  <c r="L86"/>
  <c r="K86"/>
  <c r="K92"/>
  <c r="K98"/>
  <c r="K9" s="1"/>
  <c r="L72" i="6"/>
  <c r="F103" i="5"/>
  <c r="M105"/>
  <c r="M103" s="1"/>
  <c r="G431" i="2"/>
  <c r="F193"/>
  <c r="K25"/>
  <c r="H30" i="1" s="1"/>
  <c r="H120" s="1"/>
  <c r="H166" s="1"/>
  <c r="K15" i="2"/>
  <c r="H20" i="1" s="1"/>
  <c r="H111" s="1"/>
  <c r="H157" s="1"/>
  <c r="G25" i="2"/>
  <c r="D30" i="1" s="1"/>
  <c r="D120" s="1"/>
  <c r="D166" s="1"/>
  <c r="G15" i="2"/>
  <c r="L72" i="5"/>
  <c r="H116" i="8"/>
  <c r="H115" s="1"/>
  <c r="F116"/>
  <c r="F115" s="1"/>
  <c r="D474" i="2"/>
  <c r="E134" i="5"/>
  <c r="D138" i="2"/>
  <c r="L112" i="7"/>
  <c r="L50" i="8"/>
  <c r="L144" s="1"/>
  <c r="M107" i="5"/>
  <c r="M106" s="1"/>
  <c r="J37"/>
  <c r="H139" i="6"/>
  <c r="D195"/>
  <c r="D299" s="1"/>
  <c r="G194"/>
  <c r="G193" s="1"/>
  <c r="G192" s="1"/>
  <c r="I57" i="13"/>
  <c r="I119" s="1"/>
  <c r="I121" s="1"/>
  <c r="I122" s="1"/>
  <c r="F33" i="8"/>
  <c r="F10" s="1"/>
  <c r="I11" i="13"/>
  <c r="K116" i="8"/>
  <c r="K115" s="1"/>
  <c r="F12" i="5"/>
  <c r="M240" i="6"/>
  <c r="G273" i="9"/>
  <c r="G272" s="1"/>
  <c r="H37" i="5"/>
  <c r="J270" i="9"/>
  <c r="J62" i="5"/>
  <c r="F270" i="9"/>
  <c r="F269" s="1"/>
  <c r="L109" i="8"/>
  <c r="L108" s="1"/>
  <c r="G109"/>
  <c r="G108" s="1"/>
  <c r="L44" i="9"/>
  <c r="G44"/>
  <c r="E114" i="5"/>
  <c r="L474" i="2"/>
  <c r="F44" i="7"/>
  <c r="F184" s="1"/>
  <c r="F185" s="1"/>
  <c r="F44" i="9"/>
  <c r="J11" i="13"/>
  <c r="H53"/>
  <c r="H18" s="1"/>
  <c r="L104" i="3"/>
  <c r="G104"/>
  <c r="G296" s="1"/>
  <c r="I104"/>
  <c r="I296" s="1"/>
  <c r="I44" i="7"/>
  <c r="D140" i="1"/>
  <c r="G32" i="9"/>
  <c r="F32"/>
  <c r="G50" i="7"/>
  <c r="F50"/>
  <c r="G44"/>
  <c r="F163" i="2"/>
  <c r="K140" i="1"/>
  <c r="I106" i="5"/>
  <c r="J44" i="7"/>
  <c r="E103" i="5"/>
  <c r="H107"/>
  <c r="E109" i="1"/>
  <c r="E155" s="1"/>
  <c r="K37" i="5"/>
  <c r="D56" i="13"/>
  <c r="M56"/>
  <c r="L145" i="6"/>
  <c r="L247" i="2"/>
  <c r="L47" i="13"/>
  <c r="L46" s="1"/>
  <c r="M11" i="8"/>
  <c r="I106" i="6"/>
  <c r="I105" s="1"/>
  <c r="I116"/>
  <c r="I115" s="1"/>
  <c r="M49" i="13"/>
  <c r="F107" i="5"/>
  <c r="C109" i="1"/>
  <c r="C155" s="1"/>
  <c r="G107" i="5"/>
  <c r="K470" i="2"/>
  <c r="F53" i="13"/>
  <c r="M55"/>
  <c r="M50"/>
  <c r="K104" i="3"/>
  <c r="K296" s="1"/>
  <c r="F105" i="8"/>
  <c r="M107"/>
  <c r="M105" s="1"/>
  <c r="M113"/>
  <c r="M200" i="6"/>
  <c r="L53" i="13"/>
  <c r="L18" s="1"/>
  <c r="D55"/>
  <c r="M98" i="6"/>
  <c r="J106"/>
  <c r="J289" s="1"/>
  <c r="M113"/>
  <c r="F72"/>
  <c r="D198"/>
  <c r="L60"/>
  <c r="K23"/>
  <c r="K21" s="1"/>
  <c r="J143"/>
  <c r="J142" s="1"/>
  <c r="J197"/>
  <c r="G197"/>
  <c r="M313" i="2"/>
  <c r="G12" i="5"/>
  <c r="M510" i="2"/>
  <c r="M509" s="1"/>
  <c r="M467"/>
  <c r="M471"/>
  <c r="H474"/>
  <c r="G470"/>
  <c r="G51" i="3"/>
  <c r="I92"/>
  <c r="H104"/>
  <c r="H296" s="1"/>
  <c r="J86"/>
  <c r="F470" i="2"/>
  <c r="D52" i="3"/>
  <c r="D17" s="1"/>
  <c r="F46"/>
  <c r="M104" i="13"/>
  <c r="I88" i="1"/>
  <c r="L691" i="2"/>
  <c r="C87" i="1"/>
  <c r="F691" i="2"/>
  <c r="E88" i="1"/>
  <c r="E87" s="1"/>
  <c r="H691" i="2"/>
  <c r="G50" i="8"/>
  <c r="G144" s="1"/>
  <c r="H146"/>
  <c r="L22"/>
  <c r="L12"/>
  <c r="K146"/>
  <c r="I146"/>
  <c r="I147" s="1"/>
  <c r="D42"/>
  <c r="F31"/>
  <c r="F28" s="1"/>
  <c r="F21" s="1"/>
  <c r="L16"/>
  <c r="L28"/>
  <c r="K270" i="6"/>
  <c r="G489" i="2"/>
  <c r="I477"/>
  <c r="F146" i="8"/>
  <c r="D47" i="7"/>
  <c r="J7"/>
  <c r="G441" i="2"/>
  <c r="E474"/>
  <c r="F466"/>
  <c r="M472"/>
  <c r="L489"/>
  <c r="J470"/>
  <c r="J477"/>
  <c r="I474"/>
  <c r="F36" i="13"/>
  <c r="H32"/>
  <c r="D176" i="2"/>
  <c r="F98" i="13"/>
  <c r="M98"/>
  <c r="I8" i="8"/>
  <c r="J8"/>
  <c r="H8"/>
  <c r="L12" i="5"/>
  <c r="K148"/>
  <c r="K149" s="1"/>
  <c r="I148"/>
  <c r="I149" s="1"/>
  <c r="J148"/>
  <c r="J149" s="1"/>
  <c r="M26"/>
  <c r="M16"/>
  <c r="K122" i="13"/>
  <c r="L27"/>
  <c r="F273" i="9"/>
  <c r="F272" s="1"/>
  <c r="L273"/>
  <c r="L272" s="1"/>
  <c r="C55" i="1"/>
  <c r="M275" i="9"/>
  <c r="L44" i="8"/>
  <c r="L9" s="1"/>
  <c r="D37"/>
  <c r="D20" s="1"/>
  <c r="D49"/>
  <c r="D18" s="1"/>
  <c r="E116"/>
  <c r="E115" s="1"/>
  <c r="L36"/>
  <c r="E21" i="1"/>
  <c r="E112" s="1"/>
  <c r="E158" s="1"/>
  <c r="F41" i="8"/>
  <c r="D47"/>
  <c r="D14" s="1"/>
  <c r="J109"/>
  <c r="J108" s="1"/>
  <c r="M109"/>
  <c r="M108" s="1"/>
  <c r="L16" i="6"/>
  <c r="L201"/>
  <c r="L14"/>
  <c r="C69" i="1"/>
  <c r="C68" s="1"/>
  <c r="D61"/>
  <c r="D60" s="1"/>
  <c r="M114" i="2"/>
  <c r="D137"/>
  <c r="H517"/>
  <c r="H9" s="1"/>
  <c r="E14"/>
  <c r="F474"/>
  <c r="M512"/>
  <c r="M511" s="1"/>
  <c r="H363"/>
  <c r="L17"/>
  <c r="L37" i="5"/>
  <c r="D56" i="3"/>
  <c r="D19"/>
  <c r="F337" i="2"/>
  <c r="G517"/>
  <c r="F17"/>
  <c r="C22" i="1" s="1"/>
  <c r="F169" i="2"/>
  <c r="I15"/>
  <c r="K29"/>
  <c r="D448"/>
  <c r="D375" s="1"/>
  <c r="F19"/>
  <c r="D171" i="6"/>
  <c r="I139"/>
  <c r="F139"/>
  <c r="J148"/>
  <c r="F231"/>
  <c r="M110"/>
  <c r="M111"/>
  <c r="M114"/>
  <c r="M133"/>
  <c r="D123"/>
  <c r="D215"/>
  <c r="J186"/>
  <c r="F242"/>
  <c r="F241" s="1"/>
  <c r="D204"/>
  <c r="F96"/>
  <c r="M100"/>
  <c r="M203"/>
  <c r="D203"/>
  <c r="D104"/>
  <c r="M108"/>
  <c r="D109"/>
  <c r="M109"/>
  <c r="M145"/>
  <c r="M141"/>
  <c r="F16"/>
  <c r="M16" s="1"/>
  <c r="G14"/>
  <c r="M27" i="13"/>
  <c r="H17" i="6"/>
  <c r="E23" i="1" s="1"/>
  <c r="J17" i="6"/>
  <c r="G23" i="1" s="1"/>
  <c r="M17" i="6"/>
  <c r="M139"/>
  <c r="F102"/>
  <c r="F17" s="1"/>
  <c r="C23" i="1" s="1"/>
  <c r="D103" i="6"/>
  <c r="G102"/>
  <c r="G95" s="1"/>
  <c r="I102"/>
  <c r="D110"/>
  <c r="F106"/>
  <c r="D111"/>
  <c r="D113"/>
  <c r="L121"/>
  <c r="L17" s="1"/>
  <c r="I23" i="1" s="1"/>
  <c r="D122" i="6"/>
  <c r="D132"/>
  <c r="G121"/>
  <c r="I121"/>
  <c r="K121"/>
  <c r="F125"/>
  <c r="L231"/>
  <c r="D98"/>
  <c r="H96"/>
  <c r="H95" s="1"/>
  <c r="I96"/>
  <c r="I14" s="1"/>
  <c r="G106"/>
  <c r="D108"/>
  <c r="D114"/>
  <c r="D133"/>
  <c r="D128"/>
  <c r="L125"/>
  <c r="L124" s="1"/>
  <c r="M15"/>
  <c r="M214"/>
  <c r="M37" i="5"/>
  <c r="M46" i="3"/>
  <c r="F26"/>
  <c r="G55"/>
  <c r="L36" i="13"/>
  <c r="F27"/>
  <c r="F32"/>
  <c r="G27"/>
  <c r="L129" i="2"/>
  <c r="D141" i="6"/>
  <c r="J118" i="7"/>
  <c r="D40" i="13"/>
  <c r="D39" s="1"/>
  <c r="D36" s="1"/>
  <c r="D50"/>
  <c r="D49"/>
  <c r="G57"/>
  <c r="K11"/>
  <c r="E147" i="8"/>
  <c r="K44"/>
  <c r="K9" s="1"/>
  <c r="D109"/>
  <c r="D108" s="1"/>
  <c r="M34"/>
  <c r="G44"/>
  <c r="G9" s="1"/>
  <c r="M9" s="1"/>
  <c r="D46"/>
  <c r="D13" s="1"/>
  <c r="D35"/>
  <c r="D15" s="1"/>
  <c r="B55" i="1"/>
  <c r="E109" i="8"/>
  <c r="E108" s="1"/>
  <c r="J105"/>
  <c r="K105"/>
  <c r="H87" i="1"/>
  <c r="H118" i="7"/>
  <c r="L124"/>
  <c r="G124"/>
  <c r="I124"/>
  <c r="G112"/>
  <c r="H74"/>
  <c r="M254" i="6"/>
  <c r="M253" s="1"/>
  <c r="D255"/>
  <c r="L226"/>
  <c r="D217"/>
  <c r="F226"/>
  <c r="L175"/>
  <c r="L174" s="1"/>
  <c r="L170" s="1"/>
  <c r="D100"/>
  <c r="D216"/>
  <c r="M218"/>
  <c r="D219"/>
  <c r="D218" s="1"/>
  <c r="I29" i="1"/>
  <c r="D222" i="6"/>
  <c r="D22" s="1"/>
  <c r="L223"/>
  <c r="D224"/>
  <c r="D223" s="1"/>
  <c r="J12" i="5"/>
  <c r="J48"/>
  <c r="K48"/>
  <c r="I48"/>
  <c r="G148"/>
  <c r="G149" s="1"/>
  <c r="H148"/>
  <c r="H149" s="1"/>
  <c r="K12"/>
  <c r="G62"/>
  <c r="E9"/>
  <c r="C61" i="1"/>
  <c r="M68" i="4"/>
  <c r="M67" s="1"/>
  <c r="I60" i="1"/>
  <c r="D64" i="3"/>
  <c r="D63" s="1"/>
  <c r="L71"/>
  <c r="D72"/>
  <c r="D23" s="1"/>
  <c r="D42"/>
  <c r="D47"/>
  <c r="G86"/>
  <c r="J92"/>
  <c r="F55"/>
  <c r="M54" i="2"/>
  <c r="L508"/>
  <c r="L431"/>
  <c r="M482"/>
  <c r="F211"/>
  <c r="M157"/>
  <c r="E499"/>
  <c r="E86"/>
  <c r="F175"/>
  <c r="D523"/>
  <c r="D522" s="1"/>
  <c r="E16"/>
  <c r="B39" i="1" s="1"/>
  <c r="E511" i="2"/>
  <c r="L370"/>
  <c r="E514"/>
  <c r="E513" s="1"/>
  <c r="E31"/>
  <c r="E26"/>
  <c r="E17"/>
  <c r="D603"/>
  <c r="L143" i="6"/>
  <c r="D140"/>
  <c r="E113" i="5"/>
  <c r="D108"/>
  <c r="D116"/>
  <c r="D114" s="1"/>
  <c r="D113" s="1"/>
  <c r="E148"/>
  <c r="E149" s="1"/>
  <c r="J56" i="1"/>
  <c r="G87"/>
  <c r="M99" i="3"/>
  <c r="M98" s="1"/>
  <c r="M87"/>
  <c r="M86" s="1"/>
  <c r="L17" i="7"/>
  <c r="L10"/>
  <c r="G118"/>
  <c r="I118"/>
  <c r="L80"/>
  <c r="G80"/>
  <c r="G62"/>
  <c r="F124"/>
  <c r="H124"/>
  <c r="J124"/>
  <c r="D124"/>
  <c r="D48"/>
  <c r="D27"/>
  <c r="M57"/>
  <c r="M56" s="1"/>
  <c r="J50"/>
  <c r="L118"/>
  <c r="D119"/>
  <c r="D118" s="1"/>
  <c r="G10"/>
  <c r="I50"/>
  <c r="G474" i="2"/>
  <c r="L393"/>
  <c r="M468"/>
  <c r="L145"/>
  <c r="M92"/>
  <c r="I470"/>
  <c r="E31" i="1"/>
  <c r="E121" s="1"/>
  <c r="E167" s="1"/>
  <c r="C31"/>
  <c r="H270" i="6"/>
  <c r="L148"/>
  <c r="L23"/>
  <c r="L21" s="1"/>
  <c r="D116"/>
  <c r="D115" s="1"/>
  <c r="F221"/>
  <c r="F220" s="1"/>
  <c r="D615" i="2"/>
  <c r="D614" s="1"/>
  <c r="D88" i="9"/>
  <c r="H271"/>
  <c r="F133"/>
  <c r="L133"/>
  <c r="D16" i="6"/>
  <c r="E276" i="9"/>
  <c r="E273" s="1"/>
  <c r="E272" s="1"/>
  <c r="M83"/>
  <c r="D47"/>
  <c r="D44" s="1"/>
  <c r="L269"/>
  <c r="D80"/>
  <c r="D79" s="1"/>
  <c r="D144"/>
  <c r="D139" s="1"/>
  <c r="D121"/>
  <c r="D118" s="1"/>
  <c r="L88"/>
  <c r="K152"/>
  <c r="I152"/>
  <c r="K271"/>
  <c r="I271"/>
  <c r="I278"/>
  <c r="I277" s="1"/>
  <c r="K278"/>
  <c r="K277" s="1"/>
  <c r="L170"/>
  <c r="L42"/>
  <c r="L38" s="1"/>
  <c r="M42"/>
  <c r="D155"/>
  <c r="D152" s="1"/>
  <c r="D77"/>
  <c r="D42"/>
  <c r="D38" s="1"/>
  <c r="D183"/>
  <c r="L74"/>
  <c r="F79"/>
  <c r="D282"/>
  <c r="D281" s="1"/>
  <c r="D270" s="1"/>
  <c r="D269" s="1"/>
  <c r="E270"/>
  <c r="M152"/>
  <c r="G139"/>
  <c r="L161"/>
  <c r="G83"/>
  <c r="F74"/>
  <c r="F42"/>
  <c r="M174"/>
  <c r="G179"/>
  <c r="M74"/>
  <c r="H83"/>
  <c r="F83"/>
  <c r="I170"/>
  <c r="H123"/>
  <c r="G170"/>
  <c r="K170"/>
  <c r="G123"/>
  <c r="G118" s="1"/>
  <c r="F92"/>
  <c r="L79"/>
  <c r="G79"/>
  <c r="F170"/>
  <c r="H170"/>
  <c r="J170"/>
  <c r="D276"/>
  <c r="D273" s="1"/>
  <c r="D272" s="1"/>
  <c r="D174"/>
  <c r="F127"/>
  <c r="L152"/>
  <c r="L127"/>
  <c r="L188"/>
  <c r="G188"/>
  <c r="H183"/>
  <c r="F183"/>
  <c r="L174"/>
  <c r="F174"/>
  <c r="H188"/>
  <c r="F188"/>
  <c r="L183"/>
  <c r="G183"/>
  <c r="M183"/>
  <c r="L179"/>
  <c r="F179"/>
  <c r="G174"/>
  <c r="L481" i="2"/>
  <c r="F481"/>
  <c r="F313"/>
  <c r="L229"/>
  <c r="D202"/>
  <c r="D199" s="1"/>
  <c r="M572"/>
  <c r="M571" s="1"/>
  <c r="K517"/>
  <c r="K9" s="1"/>
  <c r="K8" s="1"/>
  <c r="F489"/>
  <c r="M379"/>
  <c r="M378" s="1"/>
  <c r="L13"/>
  <c r="M469"/>
  <c r="M337"/>
  <c r="D50" i="1"/>
  <c r="L528" i="2"/>
  <c r="F370"/>
  <c r="G370"/>
  <c r="H466"/>
  <c r="G19" i="1"/>
  <c r="G110" s="1"/>
  <c r="G156" s="1"/>
  <c r="E19"/>
  <c r="E110" s="1"/>
  <c r="E156" s="1"/>
  <c r="F19"/>
  <c r="F110" s="1"/>
  <c r="F156" s="1"/>
  <c r="B61"/>
  <c r="B59"/>
  <c r="M59" s="1"/>
  <c r="D60" i="13"/>
  <c r="D57" s="1"/>
  <c r="D119" s="1"/>
  <c r="D121" s="1"/>
  <c r="D23"/>
  <c r="D19" s="1"/>
  <c r="D28"/>
  <c r="D27" s="1"/>
  <c r="F57"/>
  <c r="G53"/>
  <c r="F47"/>
  <c r="F46" s="1"/>
  <c r="H46"/>
  <c r="H16"/>
  <c r="L52"/>
  <c r="M39"/>
  <c r="G47"/>
  <c r="M37"/>
  <c r="F213" i="6"/>
  <c r="D227"/>
  <c r="D226" s="1"/>
  <c r="I178"/>
  <c r="I148"/>
  <c r="I23"/>
  <c r="F209"/>
  <c r="F154"/>
  <c r="D211"/>
  <c r="D154" s="1"/>
  <c r="H298"/>
  <c r="H300" s="1"/>
  <c r="H209"/>
  <c r="H208" s="1"/>
  <c r="H205" s="1"/>
  <c r="F146"/>
  <c r="M146" s="1"/>
  <c r="F202"/>
  <c r="H144"/>
  <c r="H301" s="1"/>
  <c r="H202"/>
  <c r="H201" s="1"/>
  <c r="H197" s="1"/>
  <c r="D183"/>
  <c r="E240"/>
  <c r="E290"/>
  <c r="M244"/>
  <c r="G23"/>
  <c r="D210"/>
  <c r="D176"/>
  <c r="D144" s="1"/>
  <c r="F299"/>
  <c r="F300" s="1"/>
  <c r="F152"/>
  <c r="F194"/>
  <c r="F193" s="1"/>
  <c r="F192" s="1"/>
  <c r="H152"/>
  <c r="H194"/>
  <c r="H193" s="1"/>
  <c r="H192" s="1"/>
  <c r="D191"/>
  <c r="G190"/>
  <c r="F144"/>
  <c r="L139"/>
  <c r="L214"/>
  <c r="L213" s="1"/>
  <c r="G60"/>
  <c r="F60"/>
  <c r="H60"/>
  <c r="M27"/>
  <c r="L186"/>
  <c r="F186"/>
  <c r="L178"/>
  <c r="D179"/>
  <c r="D135"/>
  <c r="D134" s="1"/>
  <c r="D278" s="1"/>
  <c r="M198"/>
  <c r="M226"/>
  <c r="D232"/>
  <c r="D231" s="1"/>
  <c r="D539" i="2"/>
  <c r="G481"/>
  <c r="H527"/>
  <c r="L536"/>
  <c r="L535" s="1"/>
  <c r="H536"/>
  <c r="H535" s="1"/>
  <c r="G67" i="1"/>
  <c r="G122" s="1"/>
  <c r="G168" s="1"/>
  <c r="J536" i="2"/>
  <c r="J535" s="1"/>
  <c r="J692" s="1"/>
  <c r="B65" i="1"/>
  <c r="J65" s="1"/>
  <c r="G527" i="2"/>
  <c r="M104"/>
  <c r="F536"/>
  <c r="F535" s="1"/>
  <c r="G536"/>
  <c r="G535" s="1"/>
  <c r="H67" i="1"/>
  <c r="H122" s="1"/>
  <c r="H168" s="1"/>
  <c r="K536" i="2"/>
  <c r="K535" s="1"/>
  <c r="K692" s="1"/>
  <c r="F67" i="1"/>
  <c r="F122" s="1"/>
  <c r="F168" s="1"/>
  <c r="I536" i="2"/>
  <c r="I535" s="1"/>
  <c r="I692" s="1"/>
  <c r="L206"/>
  <c r="L205" s="1"/>
  <c r="L531"/>
  <c r="F413"/>
  <c r="H481"/>
  <c r="H489"/>
  <c r="G174" i="6"/>
  <c r="G170" s="1"/>
  <c r="H148"/>
  <c r="G139"/>
  <c r="H186"/>
  <c r="D182"/>
  <c r="F178"/>
  <c r="J170"/>
  <c r="H170"/>
  <c r="F170"/>
  <c r="I300"/>
  <c r="M61"/>
  <c r="M60" s="1"/>
  <c r="D60"/>
  <c r="D66"/>
  <c r="K143"/>
  <c r="K19" s="1"/>
  <c r="H26" i="1" s="1"/>
  <c r="J300" i="6"/>
  <c r="K186"/>
  <c r="I186"/>
  <c r="K178"/>
  <c r="I143"/>
  <c r="K139"/>
  <c r="G300"/>
  <c r="G143"/>
  <c r="G178"/>
  <c r="D149"/>
  <c r="E301"/>
  <c r="J139"/>
  <c r="G151"/>
  <c r="G25" s="1"/>
  <c r="G24" s="1"/>
  <c r="M187"/>
  <c r="D187"/>
  <c r="J181"/>
  <c r="J178" s="1"/>
  <c r="J151"/>
  <c r="J25" s="1"/>
  <c r="G35" i="1" s="1"/>
  <c r="H181" i="6"/>
  <c r="H178" s="1"/>
  <c r="M170"/>
  <c r="K151"/>
  <c r="K25" s="1"/>
  <c r="H35" i="1" s="1"/>
  <c r="L151" i="6"/>
  <c r="L25" s="1"/>
  <c r="I35" i="1" s="1"/>
  <c r="K170" i="6"/>
  <c r="I170"/>
  <c r="G161" i="9"/>
  <c r="M161"/>
  <c r="D162"/>
  <c r="D161" s="1"/>
  <c r="D8" s="1"/>
  <c r="F161"/>
  <c r="L95" i="6"/>
  <c r="D90" i="3"/>
  <c r="O90" s="1"/>
  <c r="L46"/>
  <c r="F104"/>
  <c r="F296" s="1"/>
  <c r="G62"/>
  <c r="G68"/>
  <c r="G38"/>
  <c r="M63"/>
  <c r="M62" s="1"/>
  <c r="L63"/>
  <c r="F41"/>
  <c r="H41"/>
  <c r="F51"/>
  <c r="L80"/>
  <c r="L296" s="1"/>
  <c r="L58"/>
  <c r="D74"/>
  <c r="D83"/>
  <c r="D80" s="1"/>
  <c r="I38"/>
  <c r="L27"/>
  <c r="L74"/>
  <c r="F27" i="6"/>
  <c r="J27"/>
  <c r="I151"/>
  <c r="I25" s="1"/>
  <c r="F35" i="1" s="1"/>
  <c r="M74" i="3"/>
  <c r="M9" s="1"/>
  <c r="M127" i="9"/>
  <c r="D131"/>
  <c r="M129" i="2"/>
  <c r="M83" i="6"/>
  <c r="L77"/>
  <c r="I27"/>
  <c r="D250"/>
  <c r="D249" s="1"/>
  <c r="D240" s="1"/>
  <c r="L243"/>
  <c r="L27"/>
  <c r="G27"/>
  <c r="H290"/>
  <c r="H124"/>
  <c r="J124"/>
  <c r="J290"/>
  <c r="G290"/>
  <c r="G124"/>
  <c r="I124"/>
  <c r="I290"/>
  <c r="K124"/>
  <c r="K290"/>
  <c r="G238"/>
  <c r="G98" i="3"/>
  <c r="G9" s="1"/>
  <c r="I98"/>
  <c r="I9" s="1"/>
  <c r="G46"/>
  <c r="J98"/>
  <c r="J9" s="1"/>
  <c r="F62"/>
  <c r="D105"/>
  <c r="F33"/>
  <c r="F16" s="1"/>
  <c r="F15" s="1"/>
  <c r="H33"/>
  <c r="H16" s="1"/>
  <c r="H15" s="1"/>
  <c r="J104"/>
  <c r="J296" s="1"/>
  <c r="G33"/>
  <c r="D87"/>
  <c r="D102"/>
  <c r="L32"/>
  <c r="D99"/>
  <c r="D107"/>
  <c r="F98"/>
  <c r="F9" s="1"/>
  <c r="H98"/>
  <c r="H9" s="1"/>
  <c r="E140" i="1"/>
  <c r="K289" i="6"/>
  <c r="K105"/>
  <c r="K95"/>
  <c r="L105"/>
  <c r="H34" i="1"/>
  <c r="H124" s="1"/>
  <c r="H170" s="1"/>
  <c r="G34"/>
  <c r="G124" s="1"/>
  <c r="G170" s="1"/>
  <c r="E34"/>
  <c r="E124" s="1"/>
  <c r="E170" s="1"/>
  <c r="J140"/>
  <c r="D64" i="2"/>
  <c r="E64"/>
  <c r="E62"/>
  <c r="I473"/>
  <c r="K477"/>
  <c r="J517"/>
  <c r="J9" s="1"/>
  <c r="J8" s="1"/>
  <c r="M351"/>
  <c r="D396"/>
  <c r="D393" s="1"/>
  <c r="M399"/>
  <c r="M193"/>
  <c r="D334"/>
  <c r="D331" s="1"/>
  <c r="D479"/>
  <c r="D33" s="1"/>
  <c r="E479"/>
  <c r="E33" s="1"/>
  <c r="G33"/>
  <c r="G477"/>
  <c r="G473" s="1"/>
  <c r="H33"/>
  <c r="H477"/>
  <c r="H473" s="1"/>
  <c r="M517"/>
  <c r="K19"/>
  <c r="H25" i="1" s="1"/>
  <c r="H113" s="1"/>
  <c r="H159" s="1"/>
  <c r="K511" i="2"/>
  <c r="I19"/>
  <c r="I511"/>
  <c r="I508" s="1"/>
  <c r="D572"/>
  <c r="D571" s="1"/>
  <c r="G422"/>
  <c r="L181"/>
  <c r="F181"/>
  <c r="D494"/>
  <c r="D489" s="1"/>
  <c r="G466"/>
  <c r="H470"/>
  <c r="L383"/>
  <c r="K126" i="1"/>
  <c r="J30" i="2"/>
  <c r="J29" s="1"/>
  <c r="J27"/>
  <c r="G32" i="1" s="1"/>
  <c r="G123" s="1"/>
  <c r="G169" s="1"/>
  <c r="J19" i="2"/>
  <c r="G25" i="1" s="1"/>
  <c r="G113" s="1"/>
  <c r="G159" s="1"/>
  <c r="J511" i="2"/>
  <c r="J508" s="1"/>
  <c r="K509"/>
  <c r="J26"/>
  <c r="J474"/>
  <c r="K24"/>
  <c r="H29" i="1" s="1"/>
  <c r="K474" i="2"/>
  <c r="K14"/>
  <c r="H19" i="1" s="1"/>
  <c r="K466" i="2"/>
  <c r="D358"/>
  <c r="D357" s="1"/>
  <c r="D418"/>
  <c r="H422"/>
  <c r="F426"/>
  <c r="L426"/>
  <c r="G426"/>
  <c r="F431"/>
  <c r="L169"/>
  <c r="D170"/>
  <c r="D72"/>
  <c r="I466"/>
  <c r="I465" s="1"/>
  <c r="L337"/>
  <c r="L193"/>
  <c r="M602"/>
  <c r="M601" s="1"/>
  <c r="I517"/>
  <c r="M499"/>
  <c r="L378"/>
  <c r="L387"/>
  <c r="F235"/>
  <c r="D161"/>
  <c r="L157"/>
  <c r="L199"/>
  <c r="M181"/>
  <c r="M408"/>
  <c r="D211"/>
  <c r="L211"/>
  <c r="L217"/>
  <c r="L223"/>
  <c r="F241"/>
  <c r="L235"/>
  <c r="D154"/>
  <c r="E518"/>
  <c r="E517" s="1"/>
  <c r="E510"/>
  <c r="D166"/>
  <c r="D163" s="1"/>
  <c r="D178"/>
  <c r="L121"/>
  <c r="D405"/>
  <c r="D404" s="1"/>
  <c r="M606"/>
  <c r="M605" s="1"/>
  <c r="G344"/>
  <c r="D182"/>
  <c r="D181" s="1"/>
  <c r="D235"/>
  <c r="E58"/>
  <c r="D69"/>
  <c r="E69"/>
  <c r="D99"/>
  <c r="E99"/>
  <c r="D122"/>
  <c r="D149"/>
  <c r="D146"/>
  <c r="L151"/>
  <c r="L137"/>
  <c r="L319"/>
  <c r="D587"/>
  <c r="D586" s="1"/>
  <c r="F508"/>
  <c r="M146"/>
  <c r="M145" s="1"/>
  <c r="L399"/>
  <c r="L408"/>
  <c r="L413"/>
  <c r="L417"/>
  <c r="L187"/>
  <c r="F223"/>
  <c r="F229"/>
  <c r="O517"/>
  <c r="D125"/>
  <c r="D478"/>
  <c r="D477" s="1"/>
  <c r="D107"/>
  <c r="D86"/>
  <c r="D30"/>
  <c r="L527"/>
  <c r="G508"/>
  <c r="D414"/>
  <c r="D413" s="1"/>
  <c r="D190"/>
  <c r="D187" s="1"/>
  <c r="D197"/>
  <c r="D193" s="1"/>
  <c r="D319"/>
  <c r="F527"/>
  <c r="L313"/>
  <c r="D115"/>
  <c r="M217"/>
  <c r="D223"/>
  <c r="D230"/>
  <c r="D229" s="1"/>
  <c r="M241"/>
  <c r="M205"/>
  <c r="F205"/>
  <c r="F217"/>
  <c r="D242"/>
  <c r="D241" s="1"/>
  <c r="L331"/>
  <c r="E111" i="1"/>
  <c r="E157" s="1"/>
  <c r="D502" i="2"/>
  <c r="D499" s="1"/>
  <c r="D471"/>
  <c r="F23"/>
  <c r="D96"/>
  <c r="M21"/>
  <c r="D314"/>
  <c r="D313" s="1"/>
  <c r="D381"/>
  <c r="D384"/>
  <c r="D383" s="1"/>
  <c r="D643"/>
  <c r="D642" s="1"/>
  <c r="H508"/>
  <c r="E472"/>
  <c r="D105"/>
  <c r="D543"/>
  <c r="D542" s="1"/>
  <c r="D432"/>
  <c r="D431" s="1"/>
  <c r="G26"/>
  <c r="D402"/>
  <c r="D420"/>
  <c r="D158"/>
  <c r="E67" i="1"/>
  <c r="E122" s="1"/>
  <c r="E168" s="1"/>
  <c r="D247" i="2"/>
  <c r="D67" i="1"/>
  <c r="D122" s="1"/>
  <c r="D168" s="1"/>
  <c r="D206" i="2"/>
  <c r="D205" s="1"/>
  <c r="G610"/>
  <c r="G609" s="1"/>
  <c r="G689" s="1"/>
  <c r="G337"/>
  <c r="G10" s="1"/>
  <c r="D326"/>
  <c r="M229"/>
  <c r="L241"/>
  <c r="H19"/>
  <c r="D217"/>
  <c r="F247"/>
  <c r="G19"/>
  <c r="F34" i="1"/>
  <c r="F124" s="1"/>
  <c r="F170" s="1"/>
  <c r="E120"/>
  <c r="E166" s="1"/>
  <c r="I120"/>
  <c r="I166" s="1"/>
  <c r="H23" i="2"/>
  <c r="J466"/>
  <c r="J465" s="1"/>
  <c r="G16"/>
  <c r="D329"/>
  <c r="L325"/>
  <c r="K16"/>
  <c r="I16"/>
  <c r="I26"/>
  <c r="L26"/>
  <c r="M325"/>
  <c r="H344"/>
  <c r="D338"/>
  <c r="D337" s="1"/>
  <c r="L16"/>
  <c r="D345"/>
  <c r="D344" s="1"/>
  <c r="H337"/>
  <c r="H10" s="1"/>
  <c r="F120" i="1"/>
  <c r="F166" s="1"/>
  <c r="G111"/>
  <c r="G157" s="1"/>
  <c r="D86" i="4"/>
  <c r="D85" s="1"/>
  <c r="M51"/>
  <c r="M50" s="1"/>
  <c r="L51" i="3"/>
  <c r="M139" i="9"/>
  <c r="F139"/>
  <c r="L139"/>
  <c r="G152"/>
  <c r="F152"/>
  <c r="K148"/>
  <c r="K299" s="1"/>
  <c r="J148"/>
  <c r="J299" s="1"/>
  <c r="I148"/>
  <c r="I299" s="1"/>
  <c r="H148"/>
  <c r="H299" s="1"/>
  <c r="G148"/>
  <c r="F148"/>
  <c r="L148"/>
  <c r="L299" s="1"/>
  <c r="H157"/>
  <c r="H300" s="1"/>
  <c r="G157"/>
  <c r="F157"/>
  <c r="L157"/>
  <c r="K157"/>
  <c r="J157"/>
  <c r="I157"/>
  <c r="J92"/>
  <c r="F123"/>
  <c r="F118" s="1"/>
  <c r="G92"/>
  <c r="G300" s="1"/>
  <c r="J95" i="6"/>
  <c r="J21"/>
  <c r="H21"/>
  <c r="F21"/>
  <c r="D91"/>
  <c r="D88" s="1"/>
  <c r="F88"/>
  <c r="O88" s="1"/>
  <c r="E119" i="1"/>
  <c r="E165" s="1"/>
  <c r="F436" i="2"/>
  <c r="I364"/>
  <c r="I363" s="1"/>
  <c r="L436"/>
  <c r="D119" i="1"/>
  <c r="D165" s="1"/>
  <c r="L98" i="3"/>
  <c r="D114" i="1" l="1"/>
  <c r="D160" s="1"/>
  <c r="M531" i="2"/>
  <c r="M530" s="1"/>
  <c r="D54" i="1"/>
  <c r="D53" s="1"/>
  <c r="I52"/>
  <c r="G11" i="3"/>
  <c r="D277" i="6"/>
  <c r="L119" i="13"/>
  <c r="L121" s="1"/>
  <c r="L122" s="1"/>
  <c r="J55" i="1"/>
  <c r="O43" i="13"/>
  <c r="M106" i="6"/>
  <c r="G14" i="13"/>
  <c r="M14" s="1"/>
  <c r="G269" i="9"/>
  <c r="M270"/>
  <c r="D300"/>
  <c r="D301" s="1"/>
  <c r="P7" i="7"/>
  <c r="M96" i="6"/>
  <c r="G16" i="3"/>
  <c r="M33"/>
  <c r="D20" i="1"/>
  <c r="D111" s="1"/>
  <c r="D157" s="1"/>
  <c r="M15" i="2"/>
  <c r="G367"/>
  <c r="M369"/>
  <c r="M10"/>
  <c r="F10"/>
  <c r="L10"/>
  <c r="I109" i="1"/>
  <c r="I155" s="1"/>
  <c r="I111"/>
  <c r="I157" s="1"/>
  <c r="D109"/>
  <c r="D155" s="1"/>
  <c r="C60"/>
  <c r="P52"/>
  <c r="P16"/>
  <c r="P17"/>
  <c r="K50"/>
  <c r="Q50" s="1"/>
  <c r="M202" i="6"/>
  <c r="G189"/>
  <c r="G186" s="1"/>
  <c r="M190"/>
  <c r="G18" i="1"/>
  <c r="G108" s="1"/>
  <c r="K9" i="9"/>
  <c r="K7" s="1"/>
  <c r="I9"/>
  <c r="F299"/>
  <c r="G299"/>
  <c r="G301" s="1"/>
  <c r="H9"/>
  <c r="H7" s="1"/>
  <c r="G9"/>
  <c r="I295" i="3"/>
  <c r="G23" i="2"/>
  <c r="L8" i="9"/>
  <c r="G8"/>
  <c r="M8" s="1"/>
  <c r="G365" i="2"/>
  <c r="L465"/>
  <c r="D122" i="13"/>
  <c r="G20" i="2"/>
  <c r="D149" i="5"/>
  <c r="G18" i="13"/>
  <c r="F52"/>
  <c r="F18"/>
  <c r="F16" s="1"/>
  <c r="D19" i="1"/>
  <c r="K19" s="1"/>
  <c r="Q19" s="1"/>
  <c r="J13" i="6"/>
  <c r="H289"/>
  <c r="D152"/>
  <c r="I21" i="1"/>
  <c r="H692" i="2"/>
  <c r="M239" i="6"/>
  <c r="M238" s="1"/>
  <c r="F18" i="1"/>
  <c r="D35"/>
  <c r="H31"/>
  <c r="H121" s="1"/>
  <c r="H167" s="1"/>
  <c r="F146" i="5"/>
  <c r="F148" s="1"/>
  <c r="F149" s="1"/>
  <c r="D473" i="2"/>
  <c r="E48" i="1"/>
  <c r="K269" i="9"/>
  <c r="G436" i="2"/>
  <c r="D175"/>
  <c r="J105" i="6"/>
  <c r="D71" i="3"/>
  <c r="D68" s="1"/>
  <c r="G119" i="13"/>
  <c r="G121" s="1"/>
  <c r="G122" s="1"/>
  <c r="G102" s="1"/>
  <c r="G101" s="1"/>
  <c r="J473" i="2"/>
  <c r="F473"/>
  <c r="L300" i="9"/>
  <c r="L301" s="1"/>
  <c r="F300"/>
  <c r="K300"/>
  <c r="I300"/>
  <c r="D9" i="7"/>
  <c r="D7" s="1"/>
  <c r="D13"/>
  <c r="D11" s="1"/>
  <c r="M45"/>
  <c r="M44" s="1"/>
  <c r="J300" i="9"/>
  <c r="I7"/>
  <c r="K102" i="13"/>
  <c r="K101" s="1"/>
  <c r="H108" i="1"/>
  <c r="E269" i="9"/>
  <c r="L146" i="5"/>
  <c r="L148" s="1"/>
  <c r="L149" s="1"/>
  <c r="D107"/>
  <c r="D106" s="1"/>
  <c r="G106"/>
  <c r="F106"/>
  <c r="H106"/>
  <c r="G526" i="2"/>
  <c r="D32"/>
  <c r="I8" i="3"/>
  <c r="G295"/>
  <c r="O55"/>
  <c r="I292" i="6"/>
  <c r="I303" s="1"/>
  <c r="J8" i="3"/>
  <c r="K8"/>
  <c r="J295"/>
  <c r="K295"/>
  <c r="H84" i="1" s="1"/>
  <c r="H78" s="1"/>
  <c r="L12" i="3"/>
  <c r="L11" s="1"/>
  <c r="L10" s="1"/>
  <c r="O71"/>
  <c r="M12" i="5"/>
  <c r="H119" i="6"/>
  <c r="H11" s="1"/>
  <c r="H465" i="2"/>
  <c r="F124" i="6"/>
  <c r="H52" i="13"/>
  <c r="G270" i="6"/>
  <c r="D437" i="2"/>
  <c r="M436"/>
  <c r="I270" i="6"/>
  <c r="F10" i="3"/>
  <c r="O24" i="5"/>
  <c r="F10"/>
  <c r="F9" s="1"/>
  <c r="I10"/>
  <c r="I9" s="1"/>
  <c r="L10"/>
  <c r="L9" s="1"/>
  <c r="H10"/>
  <c r="H9" s="1"/>
  <c r="K10"/>
  <c r="K9" s="1"/>
  <c r="J10"/>
  <c r="J9" s="1"/>
  <c r="G10"/>
  <c r="J146" i="8"/>
  <c r="J147" s="1"/>
  <c r="D54"/>
  <c r="L68" i="3"/>
  <c r="F270" i="6"/>
  <c r="O220"/>
  <c r="J292"/>
  <c r="J303" s="1"/>
  <c r="F289"/>
  <c r="D189"/>
  <c r="D447" i="2"/>
  <c r="C48" i="1"/>
  <c r="D151" i="2"/>
  <c r="F290" i="6"/>
  <c r="D175"/>
  <c r="H119" i="13"/>
  <c r="H121" s="1"/>
  <c r="H122" s="1"/>
  <c r="H102" s="1"/>
  <c r="H101" s="1"/>
  <c r="J269" i="9"/>
  <c r="D279" i="6"/>
  <c r="D446" i="2"/>
  <c r="D682" s="1"/>
  <c r="M11" i="3"/>
  <c r="D41"/>
  <c r="D38" s="1"/>
  <c r="D22"/>
  <c r="H10"/>
  <c r="F292" i="6"/>
  <c r="F303" s="1"/>
  <c r="L9" i="3"/>
  <c r="D98"/>
  <c r="D9" s="1"/>
  <c r="G292" i="6"/>
  <c r="G303" s="1"/>
  <c r="K292"/>
  <c r="K303" s="1"/>
  <c r="H292"/>
  <c r="H303" s="1"/>
  <c r="D86" i="3"/>
  <c r="G10" i="8"/>
  <c r="M10" s="1"/>
  <c r="F13" i="2"/>
  <c r="F63" i="1"/>
  <c r="F62" s="1"/>
  <c r="F72" s="1"/>
  <c r="F465" i="2"/>
  <c r="D40" i="1"/>
  <c r="M470" i="2"/>
  <c r="D157"/>
  <c r="L473"/>
  <c r="K465"/>
  <c r="M481"/>
  <c r="G465"/>
  <c r="M508"/>
  <c r="H18"/>
  <c r="H11" s="1"/>
  <c r="L146" i="8"/>
  <c r="F32" i="3"/>
  <c r="I19" i="6"/>
  <c r="D106"/>
  <c r="J19"/>
  <c r="G19"/>
  <c r="G289"/>
  <c r="G105"/>
  <c r="L94"/>
  <c r="M273" i="9"/>
  <c r="M272" s="1"/>
  <c r="O49" i="8"/>
  <c r="L692" i="2"/>
  <c r="M213" i="6"/>
  <c r="D221"/>
  <c r="D220" s="1"/>
  <c r="G32" i="3"/>
  <c r="G146" i="8"/>
  <c r="G147" s="1"/>
  <c r="G53" i="1"/>
  <c r="G52" s="1"/>
  <c r="G71" s="1"/>
  <c r="H301" i="9"/>
  <c r="H302" s="1"/>
  <c r="M271"/>
  <c r="D45" i="7"/>
  <c r="D44" s="1"/>
  <c r="D187"/>
  <c r="F8" i="8"/>
  <c r="G45" i="3"/>
  <c r="H94" i="6"/>
  <c r="D102"/>
  <c r="D202"/>
  <c r="M189"/>
  <c r="M186" s="1"/>
  <c r="J119"/>
  <c r="I95"/>
  <c r="I94" s="1"/>
  <c r="H151"/>
  <c r="H25" s="1"/>
  <c r="E35" i="1" s="1"/>
  <c r="D190" i="6"/>
  <c r="C21" i="1"/>
  <c r="C112" s="1"/>
  <c r="C158" s="1"/>
  <c r="I289" i="6"/>
  <c r="F14"/>
  <c r="F13" s="1"/>
  <c r="K114" i="1"/>
  <c r="F20"/>
  <c r="K20" s="1"/>
  <c r="Q20" s="1"/>
  <c r="F692" i="2"/>
  <c r="M45" i="3"/>
  <c r="D46"/>
  <c r="M52" i="13"/>
  <c r="M46"/>
  <c r="M45" s="1"/>
  <c r="F45" i="3"/>
  <c r="L197" i="6"/>
  <c r="L142"/>
  <c r="F95"/>
  <c r="D96"/>
  <c r="D285" s="1"/>
  <c r="D88" i="1"/>
  <c r="D87" s="1"/>
  <c r="G691" i="2"/>
  <c r="G692" s="1"/>
  <c r="D139" i="6"/>
  <c r="L11" i="8"/>
  <c r="D51"/>
  <c r="D31"/>
  <c r="O31" s="1"/>
  <c r="D41"/>
  <c r="D38"/>
  <c r="L21"/>
  <c r="L31" i="2"/>
  <c r="I34" i="1" s="1"/>
  <c r="I124" s="1"/>
  <c r="I170" s="1"/>
  <c r="J11" i="7"/>
  <c r="J10" s="1"/>
  <c r="M11"/>
  <c r="M10" s="1"/>
  <c r="B19" i="1"/>
  <c r="B110" s="1"/>
  <c r="B156" s="1"/>
  <c r="M14" i="2"/>
  <c r="H48" i="1"/>
  <c r="H63"/>
  <c r="H62" s="1"/>
  <c r="H72" s="1"/>
  <c r="H86" s="1"/>
  <c r="C28"/>
  <c r="L530" i="2"/>
  <c r="L529" s="1"/>
  <c r="D15" i="6"/>
  <c r="G63" i="1"/>
  <c r="G62" s="1"/>
  <c r="G72" s="1"/>
  <c r="G86" s="1"/>
  <c r="D45" i="8"/>
  <c r="K8"/>
  <c r="D48"/>
  <c r="L238" i="6"/>
  <c r="L14" i="13"/>
  <c r="L12" s="1"/>
  <c r="H269" i="9"/>
  <c r="L33" i="8"/>
  <c r="D36"/>
  <c r="F48" i="1"/>
  <c r="H147" i="8"/>
  <c r="L19" i="6"/>
  <c r="K508" i="2"/>
  <c r="E509"/>
  <c r="E508" s="1"/>
  <c r="I22" i="1"/>
  <c r="F18" i="2"/>
  <c r="M19"/>
  <c r="J18"/>
  <c r="K23"/>
  <c r="K22" s="1"/>
  <c r="D325"/>
  <c r="K473"/>
  <c r="M368"/>
  <c r="M367" s="1"/>
  <c r="F530"/>
  <c r="F529" s="1"/>
  <c r="F201" i="6"/>
  <c r="F197" s="1"/>
  <c r="M105"/>
  <c r="M95"/>
  <c r="F301"/>
  <c r="M144"/>
  <c r="H14"/>
  <c r="E18" i="1" s="1"/>
  <c r="I120" i="6"/>
  <c r="I119" s="1"/>
  <c r="I17"/>
  <c r="F23" i="1" s="1"/>
  <c r="K120" i="6"/>
  <c r="K119" s="1"/>
  <c r="K17"/>
  <c r="H23" i="1" s="1"/>
  <c r="G120" i="6"/>
  <c r="G119" s="1"/>
  <c r="G17"/>
  <c r="D23" i="1" s="1"/>
  <c r="F105" i="6"/>
  <c r="M47" i="4"/>
  <c r="D51" i="3"/>
  <c r="M32"/>
  <c r="G48" i="1"/>
  <c r="M124" i="6"/>
  <c r="M119" s="1"/>
  <c r="K147" i="8"/>
  <c r="F147"/>
  <c r="L16" i="13"/>
  <c r="F14"/>
  <c r="F12" s="1"/>
  <c r="D47"/>
  <c r="D14" s="1"/>
  <c r="D12" s="1"/>
  <c r="D53"/>
  <c r="D18" s="1"/>
  <c r="O30" i="8"/>
  <c r="O24"/>
  <c r="D34"/>
  <c r="D33" s="1"/>
  <c r="D10" s="1"/>
  <c r="M45"/>
  <c r="M44" s="1"/>
  <c r="D22"/>
  <c r="M36"/>
  <c r="M33" s="1"/>
  <c r="M55" i="1"/>
  <c r="D12" i="8"/>
  <c r="L120" i="6"/>
  <c r="L119" s="1"/>
  <c r="D121"/>
  <c r="L220"/>
  <c r="L270" s="1"/>
  <c r="J29" i="1"/>
  <c r="D125" i="6"/>
  <c r="D124" s="1"/>
  <c r="D282" s="1"/>
  <c r="F87" i="1"/>
  <c r="J61"/>
  <c r="M61"/>
  <c r="H32" i="3"/>
  <c r="D33"/>
  <c r="D16" s="1"/>
  <c r="D15" s="1"/>
  <c r="D25" i="1"/>
  <c r="L26" i="3"/>
  <c r="D27"/>
  <c r="D12" s="1"/>
  <c r="D11" s="1"/>
  <c r="L62"/>
  <c r="D442" i="2"/>
  <c r="D369" s="1"/>
  <c r="E21"/>
  <c r="E18" s="1"/>
  <c r="E30"/>
  <c r="E29" s="1"/>
  <c r="M56" i="1"/>
  <c r="N56" s="1"/>
  <c r="E27" i="2"/>
  <c r="B32" i="1" s="1"/>
  <c r="J59"/>
  <c r="N59" s="1"/>
  <c r="D174" i="6"/>
  <c r="D104" i="3"/>
  <c r="D296" s="1"/>
  <c r="D145" i="2"/>
  <c r="B69" i="1"/>
  <c r="J69" s="1"/>
  <c r="D30" i="7"/>
  <c r="D29" s="1"/>
  <c r="D15"/>
  <c r="D21"/>
  <c r="D17" s="1"/>
  <c r="D53"/>
  <c r="D50" s="1"/>
  <c r="D25"/>
  <c r="D24" s="1"/>
  <c r="M36" i="2"/>
  <c r="J12"/>
  <c r="H8"/>
  <c r="D26"/>
  <c r="D417"/>
  <c r="D25"/>
  <c r="H29"/>
  <c r="H22" s="1"/>
  <c r="H683" s="1"/>
  <c r="K18"/>
  <c r="E72"/>
  <c r="E68" s="1"/>
  <c r="D119"/>
  <c r="D114" s="1"/>
  <c r="E61"/>
  <c r="D62"/>
  <c r="D61" s="1"/>
  <c r="M466"/>
  <c r="G31" i="1"/>
  <c r="G121" s="1"/>
  <c r="G167" s="1"/>
  <c r="B21"/>
  <c r="I31"/>
  <c r="I28" s="1"/>
  <c r="O37" i="6"/>
  <c r="D36"/>
  <c r="D35" s="1"/>
  <c r="G150"/>
  <c r="D193"/>
  <c r="D192" s="1"/>
  <c r="D214"/>
  <c r="D213" s="1"/>
  <c r="F143"/>
  <c r="F19" s="1"/>
  <c r="C26" i="1" s="1"/>
  <c r="G21" i="6"/>
  <c r="G20" s="1"/>
  <c r="D31" i="1"/>
  <c r="I21" i="6"/>
  <c r="F31" i="1"/>
  <c r="F121" s="1"/>
  <c r="F167" s="1"/>
  <c r="G21"/>
  <c r="G112" s="1"/>
  <c r="G158" s="1"/>
  <c r="F526" i="2"/>
  <c r="D564"/>
  <c r="D563" s="1"/>
  <c r="F21" i="1"/>
  <c r="F112" s="1"/>
  <c r="F158" s="1"/>
  <c r="H21"/>
  <c r="H112" s="1"/>
  <c r="H158" s="1"/>
  <c r="D21"/>
  <c r="D15" i="9"/>
  <c r="D10" s="1"/>
  <c r="D84"/>
  <c r="D83" s="1"/>
  <c r="D209" i="6"/>
  <c r="K94"/>
  <c r="M269" i="9"/>
  <c r="D75"/>
  <c r="D74" s="1"/>
  <c r="I269"/>
  <c r="F38"/>
  <c r="F9" s="1"/>
  <c r="M38"/>
  <c r="L83"/>
  <c r="L9" s="1"/>
  <c r="E302"/>
  <c r="E279" s="1"/>
  <c r="D22"/>
  <c r="D18" s="1"/>
  <c r="F8"/>
  <c r="M15"/>
  <c r="M10" s="1"/>
  <c r="E75" i="2"/>
  <c r="E74" s="1"/>
  <c r="E9"/>
  <c r="G31"/>
  <c r="F31"/>
  <c r="I9"/>
  <c r="I8" s="1"/>
  <c r="D63" i="1"/>
  <c r="D62" s="1"/>
  <c r="D72" s="1"/>
  <c r="J23" i="2"/>
  <c r="J22" s="1"/>
  <c r="J683" s="1"/>
  <c r="E63" i="1"/>
  <c r="E62" s="1"/>
  <c r="E72" s="1"/>
  <c r="E86" s="1"/>
  <c r="H526" i="2"/>
  <c r="G52" i="13"/>
  <c r="H143" i="6"/>
  <c r="H19" s="1"/>
  <c r="E26" i="1" s="1"/>
  <c r="D301" i="6"/>
  <c r="B60" i="1"/>
  <c r="F119" i="13"/>
  <c r="F121" s="1"/>
  <c r="F122" s="1"/>
  <c r="M36"/>
  <c r="G46"/>
  <c r="F45"/>
  <c r="L45"/>
  <c r="H11"/>
  <c r="H45"/>
  <c r="H119" i="1"/>
  <c r="H165" s="1"/>
  <c r="D86" i="6"/>
  <c r="D83" s="1"/>
  <c r="D73"/>
  <c r="D72" s="1"/>
  <c r="E238"/>
  <c r="M299"/>
  <c r="D194"/>
  <c r="D298"/>
  <c r="F208"/>
  <c r="F151"/>
  <c r="I87" i="1"/>
  <c r="D423" i="2"/>
  <c r="D422" s="1"/>
  <c r="D533"/>
  <c r="O533" s="1"/>
  <c r="G530"/>
  <c r="G529" s="1"/>
  <c r="D170" i="6"/>
  <c r="K150"/>
  <c r="G142"/>
  <c r="G138" s="1"/>
  <c r="I142"/>
  <c r="K142"/>
  <c r="E270"/>
  <c r="J150"/>
  <c r="L150"/>
  <c r="D181"/>
  <c r="D178" s="1"/>
  <c r="D146" s="1"/>
  <c r="J138"/>
  <c r="M26" i="3"/>
  <c r="I102" i="13"/>
  <c r="I101" s="1"/>
  <c r="F53" i="1"/>
  <c r="F52" s="1"/>
  <c r="F71" s="1"/>
  <c r="E25"/>
  <c r="E113" s="1"/>
  <c r="L55" i="3"/>
  <c r="D66"/>
  <c r="D62" s="1"/>
  <c r="H38"/>
  <c r="H295" s="1"/>
  <c r="F38"/>
  <c r="F295" s="1"/>
  <c r="I24" i="6"/>
  <c r="I150"/>
  <c r="H40" i="1"/>
  <c r="K24" i="6"/>
  <c r="K20" s="1"/>
  <c r="D48" i="1"/>
  <c r="D134" i="2"/>
  <c r="D129" s="1"/>
  <c r="O136"/>
  <c r="D127" i="9"/>
  <c r="M242" i="6"/>
  <c r="M241" s="1"/>
  <c r="L242"/>
  <c r="L241" s="1"/>
  <c r="D95" i="3"/>
  <c r="D92" s="1"/>
  <c r="D58"/>
  <c r="D55" s="1"/>
  <c r="O508" i="2"/>
  <c r="B34" i="1"/>
  <c r="D93" i="2"/>
  <c r="D92" s="1"/>
  <c r="E93"/>
  <c r="E92" s="1"/>
  <c r="F25" i="1"/>
  <c r="F113" s="1"/>
  <c r="F159" s="1"/>
  <c r="I18" i="2"/>
  <c r="D602"/>
  <c r="D601" s="1"/>
  <c r="D527" s="1"/>
  <c r="E81"/>
  <c r="E477"/>
  <c r="D173"/>
  <c r="D169" s="1"/>
  <c r="D429"/>
  <c r="D391"/>
  <c r="E467"/>
  <c r="E482"/>
  <c r="B22" i="1"/>
  <c r="D379" i="2"/>
  <c r="D378" s="1"/>
  <c r="E55"/>
  <c r="O465"/>
  <c r="D510"/>
  <c r="D509" s="1"/>
  <c r="D508" s="1"/>
  <c r="D518"/>
  <c r="D517" s="1"/>
  <c r="E28" i="1"/>
  <c r="L526" i="2"/>
  <c r="D400"/>
  <c r="D399" s="1"/>
  <c r="E101"/>
  <c r="E98" s="1"/>
  <c r="D104"/>
  <c r="D68"/>
  <c r="D121"/>
  <c r="D427"/>
  <c r="D409"/>
  <c r="D408" s="1"/>
  <c r="M41"/>
  <c r="D84"/>
  <c r="E84"/>
  <c r="E470"/>
  <c r="L441"/>
  <c r="M441"/>
  <c r="D472"/>
  <c r="D21" s="1"/>
  <c r="D486"/>
  <c r="B25" i="1"/>
  <c r="K12" i="2"/>
  <c r="I29"/>
  <c r="F40" i="1"/>
  <c r="L23" i="2"/>
  <c r="I23"/>
  <c r="M16"/>
  <c r="B64" i="1"/>
  <c r="D76" i="4"/>
  <c r="D61"/>
  <c r="D75"/>
  <c r="B58" i="1"/>
  <c r="M58" s="1"/>
  <c r="L45" i="3"/>
  <c r="E289" i="6"/>
  <c r="I119" i="1"/>
  <c r="I165" s="1"/>
  <c r="F119"/>
  <c r="F165" s="1"/>
  <c r="C119"/>
  <c r="C165" s="1"/>
  <c r="G119"/>
  <c r="G165" s="1"/>
  <c r="L364" i="2"/>
  <c r="G364"/>
  <c r="G363" s="1"/>
  <c r="F364"/>
  <c r="I12"/>
  <c r="F435"/>
  <c r="H110" i="1"/>
  <c r="M60" l="1"/>
  <c r="E14"/>
  <c r="E76" s="1"/>
  <c r="M9" i="9"/>
  <c r="G12" i="13"/>
  <c r="B13" i="1"/>
  <c r="D125"/>
  <c r="D171" s="1"/>
  <c r="O7" i="9"/>
  <c r="L25" i="3"/>
  <c r="L8" s="1"/>
  <c r="L7" s="1"/>
  <c r="G16" i="13"/>
  <c r="M18"/>
  <c r="G9" i="5"/>
  <c r="M10"/>
  <c r="G15" i="3"/>
  <c r="G10" s="1"/>
  <c r="M16"/>
  <c r="M15" s="1"/>
  <c r="M10" s="1"/>
  <c r="G18" i="2"/>
  <c r="M20"/>
  <c r="G13"/>
  <c r="M365"/>
  <c r="M364" s="1"/>
  <c r="I114" i="1"/>
  <c r="I160" s="1"/>
  <c r="D112"/>
  <c r="D158" s="1"/>
  <c r="K21"/>
  <c r="K57"/>
  <c r="Q57" s="1"/>
  <c r="K111"/>
  <c r="D113"/>
  <c r="D159" s="1"/>
  <c r="K25"/>
  <c r="Q25" s="1"/>
  <c r="K49"/>
  <c r="F108"/>
  <c r="H150" i="6"/>
  <c r="H147" s="1"/>
  <c r="M143"/>
  <c r="D9" i="9"/>
  <c r="D86" i="1"/>
  <c r="D26"/>
  <c r="H154"/>
  <c r="J32"/>
  <c r="J123" s="1"/>
  <c r="J169" s="1"/>
  <c r="B123"/>
  <c r="B169" s="1"/>
  <c r="F92"/>
  <c r="D436" i="2"/>
  <c r="D365"/>
  <c r="D373"/>
  <c r="D19"/>
  <c r="D20"/>
  <c r="M435"/>
  <c r="E84" i="1"/>
  <c r="C84"/>
  <c r="F84"/>
  <c r="F78" s="1"/>
  <c r="D84"/>
  <c r="D78" s="1"/>
  <c r="I7" i="3"/>
  <c r="G435" i="2"/>
  <c r="K7" i="3"/>
  <c r="M465" i="2"/>
  <c r="H28" i="1"/>
  <c r="M16" i="13"/>
  <c r="J7" i="3"/>
  <c r="J18" i="6"/>
  <c r="J12" s="1"/>
  <c r="G26" i="1"/>
  <c r="G115" s="1"/>
  <c r="G161" s="1"/>
  <c r="C18"/>
  <c r="C108" s="1"/>
  <c r="J301" i="9"/>
  <c r="J302" s="1"/>
  <c r="I301"/>
  <c r="I302" s="1"/>
  <c r="I18" i="6"/>
  <c r="F26" i="1"/>
  <c r="F115" s="1"/>
  <c r="F161" s="1"/>
  <c r="G147" i="6"/>
  <c r="J94"/>
  <c r="J10" s="1"/>
  <c r="G13" i="1" s="1"/>
  <c r="D50" i="8"/>
  <c r="D144" s="1"/>
  <c r="D146" s="1"/>
  <c r="C25" i="1"/>
  <c r="D14" i="6"/>
  <c r="H293"/>
  <c r="H304" s="1"/>
  <c r="H53" i="1"/>
  <c r="H52" s="1"/>
  <c r="E53"/>
  <c r="E52" s="1"/>
  <c r="E71" s="1"/>
  <c r="J88"/>
  <c r="M87" i="5"/>
  <c r="G7" i="9"/>
  <c r="D186" i="6"/>
  <c r="F119"/>
  <c r="F11" s="1"/>
  <c r="C14" i="1" s="1"/>
  <c r="L295" i="3"/>
  <c r="L297" s="1"/>
  <c r="L298" s="1"/>
  <c r="D295"/>
  <c r="L19" i="2"/>
  <c r="M12" i="13"/>
  <c r="C19" i="1"/>
  <c r="D52" i="13"/>
  <c r="O38" i="3"/>
  <c r="F142" i="6"/>
  <c r="G154" i="1"/>
  <c r="G17"/>
  <c r="M14" i="6"/>
  <c r="M13" s="1"/>
  <c r="D44" i="8"/>
  <c r="D9" s="1"/>
  <c r="D8" s="1"/>
  <c r="K683" i="2"/>
  <c r="K684" s="1"/>
  <c r="K685" s="1"/>
  <c r="F25" i="3"/>
  <c r="F8" s="1"/>
  <c r="G25"/>
  <c r="G8" s="1"/>
  <c r="K297"/>
  <c r="K298" s="1"/>
  <c r="D32"/>
  <c r="G8" i="8"/>
  <c r="E13" i="2"/>
  <c r="E12" s="1"/>
  <c r="E11" s="1"/>
  <c r="F86" i="1"/>
  <c r="D41"/>
  <c r="J57"/>
  <c r="C114"/>
  <c r="C160" s="1"/>
  <c r="L147" i="8"/>
  <c r="G94" i="6"/>
  <c r="L10"/>
  <c r="D302" i="9"/>
  <c r="Q10" i="7"/>
  <c r="L7" i="9"/>
  <c r="D188" i="7"/>
  <c r="K301" i="9"/>
  <c r="K302" s="1"/>
  <c r="G84" i="1"/>
  <c r="G78" s="1"/>
  <c r="K10" i="6"/>
  <c r="H13" i="1" s="1"/>
  <c r="I11" i="6"/>
  <c r="F14" i="1" s="1"/>
  <c r="L11" i="6"/>
  <c r="G11"/>
  <c r="K11"/>
  <c r="I10"/>
  <c r="F13" i="1" s="1"/>
  <c r="J11" i="6"/>
  <c r="H10"/>
  <c r="H9" s="1"/>
  <c r="I20"/>
  <c r="L138"/>
  <c r="I13"/>
  <c r="J22" i="1"/>
  <c r="F111"/>
  <c r="F157" s="1"/>
  <c r="D45" i="3"/>
  <c r="D292" i="6"/>
  <c r="D60" i="4"/>
  <c r="L89" i="1"/>
  <c r="H25" i="3"/>
  <c r="H8" s="1"/>
  <c r="L29" i="2"/>
  <c r="L22" s="1"/>
  <c r="L683" s="1"/>
  <c r="L18" i="6"/>
  <c r="M201"/>
  <c r="M197" s="1"/>
  <c r="M11" s="1"/>
  <c r="D201"/>
  <c r="D197" s="1"/>
  <c r="O23" i="8"/>
  <c r="O14"/>
  <c r="L10"/>
  <c r="G92" i="1"/>
  <c r="G109"/>
  <c r="G155" s="1"/>
  <c r="H13" i="6"/>
  <c r="F363" i="2"/>
  <c r="J11"/>
  <c r="D16" i="13"/>
  <c r="D11" s="1"/>
  <c r="O25"/>
  <c r="M9" i="5"/>
  <c r="F102" i="13"/>
  <c r="F101" s="1"/>
  <c r="I19" i="1"/>
  <c r="M301" i="6"/>
  <c r="M35" i="2"/>
  <c r="I18" i="1"/>
  <c r="I26"/>
  <c r="N55"/>
  <c r="D151" i="6"/>
  <c r="D25" s="1"/>
  <c r="F25"/>
  <c r="C35" i="1" s="1"/>
  <c r="J35" s="1"/>
  <c r="M94" i="6"/>
  <c r="M10" s="1"/>
  <c r="K13"/>
  <c r="H17" i="1"/>
  <c r="M142" i="6"/>
  <c r="M138" s="1"/>
  <c r="G13"/>
  <c r="F94"/>
  <c r="O33" i="3"/>
  <c r="M363" i="2"/>
  <c r="K11"/>
  <c r="L11" i="13"/>
  <c r="F11"/>
  <c r="D28" i="8"/>
  <c r="D21" s="1"/>
  <c r="O21"/>
  <c r="O15"/>
  <c r="O25"/>
  <c r="O29"/>
  <c r="O16"/>
  <c r="D16"/>
  <c r="D11" s="1"/>
  <c r="D26" i="3"/>
  <c r="M57" i="1"/>
  <c r="E23" i="2"/>
  <c r="E22" s="1"/>
  <c r="E683" s="1"/>
  <c r="B119" i="1"/>
  <c r="B165" s="1"/>
  <c r="J64"/>
  <c r="L64" s="1"/>
  <c r="J58"/>
  <c r="L65" s="1"/>
  <c r="B113"/>
  <c r="B159" s="1"/>
  <c r="J20"/>
  <c r="M20"/>
  <c r="B112"/>
  <c r="B158" s="1"/>
  <c r="J21"/>
  <c r="M22"/>
  <c r="I138" i="6"/>
  <c r="M21" i="1"/>
  <c r="D143" i="6"/>
  <c r="D19" s="1"/>
  <c r="E119" i="13"/>
  <c r="E121" s="1"/>
  <c r="E122" s="1"/>
  <c r="D10" i="7"/>
  <c r="D290" i="6"/>
  <c r="J68" i="1"/>
  <c r="B68"/>
  <c r="I11" i="2"/>
  <c r="G28" i="1"/>
  <c r="I22" i="2"/>
  <c r="B31" i="1"/>
  <c r="J31" s="1"/>
  <c r="F18" i="6"/>
  <c r="F12" s="1"/>
  <c r="D536" i="2"/>
  <c r="D535" s="1"/>
  <c r="L363"/>
  <c r="G302" i="9"/>
  <c r="F301"/>
  <c r="F302" s="1"/>
  <c r="F279" s="1"/>
  <c r="F278" s="1"/>
  <c r="F277" s="1"/>
  <c r="I293" i="6"/>
  <c r="I304" s="1"/>
  <c r="K293"/>
  <c r="K304" s="1"/>
  <c r="L302" i="9"/>
  <c r="L279" s="1"/>
  <c r="E278"/>
  <c r="E277" s="1"/>
  <c r="D75" i="2"/>
  <c r="D74" s="1"/>
  <c r="O39"/>
  <c r="D470"/>
  <c r="F29"/>
  <c r="F22" s="1"/>
  <c r="C34" i="1"/>
  <c r="C124" s="1"/>
  <c r="C170" s="1"/>
  <c r="F9" i="2"/>
  <c r="L435"/>
  <c r="D426"/>
  <c r="M50" i="1"/>
  <c r="D34"/>
  <c r="G29" i="2"/>
  <c r="G22" s="1"/>
  <c r="E54"/>
  <c r="D55"/>
  <c r="D54" s="1"/>
  <c r="D556"/>
  <c r="D555" s="1"/>
  <c r="O53" i="13"/>
  <c r="H142" i="6"/>
  <c r="J60" i="1"/>
  <c r="N60" s="1"/>
  <c r="N61"/>
  <c r="H9" i="13"/>
  <c r="H8" s="1"/>
  <c r="L9"/>
  <c r="F9"/>
  <c r="G45"/>
  <c r="D46"/>
  <c r="O47"/>
  <c r="G11"/>
  <c r="D208" i="6"/>
  <c r="D205" s="1"/>
  <c r="F205"/>
  <c r="F150"/>
  <c r="D300"/>
  <c r="M298"/>
  <c r="D254"/>
  <c r="D253" s="1"/>
  <c r="D243"/>
  <c r="D242" s="1"/>
  <c r="D241" s="1"/>
  <c r="L13"/>
  <c r="E481" i="2"/>
  <c r="E473"/>
  <c r="K147" i="6"/>
  <c r="K18"/>
  <c r="G18"/>
  <c r="K138"/>
  <c r="D78"/>
  <c r="D77" s="1"/>
  <c r="F28" i="1"/>
  <c r="L147" i="6"/>
  <c r="J147"/>
  <c r="H24"/>
  <c r="H20" s="1"/>
  <c r="E40" i="1"/>
  <c r="D148" i="6"/>
  <c r="D23"/>
  <c r="D21" s="1"/>
  <c r="L24"/>
  <c r="L20" s="1"/>
  <c r="J24"/>
  <c r="J20" s="1"/>
  <c r="G40" i="1"/>
  <c r="M25" i="3"/>
  <c r="M8" s="1"/>
  <c r="J684" i="2"/>
  <c r="J685" s="1"/>
  <c r="H684"/>
  <c r="H685" s="1"/>
  <c r="D10" i="3"/>
  <c r="J297"/>
  <c r="J298" s="1"/>
  <c r="G297"/>
  <c r="G298" s="1"/>
  <c r="I297"/>
  <c r="I298" s="1"/>
  <c r="H125" i="1"/>
  <c r="H171" s="1"/>
  <c r="H33"/>
  <c r="H41"/>
  <c r="I147" i="6"/>
  <c r="O23" i="3"/>
  <c r="G293" i="6"/>
  <c r="G304" s="1"/>
  <c r="M49" i="1"/>
  <c r="D482" i="2"/>
  <c r="D481" s="1"/>
  <c r="D467"/>
  <c r="D466" s="1"/>
  <c r="D610"/>
  <c r="D609" s="1"/>
  <c r="B124" i="1"/>
  <c r="B170" s="1"/>
  <c r="E466" i="2"/>
  <c r="B67" i="1"/>
  <c r="D15" i="2"/>
  <c r="D81"/>
  <c r="D80" s="1"/>
  <c r="B114" i="1"/>
  <c r="B160" s="1"/>
  <c r="D17" i="2"/>
  <c r="D101"/>
  <c r="D98" s="1"/>
  <c r="D580"/>
  <c r="D579" s="1"/>
  <c r="J30" i="1"/>
  <c r="D121"/>
  <c r="D167" s="1"/>
  <c r="D28"/>
  <c r="D355" i="2"/>
  <c r="D351" s="1"/>
  <c r="E80"/>
  <c r="D441"/>
  <c r="D435" s="1"/>
  <c r="D9" s="1"/>
  <c r="O448"/>
  <c r="D388"/>
  <c r="D387" s="1"/>
  <c r="L18"/>
  <c r="B40" i="1"/>
  <c r="F125"/>
  <c r="F171" s="1"/>
  <c r="F33"/>
  <c r="F41"/>
  <c r="I112"/>
  <c r="I158" s="1"/>
  <c r="O26" i="2"/>
  <c r="D57" i="4"/>
  <c r="D68"/>
  <c r="D67" s="1"/>
  <c r="B109" i="1"/>
  <c r="B155" s="1"/>
  <c r="B111"/>
  <c r="B157" s="1"/>
  <c r="D120" i="6"/>
  <c r="D119" s="1"/>
  <c r="D17"/>
  <c r="E293"/>
  <c r="E304" s="1"/>
  <c r="D105"/>
  <c r="D281" s="1"/>
  <c r="F12" i="2"/>
  <c r="F11" s="1"/>
  <c r="G12"/>
  <c r="G11" s="1"/>
  <c r="L12"/>
  <c r="H156" i="1"/>
  <c r="E159"/>
  <c r="J293" i="6" l="1"/>
  <c r="J304" s="1"/>
  <c r="J26" i="1"/>
  <c r="L35" s="1"/>
  <c r="K109"/>
  <c r="D10" i="2"/>
  <c r="D18" i="1"/>
  <c r="K18" s="1"/>
  <c r="M13" i="2"/>
  <c r="M12" s="1"/>
  <c r="E10"/>
  <c r="I115" i="1"/>
  <c r="I161" s="1"/>
  <c r="I110"/>
  <c r="I156" s="1"/>
  <c r="K48"/>
  <c r="Q48" s="1"/>
  <c r="Q49"/>
  <c r="K54"/>
  <c r="K26"/>
  <c r="K112"/>
  <c r="Q21"/>
  <c r="E108"/>
  <c r="E154" s="1"/>
  <c r="D52"/>
  <c r="D71" s="1"/>
  <c r="H71"/>
  <c r="H92" s="1"/>
  <c r="I12" i="6"/>
  <c r="D367" i="2"/>
  <c r="F138" i="6"/>
  <c r="G9" i="2"/>
  <c r="O9" s="1"/>
  <c r="C113" i="1"/>
  <c r="C159" s="1"/>
  <c r="M11" i="13"/>
  <c r="G14" i="1"/>
  <c r="H14"/>
  <c r="G271" i="6"/>
  <c r="E13" i="1"/>
  <c r="D14"/>
  <c r="D76" s="1"/>
  <c r="F17"/>
  <c r="F116"/>
  <c r="E92"/>
  <c r="L30"/>
  <c r="O194" i="6"/>
  <c r="C76" i="1"/>
  <c r="G10" i="6"/>
  <c r="G9" s="1"/>
  <c r="D465" i="2"/>
  <c r="D239" i="6"/>
  <c r="F7" i="3"/>
  <c r="D13" i="2"/>
  <c r="H7" i="3"/>
  <c r="L31" i="1"/>
  <c r="F683" i="2"/>
  <c r="I25" i="1"/>
  <c r="D147" i="8"/>
  <c r="D45" i="13"/>
  <c r="D9" s="1"/>
  <c r="D8" s="1"/>
  <c r="K12" i="6"/>
  <c r="G683" i="2"/>
  <c r="I683"/>
  <c r="J9" i="6"/>
  <c r="G7" i="3"/>
  <c r="I84" i="1"/>
  <c r="I78" s="1"/>
  <c r="D25" i="3"/>
  <c r="D8" s="1"/>
  <c r="D7" s="1"/>
  <c r="O18" s="1"/>
  <c r="G116" i="1"/>
  <c r="M7" i="3"/>
  <c r="O7" s="1"/>
  <c r="F75" i="1"/>
  <c r="L9" i="6"/>
  <c r="G24" i="1"/>
  <c r="G16" s="1"/>
  <c r="G37" s="1"/>
  <c r="F7" i="9"/>
  <c r="L8" i="8"/>
  <c r="O8" s="1"/>
  <c r="D11" i="6"/>
  <c r="F10"/>
  <c r="C13" i="1" s="1"/>
  <c r="M9" i="6"/>
  <c r="D303"/>
  <c r="C24" i="1"/>
  <c r="F8" i="13"/>
  <c r="Q18" i="1"/>
  <c r="E17"/>
  <c r="L12" i="6"/>
  <c r="L88" i="1"/>
  <c r="L87" s="1"/>
  <c r="D689" i="2"/>
  <c r="D691" s="1"/>
  <c r="D692" s="1"/>
  <c r="K271" i="6"/>
  <c r="I271"/>
  <c r="H271"/>
  <c r="E85" i="1" s="1"/>
  <c r="J271" i="6"/>
  <c r="Q11" i="7"/>
  <c r="M290" i="6"/>
  <c r="G162" i="1"/>
  <c r="D142" i="6"/>
  <c r="D138" s="1"/>
  <c r="G12"/>
  <c r="J28" i="1"/>
  <c r="I14"/>
  <c r="M8" i="8"/>
  <c r="M300" i="6"/>
  <c r="K110" i="1"/>
  <c r="D270" i="6"/>
  <c r="L84" i="1" s="1"/>
  <c r="F293" i="6"/>
  <c r="F304" s="1"/>
  <c r="M19"/>
  <c r="M18" s="1"/>
  <c r="M12" s="1"/>
  <c r="C115" i="1"/>
  <c r="C161" s="1"/>
  <c r="C53"/>
  <c r="C52" s="1"/>
  <c r="C71" s="1"/>
  <c r="M18" i="2"/>
  <c r="M11" s="1"/>
  <c r="F24" i="1"/>
  <c r="J19"/>
  <c r="L29" s="1"/>
  <c r="C110"/>
  <c r="C156" s="1"/>
  <c r="M19"/>
  <c r="M23"/>
  <c r="J23"/>
  <c r="B63"/>
  <c r="B62" s="1"/>
  <c r="B72" s="1"/>
  <c r="J67"/>
  <c r="J122" s="1"/>
  <c r="J168" s="1"/>
  <c r="J34"/>
  <c r="B121"/>
  <c r="B167" s="1"/>
  <c r="L271" i="6"/>
  <c r="L272" s="1"/>
  <c r="L273" s="1"/>
  <c r="O374" i="2"/>
  <c r="D370"/>
  <c r="F172" i="1"/>
  <c r="H75"/>
  <c r="K9" i="6"/>
  <c r="L278" i="9"/>
  <c r="I63" i="1"/>
  <c r="I62" s="1"/>
  <c r="I72" s="1"/>
  <c r="I121"/>
  <c r="I167" s="1"/>
  <c r="L66"/>
  <c r="D7" i="9"/>
  <c r="C63" i="1"/>
  <c r="C62" s="1"/>
  <c r="C72" s="1"/>
  <c r="C86" s="1"/>
  <c r="C121"/>
  <c r="C167" s="1"/>
  <c r="D27" i="2"/>
  <c r="D23" s="1"/>
  <c r="D44"/>
  <c r="D124" i="1"/>
  <c r="D170" s="1"/>
  <c r="D33"/>
  <c r="D27" s="1"/>
  <c r="D38" s="1"/>
  <c r="D77" s="1"/>
  <c r="L9" i="2"/>
  <c r="L8" s="1"/>
  <c r="J50" i="1"/>
  <c r="B48"/>
  <c r="M48" s="1"/>
  <c r="H18" i="6"/>
  <c r="H12" s="1"/>
  <c r="H138"/>
  <c r="G9" i="13"/>
  <c r="M9" s="1"/>
  <c r="L8"/>
  <c r="D110" i="1"/>
  <c r="D156" s="1"/>
  <c r="L11" i="2"/>
  <c r="D289" i="6"/>
  <c r="F24"/>
  <c r="F20" s="1"/>
  <c r="C40" i="1"/>
  <c r="J40" s="1"/>
  <c r="F147" i="6"/>
  <c r="H115" i="1"/>
  <c r="H24"/>
  <c r="H16" s="1"/>
  <c r="H37" s="1"/>
  <c r="D115"/>
  <c r="D161" s="1"/>
  <c r="D24"/>
  <c r="O25" i="6"/>
  <c r="G125" i="1"/>
  <c r="G171" s="1"/>
  <c r="G41"/>
  <c r="G33"/>
  <c r="I125"/>
  <c r="I171" s="1"/>
  <c r="I33"/>
  <c r="I27" s="1"/>
  <c r="E41"/>
  <c r="E125"/>
  <c r="E171" s="1"/>
  <c r="E33"/>
  <c r="E27" s="1"/>
  <c r="E38" s="1"/>
  <c r="E77" s="1"/>
  <c r="G272" i="6"/>
  <c r="G273" s="1"/>
  <c r="E297" i="3"/>
  <c r="E298" s="1"/>
  <c r="B84" i="1"/>
  <c r="D297" i="3"/>
  <c r="H297"/>
  <c r="H298" s="1"/>
  <c r="F297"/>
  <c r="F298" s="1"/>
  <c r="M292" i="6"/>
  <c r="D150"/>
  <c r="D147" s="1"/>
  <c r="O20" s="1"/>
  <c r="D24"/>
  <c r="D20" s="1"/>
  <c r="H27" i="1"/>
  <c r="E271" i="6"/>
  <c r="H172" i="1"/>
  <c r="H126"/>
  <c r="D21" i="3"/>
  <c r="D18" s="1"/>
  <c r="I9" i="6"/>
  <c r="D95"/>
  <c r="D94" s="1"/>
  <c r="D13"/>
  <c r="F126" i="1"/>
  <c r="D530" i="2"/>
  <c r="D529" s="1"/>
  <c r="N20" i="1"/>
  <c r="B122"/>
  <c r="B168" s="1"/>
  <c r="E465" i="2"/>
  <c r="O38"/>
  <c r="O25"/>
  <c r="D36"/>
  <c r="N22" i="1"/>
  <c r="J114"/>
  <c r="J160" s="1"/>
  <c r="L32"/>
  <c r="B120"/>
  <c r="B166" s="1"/>
  <c r="B28"/>
  <c r="D29" i="2"/>
  <c r="D41"/>
  <c r="D364"/>
  <c r="O29"/>
  <c r="B18" i="1"/>
  <c r="B108" s="1"/>
  <c r="B41"/>
  <c r="B125"/>
  <c r="B171" s="1"/>
  <c r="B33"/>
  <c r="J121"/>
  <c r="J167" s="1"/>
  <c r="F27"/>
  <c r="J112"/>
  <c r="J158" s="1"/>
  <c r="N21"/>
  <c r="J119"/>
  <c r="J165" s="1"/>
  <c r="M89"/>
  <c r="B87"/>
  <c r="D47" i="4"/>
  <c r="N58" i="1"/>
  <c r="J111"/>
  <c r="N57"/>
  <c r="J109"/>
  <c r="J155" s="1"/>
  <c r="G75"/>
  <c r="B115"/>
  <c r="B24"/>
  <c r="D18" i="6"/>
  <c r="D283"/>
  <c r="I17" i="1"/>
  <c r="C17"/>
  <c r="F8" i="2"/>
  <c r="D17" i="1" l="1"/>
  <c r="D16" s="1"/>
  <c r="I172"/>
  <c r="K108"/>
  <c r="N50"/>
  <c r="L50"/>
  <c r="D108"/>
  <c r="D154" s="1"/>
  <c r="D162" s="1"/>
  <c r="G8" i="2"/>
  <c r="M9"/>
  <c r="M8" s="1"/>
  <c r="I76" i="1"/>
  <c r="K14"/>
  <c r="Q14" s="1"/>
  <c r="D92"/>
  <c r="K71"/>
  <c r="Q71" s="1"/>
  <c r="K53"/>
  <c r="Q54"/>
  <c r="J84"/>
  <c r="J78" s="1"/>
  <c r="H107"/>
  <c r="H153" s="1"/>
  <c r="G12"/>
  <c r="G93" s="1"/>
  <c r="G76"/>
  <c r="G74" s="1"/>
  <c r="G684" i="2"/>
  <c r="G685" s="1"/>
  <c r="D85" i="1"/>
  <c r="I684" i="2"/>
  <c r="I685" s="1"/>
  <c r="F85" i="1"/>
  <c r="D8" i="2"/>
  <c r="J14" i="1"/>
  <c r="F684" i="2"/>
  <c r="F685" s="1"/>
  <c r="D13" i="1"/>
  <c r="I24"/>
  <c r="I16" s="1"/>
  <c r="H76"/>
  <c r="H74" s="1"/>
  <c r="F154"/>
  <c r="F162" s="1"/>
  <c r="D238" i="6"/>
  <c r="C102" i="1"/>
  <c r="C98"/>
  <c r="D298" i="3"/>
  <c r="M25" i="1"/>
  <c r="I113"/>
  <c r="I159" s="1"/>
  <c r="J25"/>
  <c r="L34" s="1"/>
  <c r="O147" i="6"/>
  <c r="J157" i="1"/>
  <c r="C92"/>
  <c r="M303" i="6"/>
  <c r="F9"/>
  <c r="M88" i="1"/>
  <c r="M87" s="1"/>
  <c r="D10" i="6"/>
  <c r="J13" i="1" s="1"/>
  <c r="B85"/>
  <c r="C16"/>
  <c r="C37" s="1"/>
  <c r="M8" i="13"/>
  <c r="F271" i="6"/>
  <c r="C85" i="1" s="1"/>
  <c r="G107"/>
  <c r="G153" s="1"/>
  <c r="M289" i="6"/>
  <c r="J63" i="1"/>
  <c r="J62" s="1"/>
  <c r="I98"/>
  <c r="I102"/>
  <c r="I13"/>
  <c r="J124"/>
  <c r="J170" s="1"/>
  <c r="B86"/>
  <c r="J72"/>
  <c r="F16"/>
  <c r="F37" s="1"/>
  <c r="F107" s="1"/>
  <c r="D287" i="6"/>
  <c r="D172" i="1"/>
  <c r="M7" i="9"/>
  <c r="D43" i="2"/>
  <c r="H12" i="1"/>
  <c r="E684" i="2"/>
  <c r="E685" s="1"/>
  <c r="I86" i="1"/>
  <c r="M18"/>
  <c r="J18"/>
  <c r="B53"/>
  <c r="B52" s="1"/>
  <c r="M26"/>
  <c r="N26" s="1"/>
  <c r="D12" i="2"/>
  <c r="D22"/>
  <c r="D126" i="1"/>
  <c r="B78"/>
  <c r="D271" i="6"/>
  <c r="D272" s="1"/>
  <c r="D273" s="1"/>
  <c r="I38" i="1"/>
  <c r="I77" s="1"/>
  <c r="L277" i="9"/>
  <c r="B14" i="1"/>
  <c r="D526" i="2"/>
  <c r="O27"/>
  <c r="E118" i="1"/>
  <c r="E174" s="1"/>
  <c r="E115"/>
  <c r="E24"/>
  <c r="E16" s="1"/>
  <c r="E37" s="1"/>
  <c r="J110"/>
  <c r="J156" s="1"/>
  <c r="N19"/>
  <c r="G8" i="13"/>
  <c r="C125" i="1"/>
  <c r="C171" s="1"/>
  <c r="C33"/>
  <c r="C27" s="1"/>
  <c r="C38" s="1"/>
  <c r="C41"/>
  <c r="D35" i="2"/>
  <c r="H85" i="1"/>
  <c r="K272" i="6"/>
  <c r="K273" s="1"/>
  <c r="H161" i="1"/>
  <c r="H116"/>
  <c r="D12" i="6"/>
  <c r="G27" i="1"/>
  <c r="G38" s="1"/>
  <c r="G172"/>
  <c r="G126"/>
  <c r="E172"/>
  <c r="E126"/>
  <c r="E127" s="1"/>
  <c r="H272" i="6"/>
  <c r="H273" s="1"/>
  <c r="E79" i="1"/>
  <c r="J272" i="6"/>
  <c r="J273" s="1"/>
  <c r="G85" i="1"/>
  <c r="I126"/>
  <c r="J87"/>
  <c r="L684" i="2"/>
  <c r="L685" s="1"/>
  <c r="I85" i="1"/>
  <c r="I272" i="6"/>
  <c r="I273" s="1"/>
  <c r="C78" i="1"/>
  <c r="E78"/>
  <c r="H38"/>
  <c r="O31" i="2"/>
  <c r="D18"/>
  <c r="F76" i="1"/>
  <c r="F74" s="1"/>
  <c r="F12"/>
  <c r="E75"/>
  <c r="E74" s="1"/>
  <c r="E12"/>
  <c r="B27"/>
  <c r="B38" s="1"/>
  <c r="D118"/>
  <c r="J120"/>
  <c r="J166" s="1"/>
  <c r="E8" i="2"/>
  <c r="B17" i="1"/>
  <c r="B16" s="1"/>
  <c r="B37" s="1"/>
  <c r="B154"/>
  <c r="D363" i="2"/>
  <c r="O363" s="1"/>
  <c r="K113" i="1"/>
  <c r="F38"/>
  <c r="J33"/>
  <c r="J27" s="1"/>
  <c r="J38" s="1"/>
  <c r="J125"/>
  <c r="J171" s="1"/>
  <c r="B172"/>
  <c r="B126"/>
  <c r="N23"/>
  <c r="D293" i="6"/>
  <c r="J115" i="1"/>
  <c r="J161" s="1"/>
  <c r="B161"/>
  <c r="K17"/>
  <c r="Q17" s="1"/>
  <c r="D116"/>
  <c r="C154"/>
  <c r="C116"/>
  <c r="K13" l="1"/>
  <c r="K12" s="1"/>
  <c r="Q12" s="1"/>
  <c r="D75"/>
  <c r="L71"/>
  <c r="L13"/>
  <c r="J48"/>
  <c r="N48" s="1"/>
  <c r="L49"/>
  <c r="J102"/>
  <c r="L14"/>
  <c r="D11" i="2"/>
  <c r="K52" i="1"/>
  <c r="Q52" s="1"/>
  <c r="Q53"/>
  <c r="K115"/>
  <c r="Q26"/>
  <c r="H163"/>
  <c r="G117"/>
  <c r="F117"/>
  <c r="D79"/>
  <c r="D80" s="1"/>
  <c r="D83"/>
  <c r="D82" s="1"/>
  <c r="J17"/>
  <c r="B71"/>
  <c r="B92" s="1"/>
  <c r="J85"/>
  <c r="J79" s="1"/>
  <c r="J24"/>
  <c r="K83"/>
  <c r="L77"/>
  <c r="N49"/>
  <c r="N25"/>
  <c r="J113"/>
  <c r="J159" s="1"/>
  <c r="H93"/>
  <c r="C101"/>
  <c r="C100" s="1"/>
  <c r="C75"/>
  <c r="C74" s="1"/>
  <c r="C97"/>
  <c r="D683" i="2"/>
  <c r="C12" i="1"/>
  <c r="H117"/>
  <c r="M84"/>
  <c r="J76"/>
  <c r="J164"/>
  <c r="B77"/>
  <c r="B118"/>
  <c r="B164" s="1"/>
  <c r="E80"/>
  <c r="C162"/>
  <c r="C107"/>
  <c r="C163" s="1"/>
  <c r="C103"/>
  <c r="I75"/>
  <c r="I74" s="1"/>
  <c r="G163"/>
  <c r="I12"/>
  <c r="B79"/>
  <c r="J118"/>
  <c r="I101"/>
  <c r="I100" s="1"/>
  <c r="I97"/>
  <c r="M293" i="6"/>
  <c r="M13" i="1"/>
  <c r="H162"/>
  <c r="J86"/>
  <c r="I105"/>
  <c r="N18"/>
  <c r="I127"/>
  <c r="I118"/>
  <c r="M17"/>
  <c r="I37"/>
  <c r="M16"/>
  <c r="M14"/>
  <c r="N14" s="1"/>
  <c r="M24"/>
  <c r="E107"/>
  <c r="E163" s="1"/>
  <c r="E175"/>
  <c r="E164"/>
  <c r="K24"/>
  <c r="E83"/>
  <c r="E82" s="1"/>
  <c r="E161"/>
  <c r="E162" s="1"/>
  <c r="E116"/>
  <c r="E117" s="1"/>
  <c r="D12"/>
  <c r="D74"/>
  <c r="C105"/>
  <c r="C118"/>
  <c r="C77"/>
  <c r="F272" i="6"/>
  <c r="F273" s="1"/>
  <c r="C126" i="1"/>
  <c r="J126"/>
  <c r="H83"/>
  <c r="H82" s="1"/>
  <c r="H79"/>
  <c r="G118"/>
  <c r="G77"/>
  <c r="G127" s="1"/>
  <c r="G83"/>
  <c r="G79"/>
  <c r="I79"/>
  <c r="I80" s="1"/>
  <c r="I83"/>
  <c r="E272" i="6"/>
  <c r="E273" s="1"/>
  <c r="F83" i="1"/>
  <c r="F82" s="1"/>
  <c r="F79"/>
  <c r="H118"/>
  <c r="H77"/>
  <c r="B162"/>
  <c r="F93"/>
  <c r="K76"/>
  <c r="Q76" s="1"/>
  <c r="E93"/>
  <c r="B116"/>
  <c r="D174"/>
  <c r="D175" s="1"/>
  <c r="D164"/>
  <c r="D127"/>
  <c r="B76"/>
  <c r="F118"/>
  <c r="F77"/>
  <c r="J172"/>
  <c r="B75"/>
  <c r="B12"/>
  <c r="D304" i="6"/>
  <c r="K161" i="1"/>
  <c r="P161"/>
  <c r="D9" i="6"/>
  <c r="F163" i="1"/>
  <c r="F153"/>
  <c r="D37"/>
  <c r="K37" s="1"/>
  <c r="I164" l="1"/>
  <c r="I174"/>
  <c r="I175" s="1"/>
  <c r="B127"/>
  <c r="B80"/>
  <c r="B107"/>
  <c r="B153" s="1"/>
  <c r="M12"/>
  <c r="K75"/>
  <c r="Q75" s="1"/>
  <c r="Q13"/>
  <c r="K16"/>
  <c r="Q16" s="1"/>
  <c r="Q24"/>
  <c r="N17"/>
  <c r="J16"/>
  <c r="J37" s="1"/>
  <c r="N24"/>
  <c r="D684" i="2"/>
  <c r="D685" s="1"/>
  <c r="L85" i="1"/>
  <c r="L83" s="1"/>
  <c r="M82" s="1"/>
  <c r="C117"/>
  <c r="D90"/>
  <c r="C93"/>
  <c r="C104"/>
  <c r="L37"/>
  <c r="J83"/>
  <c r="L79" s="1"/>
  <c r="J174"/>
  <c r="J175" s="1"/>
  <c r="C127"/>
  <c r="G80"/>
  <c r="C172"/>
  <c r="C153"/>
  <c r="D117"/>
  <c r="I93"/>
  <c r="J105"/>
  <c r="J77"/>
  <c r="L78" s="1"/>
  <c r="M304" i="6"/>
  <c r="E153" i="1"/>
  <c r="B93"/>
  <c r="E90"/>
  <c r="D93"/>
  <c r="C79"/>
  <c r="C80" s="1"/>
  <c r="C83"/>
  <c r="C164"/>
  <c r="C174"/>
  <c r="G82"/>
  <c r="G90"/>
  <c r="G164"/>
  <c r="G174"/>
  <c r="G175" s="1"/>
  <c r="I82"/>
  <c r="I90"/>
  <c r="B83"/>
  <c r="B82" s="1"/>
  <c r="H174"/>
  <c r="H175" s="1"/>
  <c r="H164"/>
  <c r="H90"/>
  <c r="H127"/>
  <c r="H80"/>
  <c r="B74"/>
  <c r="B117" s="1"/>
  <c r="B174"/>
  <c r="B175" s="1"/>
  <c r="F90"/>
  <c r="F80"/>
  <c r="F127"/>
  <c r="F164"/>
  <c r="F174"/>
  <c r="F175" s="1"/>
  <c r="J101"/>
  <c r="J100" s="1"/>
  <c r="J75"/>
  <c r="J74" s="1"/>
  <c r="J12"/>
  <c r="N13"/>
  <c r="D107"/>
  <c r="B163" l="1"/>
  <c r="J93"/>
  <c r="L12"/>
  <c r="K74"/>
  <c r="Q74" s="1"/>
  <c r="N16"/>
  <c r="M37"/>
  <c r="J80"/>
  <c r="J90"/>
  <c r="J82"/>
  <c r="C175"/>
  <c r="J127"/>
  <c r="C82"/>
  <c r="C90"/>
  <c r="M85"/>
  <c r="M83" s="1"/>
  <c r="B90"/>
  <c r="N12"/>
  <c r="L39"/>
  <c r="M39" s="1"/>
  <c r="D163"/>
  <c r="D153"/>
  <c r="D51" i="4"/>
  <c r="D50" s="1"/>
  <c r="K82" i="1" l="1"/>
  <c r="O21" i="13"/>
  <c r="L102"/>
  <c r="L101" s="1"/>
  <c r="M102"/>
  <c r="M101" s="1"/>
  <c r="D102"/>
  <c r="D101" s="1"/>
  <c r="I108" i="1" l="1"/>
  <c r="I154" s="1"/>
  <c r="I162" s="1"/>
  <c r="J54"/>
  <c r="M54"/>
  <c r="M53"/>
  <c r="J108" l="1"/>
  <c r="N54"/>
  <c r="J53"/>
  <c r="I116"/>
  <c r="I117" s="1"/>
  <c r="K116"/>
  <c r="M52" l="1"/>
  <c r="I71"/>
  <c r="J52"/>
  <c r="J71" s="1"/>
  <c r="M71" s="1"/>
  <c r="N53"/>
  <c r="J116"/>
  <c r="J117" s="1"/>
  <c r="J154"/>
  <c r="L48" l="1"/>
  <c r="J162"/>
  <c r="I92"/>
  <c r="N52"/>
  <c r="I103"/>
  <c r="I104" s="1"/>
  <c r="K107"/>
  <c r="I107"/>
  <c r="I153" l="1"/>
  <c r="I163"/>
  <c r="J92"/>
  <c r="J107"/>
  <c r="J153" s="1"/>
  <c r="J103"/>
  <c r="J104" s="1"/>
  <c r="J163" l="1"/>
  <c r="D44" i="6"/>
  <c r="M44"/>
</calcChain>
</file>

<file path=xl/comments1.xml><?xml version="1.0" encoding="utf-8"?>
<comments xmlns="http://schemas.openxmlformats.org/spreadsheetml/2006/main">
  <authors>
    <author>Magdalena Zielińska</author>
  </authors>
  <commentList>
    <comment ref="E66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  <comment ref="L661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<sst xmlns="http://schemas.openxmlformats.org/spreadsheetml/2006/main" count="3702" uniqueCount="566">
  <si>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</si>
  <si>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</si>
  <si>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</si>
  <si>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</si>
  <si>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</si>
  <si>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</si>
  <si>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</si>
  <si>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</si>
  <si>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</si>
  <si>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</si>
  <si>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</si>
  <si>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</si>
  <si>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</si>
  <si>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</si>
  <si>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</si>
  <si>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</si>
  <si>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</si>
  <si>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</si>
  <si>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</si>
  <si>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</si>
  <si>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</si>
  <si>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</si>
  <si>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</si>
  <si>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</si>
  <si>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</si>
  <si>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</si>
  <si>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</si>
  <si>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</si>
  <si>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</si>
  <si>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</si>
  <si>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</si>
  <si>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</si>
  <si>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</si>
  <si>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</si>
  <si>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</si>
  <si>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</si>
  <si>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</si>
  <si>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</si>
  <si>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</si>
  <si>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</si>
  <si>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</si>
  <si>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</si>
  <si>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</si>
  <si>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</si>
  <si>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</si>
  <si>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</si>
  <si>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</si>
  <si>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</si>
  <si>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</si>
  <si>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środki z funduszy celowych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</si>
  <si>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</si>
  <si>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</si>
  <si>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</si>
  <si>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</si>
  <si>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</si>
  <si>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</si>
  <si>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</si>
  <si>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</si>
  <si>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</si>
  <si>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</si>
  <si>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</si>
  <si>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</si>
  <si>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</si>
  <si>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</si>
  <si>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</si>
  <si>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</si>
  <si>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</si>
  <si>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</si>
  <si>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</si>
  <si>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</si>
  <si>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</si>
  <si>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</si>
  <si>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</si>
  <si>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</si>
  <si>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</si>
  <si>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</si>
  <si>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</si>
  <si>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</si>
  <si>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</si>
  <si>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</si>
  <si>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</si>
  <si>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</si>
  <si>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</si>
  <si>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</si>
  <si>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</si>
  <si>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</si>
  <si>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</si>
  <si>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</si>
  <si>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</si>
  <si>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</si>
  <si>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</si>
  <si>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</si>
  <si>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</si>
  <si>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</si>
  <si>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</si>
  <si>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</si>
  <si>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</si>
  <si>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</si>
  <si>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</si>
  <si>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</si>
  <si>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</si>
  <si>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</si>
  <si>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</si>
  <si>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</si>
  <si>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</si>
  <si>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</si>
  <si>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</si>
  <si>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</si>
  <si>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</si>
  <si>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</si>
  <si>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</si>
  <si>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</si>
  <si>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</si>
  <si>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</si>
  <si>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</si>
  <si>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</si>
  <si>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</si>
  <si>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</si>
  <si>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</si>
  <si>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</si>
  <si>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</si>
  <si>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</si>
  <si>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</si>
  <si>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</si>
  <si>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</si>
  <si>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</si>
  <si>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</si>
  <si>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</si>
  <si>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</si>
  <si>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</si>
  <si>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</si>
  <si>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</si>
  <si>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</si>
  <si>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</si>
  <si>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</si>
  <si>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</si>
  <si>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</si>
  <si>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</si>
  <si>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</si>
  <si>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</si>
  <si>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</si>
  <si>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</si>
  <si>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</si>
  <si>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</si>
  <si>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</si>
  <si>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</si>
  <si>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</si>
  <si>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</si>
  <si>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</si>
  <si>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</si>
  <si>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</si>
  <si>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</si>
  <si>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</si>
  <si>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</si>
  <si>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</si>
  <si>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</si>
  <si>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</si>
  <si>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</si>
  <si>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</si>
  <si>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</si>
  <si>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</si>
  <si>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</si>
  <si>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</si>
  <si>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</si>
  <si>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</si>
  <si>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</si>
  <si>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</si>
  <si>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</si>
  <si>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</si>
  <si>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</si>
  <si>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</si>
  <si>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</si>
  <si>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</si>
  <si>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</si>
  <si>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</si>
  <si>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</si>
  <si>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</si>
  <si>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</si>
  <si>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</si>
  <si>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</si>
  <si>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</si>
  <si>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22.</t>
  </si>
  <si>
    <t>23.</t>
  </si>
  <si>
    <t>WTiG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</si>
  <si>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</si>
  <si>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</si>
  <si>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</si>
  <si>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</si>
  <si>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</si>
  <si>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</si>
  <si>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</si>
  <si>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</si>
  <si>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</si>
  <si>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</si>
  <si>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</si>
  <si>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</si>
  <si>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</si>
  <si>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</si>
  <si>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</si>
  <si>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</si>
  <si>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</si>
  <si>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</si>
  <si>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</si>
  <si>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</si>
  <si>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</si>
  <si>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</si>
  <si>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</si>
  <si>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</si>
  <si>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</si>
  <si>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</si>
  <si>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</si>
  <si>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</si>
  <si>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</si>
  <si>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</si>
  <si>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</si>
  <si>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</si>
  <si>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</si>
  <si>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</si>
  <si>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</si>
  <si>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</si>
  <si>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</si>
  <si>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</si>
  <si>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</si>
  <si>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</si>
  <si>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</si>
  <si>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</si>
  <si>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</si>
  <si>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</si>
  <si>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</si>
  <si>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</si>
  <si>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</si>
  <si>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</si>
  <si>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</si>
  <si>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</si>
  <si>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</si>
  <si>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</si>
  <si>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</si>
  <si>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</si>
  <si>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</si>
  <si>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</si>
  <si>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</si>
  <si>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</si>
  <si>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Lp.</t>
  </si>
  <si>
    <t>19.</t>
  </si>
  <si>
    <t>21.</t>
  </si>
  <si>
    <t>WOiRZL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</si>
  <si>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</si>
  <si>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</si>
  <si>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</si>
  <si>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</si>
  <si>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</si>
  <si>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</si>
  <si>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</si>
  <si>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</si>
  <si>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</si>
  <si>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</si>
  <si>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</si>
  <si>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</si>
  <si>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</si>
  <si>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</si>
  <si>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</si>
  <si>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</si>
  <si>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</si>
  <si>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</si>
  <si>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WWT/
WOiRZL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</si>
  <si>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</si>
  <si>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</si>
  <si>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</si>
  <si>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</si>
  <si>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</si>
  <si>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</si>
  <si>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</si>
  <si>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</si>
  <si>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</si>
  <si>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Bieżące utrzymanie dróg i mostów (2017-2020)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</si>
  <si>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</si>
  <si>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</si>
  <si>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</si>
  <si>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</si>
  <si>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</si>
  <si>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</si>
  <si>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</si>
  <si>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</si>
  <si>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</si>
  <si>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</si>
  <si>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</si>
  <si>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</si>
  <si>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</si>
  <si>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</si>
  <si>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</si>
  <si>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</si>
  <si>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</si>
  <si>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</si>
  <si>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</si>
  <si>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</si>
  <si>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BW</t>
  </si>
  <si>
    <t>rozdz. 01078</t>
  </si>
  <si>
    <t>Utrzymanie szlaków rowerowych na wybranych odcinkach wałów przeciwpowodziowych w Województwie Zachodniopomorskim</t>
  </si>
  <si>
    <t>Utrzymanie szlaków rowerowych na wybranych odcinkach wałów przeciwpowodziowych w Województwie Zachodniopomorskim (2019 - 2023)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</si>
  <si>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</si>
  <si>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</si>
  <si>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</si>
  <si>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</si>
  <si>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</si>
  <si>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</si>
  <si>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</si>
  <si>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</si>
  <si>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</si>
  <si>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</si>
  <si>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</si>
  <si>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</si>
  <si>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</si>
  <si>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rozdz. 75018
75095
90011*</t>
  </si>
  <si>
    <t xml:space="preserve"> * dotyczy wykonania wydatków WFOŚiGW</t>
  </si>
  <si>
    <t>WZS, WWRPO, WOiRZL, GM, WWŚRPO</t>
  </si>
  <si>
    <t>Samodzielny Publiczny Wojewódzki
Szpital
 Zespolony w Szczecinie pod nadzorem WZ</t>
  </si>
  <si>
    <t>Wykonanie wg sprawozdania</t>
  </si>
  <si>
    <t xml:space="preserve">Różnica
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</si>
  <si>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</si>
  <si>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</si>
  <si>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</si>
  <si>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</si>
  <si>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</si>
  <si>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</si>
  <si>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</si>
  <si>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</si>
  <si>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</si>
  <si>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</si>
  <si>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</si>
  <si>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</si>
  <si>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</si>
  <si>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</si>
  <si>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</si>
  <si>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</si>
  <si>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</si>
  <si>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</si>
  <si>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</si>
  <si>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</si>
  <si>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</si>
  <si>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t xml:space="preserve">► różnica </t>
  </si>
  <si>
    <t>Decyzja jest - do uzupełnienia - po 5 czerwca</t>
  </si>
  <si>
    <t>rozdz.
60095</t>
  </si>
  <si>
    <t>rozdz. 60095
75018</t>
  </si>
  <si>
    <t>Regionalny Punkt Kontaktowy - Pomoc Techniczna w ramach Programu Współpracy INTERREG VA - wydatki bieżące (2016-2020)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</si>
  <si>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</si>
  <si>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</si>
  <si>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</si>
  <si>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</si>
  <si>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</si>
  <si>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</si>
  <si>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</si>
  <si>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</si>
  <si>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</si>
  <si>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</si>
  <si>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</si>
  <si>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</si>
  <si>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</si>
  <si>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</si>
  <si>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</si>
  <si>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</si>
  <si>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</si>
  <si>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8a</t>
  </si>
  <si>
    <t>8b</t>
  </si>
  <si>
    <t>Wymiana i rozbudowa parku maszyn i urządzeń ZZDW w Koszalinie (2016-2018)</t>
  </si>
  <si>
    <t>decyzja z 25.09.17</t>
  </si>
  <si>
    <t>GM/COIiE/WWT, WTiG/WOiRZL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</si>
  <si>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</si>
  <si>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</si>
  <si>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</si>
  <si>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Specjalistyczny Szpital im. A. Sokołowskiego 
w Szczecinie - Zdunowo - następca prawny SPWSZ 
w Szczecinie   
pod nadzorem WZ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</si>
  <si>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</si>
  <si>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</si>
  <si>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</si>
  <si>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</si>
  <si>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</si>
  <si>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</si>
  <si>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</si>
  <si>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</si>
  <si>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</si>
  <si>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</si>
  <si>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</si>
  <si>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</si>
  <si>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</si>
  <si>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</si>
  <si>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</si>
  <si>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>dotacje celowe / płatności z UE ***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</si>
  <si>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</si>
  <si>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</si>
  <si>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</si>
  <si>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</si>
  <si>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Limit` 18</t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</si>
  <si>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</si>
  <si>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</si>
  <si>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</si>
  <si>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</si>
  <si>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</si>
  <si>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</si>
  <si>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</si>
  <si>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</si>
  <si>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</si>
  <si>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</si>
  <si>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ROPS
WZS</t>
  </si>
  <si>
    <t xml:space="preserve">rozdz. 
75018
85595
</t>
  </si>
  <si>
    <t>rozdz. 
85395</t>
  </si>
  <si>
    <t>Rozbudowa Teatru Polskiego w Szczecinie w ramach RPO WZ (2018-2021)</t>
  </si>
  <si>
    <t xml:space="preserve">ROPS
</t>
  </si>
  <si>
    <t xml:space="preserve">rozdz. 
85595
</t>
  </si>
  <si>
    <t xml:space="preserve">Kompleksowe zagospodarowanie tarasów Zamku Książąt Pomorskich w Szczecinie (2015-2020) </t>
  </si>
  <si>
    <t>Oś Priorytetowa VI, Pomoc Techniczna w ramach  PO WER 2014 - 2020 (2015-2023)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</si>
  <si>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</si>
  <si>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</si>
  <si>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</si>
  <si>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</si>
  <si>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rozdz. 92118/</t>
    </r>
    <r>
      <rPr>
        <sz val="8"/>
        <rFont val="Arial CE"/>
        <charset val="238"/>
      </rPr>
      <t xml:space="preserve"> od 2018 roku </t>
    </r>
    <r>
      <rPr>
        <b/>
        <sz val="8"/>
        <rFont val="Arial CE"/>
        <charset val="238"/>
      </rPr>
      <t>- 92114</t>
    </r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</si>
  <si>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</si>
  <si>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</si>
  <si>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</si>
  <si>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Gospodarowanie nieruchomościami należącymi do zasobu Województwa Zachodniopomorskiego (2010-2018)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</si>
  <si>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</si>
  <si>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</si>
  <si>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</si>
  <si>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</si>
  <si>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</si>
  <si>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</si>
  <si>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</si>
  <si>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</si>
  <si>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</si>
  <si>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</si>
  <si>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t>WIiT / WZS</t>
  </si>
  <si>
    <t>WUP
 w Szczecinie
pod nadzorem COIiE</t>
  </si>
  <si>
    <t>COIiE</t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</si>
  <si>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</si>
  <si>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</si>
  <si>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</si>
  <si>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</si>
  <si>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</si>
  <si>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</si>
  <si>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wkład własny (poza budżetem)</t>
  </si>
  <si>
    <t>Remont instalacji elektrycznej skrzydła Menniczego budynku Zamku Książąt Pomorskich w Szczecinie (2018-2019)</t>
  </si>
  <si>
    <t>Zakup instrumentów muzycznych na potrzeby działalności kulturalnej Opery na Zamku w Szczecinie (2018-2019)</t>
  </si>
  <si>
    <t>Opera na Zamku w Szczecinie - nadzór WKNiDN</t>
  </si>
  <si>
    <t xml:space="preserve">
WWT</t>
  </si>
  <si>
    <t>Wyposażenie w nowoczesny sprzęt Zachodniopomorskiej Książnicy Cyfrowej w Szczecinie w ramach Osi VIII PO IiŚ (2016-2018)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</si>
  <si>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</si>
  <si>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</si>
  <si>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drogowego przez m. Tanowo na drodze woj. Nr 115 w ramach PW INTERREG V A (2010-2019)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</si>
  <si>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</si>
  <si>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</si>
  <si>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</si>
  <si>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</si>
  <si>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</si>
  <si>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t>PW INTERREG VA 2014 - 2020</t>
  </si>
  <si>
    <t>RPO WZ  2014-2020</t>
  </si>
  <si>
    <t>RPO WZ 2007-2013</t>
  </si>
  <si>
    <t>Przystosowanie mostu europejskiego Siekierki-Neurudnitz do ruchu turystycznego w ramach PW INTERREG VA - wydatki majątkowe (2016-2020)</t>
  </si>
  <si>
    <t>Przystosowanie mostu europejskiego Siekierki-Neurudnitz do ruchu turystycznego w ramach PW INTERREG VA (2016-2020)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</si>
  <si>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</si>
  <si>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</si>
  <si>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</si>
  <si>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</si>
  <si>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</si>
  <si>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</si>
  <si>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</si>
  <si>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</si>
  <si>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</si>
  <si>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</si>
  <si>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Wspólne dziedzictwo wspólna przyszłość w ramach PW INTERREG VA (2014-2020)</t>
  </si>
  <si>
    <t>Wspólne dziedzictwo wspólna przyszłość w ramach PW INTERREG VA - wydatki majątkowe (2014-2020)</t>
  </si>
  <si>
    <t>podać nr umowy do arkusza dane do wpf</t>
  </si>
  <si>
    <t>umowa do uzupełnienia w arkuszu dane do wpf</t>
  </si>
  <si>
    <t>II. POZOSTAŁE  PRZEDSIĘWZIĘCIA  W ZAKRESIE OŚWIATY I EDUKACYJNEJ OPIEKI WYCHOWAWCZEJ</t>
  </si>
  <si>
    <t>rozdz. 80395</t>
  </si>
  <si>
    <t xml:space="preserve">Stypendia dla młodzieży rozpoczynającej naukę na uczelniach wyższych na obszarze województwa zachodniopomorskiego (2018-2023) </t>
  </si>
  <si>
    <t>Rozbudowa drogi wojewódzkiej nr 111 na odcinku Recław - Stepnica w ramach Osi V RPO WZ (2018-2021)</t>
  </si>
  <si>
    <t>ZZMiUW</t>
  </si>
  <si>
    <t>Modernizacja i remont dziedzińców Zamku Książąt Pomorskich w Szczecinie (2017-2020)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</si>
  <si>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</si>
  <si>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</si>
  <si>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</si>
  <si>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</si>
  <si>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</si>
  <si>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</si>
  <si>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</si>
  <si>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</si>
  <si>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</si>
  <si>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</si>
  <si>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</si>
  <si>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</si>
  <si>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r>
      <t xml:space="preserve">Zachodniopomorskie e-zdrowie (2018-2021) w ramach Osi IX RPO WZ - </t>
    </r>
    <r>
      <rPr>
        <sz val="9"/>
        <rFont val="Arial CE"/>
        <charset val="238"/>
      </rPr>
      <t>wydatki majątkowe</t>
    </r>
  </si>
  <si>
    <r>
      <t xml:space="preserve">Zachodniopomorskie e-zdrowie (2018-2021) w ramach Osi IX RPO WZ - </t>
    </r>
    <r>
      <rPr>
        <sz val="9"/>
        <rFont val="Arial CE"/>
        <charset val="238"/>
      </rPr>
      <t>wydatki bieżące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</si>
  <si>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</si>
  <si>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</si>
  <si>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t>Budowa Regionalnej Infrastruktury Informacji Przestrzennej Województwa Zachodniopomorskiego w ramach działania 9.10 RPO WZ - wydatki bieżące (2019 - 2021)</t>
  </si>
  <si>
    <t>rodz. 75863</t>
  </si>
  <si>
    <t xml:space="preserve">rozdz. </t>
  </si>
  <si>
    <t>BP</t>
  </si>
  <si>
    <t>BG</t>
  </si>
  <si>
    <t>BG
WZS</t>
  </si>
  <si>
    <t>rodz. 
75863</t>
  </si>
  <si>
    <t>Budowa Regionalnej Infrastruktury Informacji Przestrzennej Województwa Zachodniopomorskiego w ramach działania 9.10 RPO WZ (2019 - 2021)</t>
  </si>
  <si>
    <t>Zaprojektowanie i wykonanie szlaku rowerowego na wale przeciwpowodziowym nad rzeką Iną, wale Skoszewo i Skoszewo - Czarnocin w ramach Osi IV RPO WZ (2017-2019)</t>
  </si>
  <si>
    <t>Zaprojektowanie i wykonanie szlaku rowerowego na wale przeciwpowodziowym wzdłuż rzeki Chełszcząca i jeziora Dąbie w ramach Osi IV RPO WZ (2017-2019)</t>
  </si>
  <si>
    <t>Teatr Polski 
w Szczecinie - nadzór WKNiDN</t>
  </si>
  <si>
    <t>Strategia Rozwoju Województwa Zachodniopomorskiego do roku 2030 - badania, analizy i oceny eksperckie (2017-2019)</t>
  </si>
  <si>
    <t>*** W kolumnie 4 uwzględniono dochody w kwocie 50.000 zł, których wpływ zaplanowano na 2024 r.</t>
  </si>
  <si>
    <t>** W kolumnie 4 uwzględniono dochody w kwocie 13.416.714 zł, których wpływ zaplanowano na 2024 r.</t>
  </si>
  <si>
    <t>Utrzymanie i naprawy pojazdów szynowych Województwa (2015 -2022)</t>
  </si>
  <si>
    <t>Ubezpieczenie taboru kolejowego Województwa (2011-2022)</t>
  </si>
  <si>
    <t xml:space="preserve">Usługi telekomunikacyjne dla pojazdów szynowych Województwa (2015-2022) </t>
  </si>
  <si>
    <t>Bieżąca obsługa projektów dla tras rowerowych na wałach przeciwpowodziowych w ramach RPO WZ (2018-2019)</t>
  </si>
  <si>
    <t>WSiI</t>
  </si>
  <si>
    <t>WA</t>
  </si>
  <si>
    <t>- zwrot podatku VAT</t>
  </si>
  <si>
    <t>- odszkodowanie z tyt. katastrofy budowlanej</t>
  </si>
  <si>
    <t>środki budżetu województwa, w tym:</t>
  </si>
  <si>
    <t>Likwidacja skutków katastrofy budowlanej w skrzydle północnym Zamku Książąt Pomorskich w Szczecinie (2017-2019)</t>
  </si>
  <si>
    <t>Budowa sieci tras rowerowych Pomorza Zachodniego - Trasa Nadmorska odc. Pleśna - Mielno w ramach Osi IV RPO WZ (2018-2019)</t>
  </si>
  <si>
    <t>Wieloletnie umowy zapewniające ciągłość działania Urzędu (2012 - 2023)</t>
  </si>
  <si>
    <t>Polsko - niemiecka sieć teatralna (theater-po.net) w ramach programu INTERREG VA (2017-2021)</t>
  </si>
  <si>
    <t>Polsko - niemiecka sieć teatralna (theater-po.net) w ramach programu INTERREG VA - wydatki majątkowe (2017-2021)</t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</si>
  <si>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</si>
  <si>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Wolontariat europejski EVS, wymiana międzynarodowa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(2016-2019)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</si>
  <si>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</si>
  <si>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</si>
  <si>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</si>
  <si>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(2007-2019)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</si>
  <si>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</si>
  <si>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</si>
  <si>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(2010-2019)</t>
    </r>
  </si>
  <si>
    <r>
      <t xml:space="preserve">Przebudowa ul. Jagiełły w ciągu drogi wojewódzkiej nr 160 i ul. Drawieńskiej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</si>
  <si>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</si>
  <si>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</si>
  <si>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(2017-2020)</t>
    </r>
  </si>
  <si>
    <r>
      <t xml:space="preserve">Zakup kolejowego taboru pasażerskiego o napędzie elektrycznym  - prawo opcji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</si>
  <si>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(2018-2020)</t>
    </r>
  </si>
  <si>
    <t>rozdział 75863,
75864</t>
  </si>
  <si>
    <t>Budowa obejścia Gryfic - połączenie dróg woj. nr 110 (ul. Niechorska) i nr 105 (ul. Piastów) w ramach Osi V RPO WZ (2019-2021)</t>
  </si>
  <si>
    <t>Budowa obejścia m. Trzebiatów - połączenie drogi woj. nr 103 i nr 102 w ramach Osi V RPO WZ (2019-2020)</t>
  </si>
  <si>
    <t>Limity 2019</t>
  </si>
  <si>
    <r>
      <t>Limit zobowiązań na lata 2019-20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</si>
  <si>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2019-2023  i lata następne</t>
  </si>
  <si>
    <t>do 2017 r.</t>
  </si>
  <si>
    <t>Przewidywane wykonanie</t>
  </si>
  <si>
    <t>Prognozowane nakłady inwestycyjne /dochody 
w latach 2019 - 2023</t>
  </si>
  <si>
    <t>Prognozowane nakłady inwestycyjne / dochody z tytułu realizacji projektów  w latach 2019-2023</t>
  </si>
  <si>
    <t>DOCHODY ŁĄCZNIE - 
stan na 17 GRUDNIA 2018 r.</t>
  </si>
  <si>
    <t>WYDATKI ŁĄCZNIE - 
stan na 17 GRUDNIA  2018 r.</t>
  </si>
  <si>
    <t>WYDATKI ŁĄCZNIE - 
stan na 24 STYCZNIA 2018 r.</t>
  </si>
  <si>
    <t>DOCHODY ŁĄCZNIE - 
stan na 24 STYCZNIA 2018 r.</t>
  </si>
  <si>
    <t>Limit` 19</t>
  </si>
  <si>
    <t>II. POZOSTAŁE  PRZEDSIĘWZIĘCIA  W ZAKRESIE POLITYKI SPOŁECZNEJ I ROZWOJU PRZEDSIĘBIORCZOŚCI</t>
  </si>
  <si>
    <t>WWS</t>
  </si>
  <si>
    <t xml:space="preserve">Zadania w zakresie rozwoju aktywności społecznej i wspierania  inicjatyw obywatelskich (2019-2021) </t>
  </si>
  <si>
    <t>Rozbudowa przejścia przez m. Barnówko w ciągu drogi woj. nr 130 (2018-2019)</t>
  </si>
  <si>
    <t>Budowa sieci tras rowerowych Pomorza Zachodniego - Trasa Nadmorska w ramach Osi IV RPO WZ (2016-2018)</t>
  </si>
  <si>
    <t>Budowa sieci tras rowerowych Pomorza Zachodniego - Trasa Zielonego Pogranicza odc. Gryfino - Trzcińsko Zdrój w ramach Osi IV RPO WZ (2017-2018)</t>
  </si>
  <si>
    <t>Zachodniopomorskie Małe Skarby w ramach działania 6.6 RPO WZ 2014-2020 (2018-2020)</t>
  </si>
  <si>
    <t>ZZMiUW w Szczecinie
w likwidacji   
pod nadzorem WRiR/ - do września 2018 r.
WTiG - od września 2018 r.</t>
  </si>
  <si>
    <t>Zespół Parków Krajobrazowych WZ pod nadzorem WTiG</t>
  </si>
  <si>
    <r>
      <t>Budowa sieci tras rowerowych Pomorza Zachodniego - Trasa Pojezierna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(2016-2018)</t>
    </r>
  </si>
  <si>
    <t>Dofinansowanie Państwowej Wyższej Szkoły Zawodowej w Koszalinie do zadania w ramach IX Osi Priorytetowej Działanie 9.8 RPO WZ (2019-2020)</t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</si>
  <si>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(2016-2019)</t>
    </r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</si>
  <si>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b/>
        <sz val="9"/>
        <rFont val="Arial CE"/>
        <family val="2"/>
        <charset val="238"/>
      </rPr>
      <t xml:space="preserve"> (2016-2019)</t>
    </r>
    <r>
      <rPr>
        <b/>
        <sz val="9"/>
        <rFont val="Arial CE"/>
        <charset val="238"/>
      </rPr>
      <t>*</t>
    </r>
  </si>
  <si>
    <t>Limit zobowiązań na lata 2019-2023 i lata następne</t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</si>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</sst>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#,##0_ ;\-#,##0\ "/>
    <numFmt numFmtId="167" formatCode="0.0%"/>
  </numFmts>
  <fonts count="8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Black"/>
      <family val="2"/>
      <charset val="238"/>
    </font>
    <font>
      <sz val="7.5"/>
      <name val="Arial"/>
      <family val="2"/>
      <charset val="238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b/>
      <u/>
      <sz val="9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37" borderId="0">
      <alignment horizontal="left" vertical="top"/>
    </xf>
    <xf numFmtId="0" fontId="45" fillId="37" borderId="0">
      <alignment horizontal="center" vertical="top"/>
    </xf>
    <xf numFmtId="0" fontId="44" fillId="37" borderId="0">
      <alignment horizontal="lef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5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6" fillId="37" borderId="0">
      <alignment horizontal="center" vertical="top"/>
    </xf>
    <xf numFmtId="0" fontId="45" fillId="39" borderId="0">
      <alignment horizontal="right" vertical="top"/>
    </xf>
    <xf numFmtId="0" fontId="44" fillId="40" borderId="0">
      <alignment horizontal="lef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7" fillId="41" borderId="0">
      <alignment horizontal="left" vertical="top"/>
    </xf>
    <xf numFmtId="0" fontId="48" fillId="37" borderId="0">
      <alignment horizontal="left" vertical="top"/>
    </xf>
    <xf numFmtId="0" fontId="49" fillId="37" borderId="0">
      <alignment horizontal="left" vertical="top"/>
    </xf>
    <xf numFmtId="0" fontId="45" fillId="37" borderId="0">
      <alignment horizontal="right" vertical="top"/>
    </xf>
    <xf numFmtId="0" fontId="45" fillId="37" borderId="0">
      <alignment horizontal="righ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0" fontId="49" fillId="41" borderId="0">
      <alignment horizontal="left" vertical="top"/>
    </xf>
    <xf numFmtId="0" fontId="45" fillId="41" borderId="0">
      <alignment horizontal="right" vertical="top"/>
    </xf>
    <xf numFmtId="0" fontId="45" fillId="41" borderId="0">
      <alignment horizontal="right" vertical="top"/>
    </xf>
    <xf numFmtId="0" fontId="44" fillId="37" borderId="0">
      <alignment horizontal="left" vertical="center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2" borderId="0">
      <alignment horizontal="left" vertical="top"/>
    </xf>
    <xf numFmtId="0" fontId="49" fillId="37" borderId="0">
      <alignment horizontal="left"/>
    </xf>
    <xf numFmtId="0" fontId="49" fillId="37" borderId="0">
      <alignment horizontal="left"/>
    </xf>
    <xf numFmtId="0" fontId="49" fillId="37" borderId="0">
      <alignment horizontal="right"/>
    </xf>
    <xf numFmtId="0" fontId="50" fillId="37" borderId="0">
      <alignment horizontal="right"/>
    </xf>
    <xf numFmtId="4" fontId="51" fillId="13" borderId="85" applyNumberFormat="0" applyProtection="0">
      <alignment vertical="center"/>
    </xf>
    <xf numFmtId="4" fontId="52" fillId="13" borderId="85" applyNumberFormat="0" applyProtection="0">
      <alignment vertical="center"/>
    </xf>
    <xf numFmtId="4" fontId="51" fillId="13" borderId="85" applyNumberFormat="0" applyProtection="0">
      <alignment horizontal="left" vertical="center" indent="1"/>
    </xf>
    <xf numFmtId="4" fontId="51" fillId="1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35" borderId="85" applyNumberFormat="0" applyProtection="0">
      <alignment horizontal="right" vertical="center"/>
    </xf>
    <xf numFmtId="4" fontId="51" fillId="43" borderId="85" applyNumberFormat="0" applyProtection="0">
      <alignment horizontal="right" vertical="center"/>
    </xf>
    <xf numFmtId="4" fontId="51" fillId="44" borderId="85" applyNumberFormat="0" applyProtection="0">
      <alignment horizontal="right" vertical="center"/>
    </xf>
    <xf numFmtId="4" fontId="51" fillId="12" borderId="85" applyNumberFormat="0" applyProtection="0">
      <alignment horizontal="right" vertical="center"/>
    </xf>
    <xf numFmtId="4" fontId="51" fillId="45" borderId="85" applyNumberFormat="0" applyProtection="0">
      <alignment horizontal="right" vertical="center"/>
    </xf>
    <xf numFmtId="4" fontId="51" fillId="15" borderId="85" applyNumberFormat="0" applyProtection="0">
      <alignment horizontal="right" vertical="center"/>
    </xf>
    <xf numFmtId="4" fontId="51" fillId="17" borderId="85" applyNumberFormat="0" applyProtection="0">
      <alignment horizontal="right" vertical="center"/>
    </xf>
    <xf numFmtId="4" fontId="51" fillId="16" borderId="85" applyNumberFormat="0" applyProtection="0">
      <alignment horizontal="right" vertical="center"/>
    </xf>
    <xf numFmtId="4" fontId="51" fillId="19" borderId="85" applyNumberFormat="0" applyProtection="0">
      <alignment horizontal="right" vertical="center"/>
    </xf>
    <xf numFmtId="4" fontId="53" fillId="46" borderId="85" applyNumberFormat="0" applyProtection="0">
      <alignment horizontal="left" vertical="center" indent="1"/>
    </xf>
    <xf numFmtId="4" fontId="51" fillId="47" borderId="86" applyNumberFormat="0" applyProtection="0">
      <alignment horizontal="left" vertical="center" indent="1"/>
    </xf>
    <xf numFmtId="4" fontId="54" fillId="48" borderId="0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" fillId="47" borderId="85" applyNumberFormat="0" applyProtection="0">
      <alignment horizontal="left" vertical="center" indent="1"/>
    </xf>
    <xf numFmtId="4" fontId="5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20" borderId="85" applyNumberFormat="0" applyProtection="0">
      <alignment vertical="center"/>
    </xf>
    <xf numFmtId="4" fontId="52" fillId="20" borderId="85" applyNumberFormat="0" applyProtection="0">
      <alignment vertical="center"/>
    </xf>
    <xf numFmtId="4" fontId="51" fillId="20" borderId="85" applyNumberFormat="0" applyProtection="0">
      <alignment horizontal="left" vertical="center" indent="1"/>
    </xf>
    <xf numFmtId="4" fontId="51" fillId="20" borderId="85" applyNumberFormat="0" applyProtection="0">
      <alignment horizontal="left" vertical="center" indent="1"/>
    </xf>
    <xf numFmtId="4" fontId="51" fillId="47" borderId="85" applyNumberFormat="0" applyProtection="0">
      <alignment horizontal="right" vertical="center"/>
    </xf>
    <xf numFmtId="4" fontId="52" fillId="47" borderId="85" applyNumberFormat="0" applyProtection="0">
      <alignment horizontal="right" vertical="center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55" fillId="0" borderId="0"/>
    <xf numFmtId="4" fontId="56" fillId="47" borderId="85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4" applyNumberFormat="0" applyProtection="0">
      <alignment vertical="center"/>
    </xf>
    <xf numFmtId="4" fontId="52" fillId="13" borderId="94" applyNumberFormat="0" applyProtection="0">
      <alignment vertical="center"/>
    </xf>
    <xf numFmtId="4" fontId="51" fillId="13" borderId="94" applyNumberFormat="0" applyProtection="0">
      <alignment horizontal="left" vertical="center" indent="1"/>
    </xf>
    <xf numFmtId="4" fontId="51" fillId="1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35" borderId="94" applyNumberFormat="0" applyProtection="0">
      <alignment horizontal="right" vertical="center"/>
    </xf>
    <xf numFmtId="4" fontId="51" fillId="43" borderId="94" applyNumberFormat="0" applyProtection="0">
      <alignment horizontal="right" vertical="center"/>
    </xf>
    <xf numFmtId="4" fontId="51" fillId="44" borderId="94" applyNumberFormat="0" applyProtection="0">
      <alignment horizontal="right" vertical="center"/>
    </xf>
    <xf numFmtId="4" fontId="51" fillId="12" borderId="94" applyNumberFormat="0" applyProtection="0">
      <alignment horizontal="right" vertical="center"/>
    </xf>
    <xf numFmtId="4" fontId="51" fillId="45" borderId="94" applyNumberFormat="0" applyProtection="0">
      <alignment horizontal="right" vertical="center"/>
    </xf>
    <xf numFmtId="4" fontId="51" fillId="15" borderId="94" applyNumberFormat="0" applyProtection="0">
      <alignment horizontal="right" vertical="center"/>
    </xf>
    <xf numFmtId="4" fontId="51" fillId="17" borderId="94" applyNumberFormat="0" applyProtection="0">
      <alignment horizontal="right" vertical="center"/>
    </xf>
    <xf numFmtId="4" fontId="51" fillId="16" borderId="94" applyNumberFormat="0" applyProtection="0">
      <alignment horizontal="right" vertical="center"/>
    </xf>
    <xf numFmtId="4" fontId="51" fillId="19" borderId="94" applyNumberFormat="0" applyProtection="0">
      <alignment horizontal="right" vertical="center"/>
    </xf>
    <xf numFmtId="4" fontId="53" fillId="46" borderId="94" applyNumberFormat="0" applyProtection="0">
      <alignment horizontal="left" vertical="center" indent="1"/>
    </xf>
    <xf numFmtId="4" fontId="51" fillId="47" borderId="95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" fillId="47" borderId="94" applyNumberFormat="0" applyProtection="0">
      <alignment horizontal="left" vertical="center" indent="1"/>
    </xf>
    <xf numFmtId="4" fontId="5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20" borderId="94" applyNumberFormat="0" applyProtection="0">
      <alignment vertical="center"/>
    </xf>
    <xf numFmtId="4" fontId="52" fillId="20" borderId="94" applyNumberFormat="0" applyProtection="0">
      <alignment vertical="center"/>
    </xf>
    <xf numFmtId="4" fontId="51" fillId="20" borderId="94" applyNumberFormat="0" applyProtection="0">
      <alignment horizontal="left" vertical="center" indent="1"/>
    </xf>
    <xf numFmtId="4" fontId="51" fillId="20" borderId="94" applyNumberFormat="0" applyProtection="0">
      <alignment horizontal="left" vertical="center" indent="1"/>
    </xf>
    <xf numFmtId="4" fontId="51" fillId="47" borderId="94" applyNumberFormat="0" applyProtection="0">
      <alignment horizontal="right" vertical="center"/>
    </xf>
    <xf numFmtId="4" fontId="52" fillId="47" borderId="94" applyNumberFormat="0" applyProtection="0">
      <alignment horizontal="right" vertical="center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6" fillId="47" borderId="94" applyNumberFormat="0" applyProtection="0">
      <alignment horizontal="right" vertical="center"/>
    </xf>
    <xf numFmtId="0" fontId="4" fillId="0" borderId="0"/>
    <xf numFmtId="4" fontId="51" fillId="13" borderId="136" applyNumberFormat="0" applyProtection="0">
      <alignment horizontal="left" vertical="center" indent="1"/>
    </xf>
    <xf numFmtId="4" fontId="51" fillId="12" borderId="145" applyNumberFormat="0" applyProtection="0">
      <alignment horizontal="right" vertical="center"/>
    </xf>
    <xf numFmtId="4" fontId="51" fillId="13" borderId="136" applyNumberFormat="0" applyProtection="0">
      <alignment horizontal="left" vertical="center" indent="1"/>
    </xf>
    <xf numFmtId="4" fontId="52" fillId="13" borderId="136" applyNumberFormat="0" applyProtection="0">
      <alignment vertical="center"/>
    </xf>
    <xf numFmtId="4" fontId="51" fillId="13" borderId="136" applyNumberFormat="0" applyProtection="0">
      <alignment vertical="center"/>
    </xf>
    <xf numFmtId="4" fontId="51" fillId="17" borderId="145" applyNumberFormat="0" applyProtection="0">
      <alignment horizontal="right" vertical="center"/>
    </xf>
    <xf numFmtId="4" fontId="53" fillId="46" borderId="145" applyNumberFormat="0" applyProtection="0">
      <alignment horizontal="left" vertical="center" indent="1"/>
    </xf>
    <xf numFmtId="0" fontId="2" fillId="0" borderId="0"/>
    <xf numFmtId="4" fontId="51" fillId="13" borderId="144" applyNumberFormat="0" applyProtection="0">
      <alignment vertical="center"/>
    </xf>
    <xf numFmtId="4" fontId="52" fillId="13" borderId="144" applyNumberFormat="0" applyProtection="0">
      <alignment vertical="center"/>
    </xf>
    <xf numFmtId="4" fontId="51" fillId="13" borderId="144" applyNumberFormat="0" applyProtection="0">
      <alignment horizontal="left" vertical="center" indent="1"/>
    </xf>
    <xf numFmtId="4" fontId="51" fillId="1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35" borderId="144" applyNumberFormat="0" applyProtection="0">
      <alignment horizontal="right" vertical="center"/>
    </xf>
    <xf numFmtId="4" fontId="51" fillId="43" borderId="144" applyNumberFormat="0" applyProtection="0">
      <alignment horizontal="right" vertical="center"/>
    </xf>
    <xf numFmtId="4" fontId="51" fillId="44" borderId="144" applyNumberFormat="0" applyProtection="0">
      <alignment horizontal="right" vertical="center"/>
    </xf>
    <xf numFmtId="4" fontId="51" fillId="12" borderId="144" applyNumberFormat="0" applyProtection="0">
      <alignment horizontal="right" vertical="center"/>
    </xf>
    <xf numFmtId="4" fontId="51" fillId="45" borderId="144" applyNumberFormat="0" applyProtection="0">
      <alignment horizontal="right" vertical="center"/>
    </xf>
    <xf numFmtId="4" fontId="51" fillId="15" borderId="144" applyNumberFormat="0" applyProtection="0">
      <alignment horizontal="right" vertical="center"/>
    </xf>
    <xf numFmtId="4" fontId="51" fillId="17" borderId="144" applyNumberFormat="0" applyProtection="0">
      <alignment horizontal="right" vertical="center"/>
    </xf>
    <xf numFmtId="4" fontId="51" fillId="16" borderId="144" applyNumberFormat="0" applyProtection="0">
      <alignment horizontal="right" vertical="center"/>
    </xf>
    <xf numFmtId="4" fontId="51" fillId="19" borderId="144" applyNumberFormat="0" applyProtection="0">
      <alignment horizontal="right" vertical="center"/>
    </xf>
    <xf numFmtId="4" fontId="53" fillId="46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20" borderId="144" applyNumberFormat="0" applyProtection="0">
      <alignment vertical="center"/>
    </xf>
    <xf numFmtId="4" fontId="52" fillId="20" borderId="144" applyNumberFormat="0" applyProtection="0">
      <alignment vertical="center"/>
    </xf>
    <xf numFmtId="4" fontId="51" fillId="20" borderId="144" applyNumberFormat="0" applyProtection="0">
      <alignment horizontal="left" vertical="center" indent="1"/>
    </xf>
    <xf numFmtId="4" fontId="51" fillId="20" borderId="144" applyNumberFormat="0" applyProtection="0">
      <alignment horizontal="left" vertical="center" indent="1"/>
    </xf>
    <xf numFmtId="4" fontId="51" fillId="47" borderId="144" applyNumberFormat="0" applyProtection="0">
      <alignment horizontal="right" vertical="center"/>
    </xf>
    <xf numFmtId="4" fontId="52" fillId="47" borderId="144" applyNumberFormat="0" applyProtection="0">
      <alignment horizontal="right" vertical="center"/>
    </xf>
    <xf numFmtId="4" fontId="51" fillId="13" borderId="150" applyNumberFormat="0" applyProtection="0">
      <alignment vertical="center"/>
    </xf>
    <xf numFmtId="4" fontId="56" fillId="47" borderId="144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" fillId="47" borderId="144" applyNumberFormat="0" applyProtection="0">
      <alignment horizontal="left" vertical="center" indent="1"/>
    </xf>
    <xf numFmtId="0" fontId="4" fillId="49" borderId="144" applyNumberFormat="0" applyProtection="0">
      <alignment horizontal="left" vertical="center" indent="1"/>
    </xf>
    <xf numFmtId="4" fontId="51" fillId="13" borderId="132" applyNumberFormat="0" applyProtection="0">
      <alignment vertical="center"/>
    </xf>
    <xf numFmtId="4" fontId="52" fillId="13" borderId="132" applyNumberFormat="0" applyProtection="0">
      <alignment vertical="center"/>
    </xf>
    <xf numFmtId="4" fontId="51" fillId="13" borderId="132" applyNumberFormat="0" applyProtection="0">
      <alignment horizontal="left" vertical="center" indent="1"/>
    </xf>
    <xf numFmtId="4" fontId="51" fillId="13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1" fillId="35" borderId="132" applyNumberFormat="0" applyProtection="0">
      <alignment horizontal="right" vertical="center"/>
    </xf>
    <xf numFmtId="4" fontId="51" fillId="43" borderId="132" applyNumberFormat="0" applyProtection="0">
      <alignment horizontal="right" vertical="center"/>
    </xf>
    <xf numFmtId="4" fontId="51" fillId="44" borderId="132" applyNumberFormat="0" applyProtection="0">
      <alignment horizontal="right" vertical="center"/>
    </xf>
    <xf numFmtId="4" fontId="51" fillId="12" borderId="132" applyNumberFormat="0" applyProtection="0">
      <alignment horizontal="right" vertical="center"/>
    </xf>
    <xf numFmtId="4" fontId="51" fillId="45" borderId="132" applyNumberFormat="0" applyProtection="0">
      <alignment horizontal="right" vertical="center"/>
    </xf>
    <xf numFmtId="4" fontId="51" fillId="15" borderId="132" applyNumberFormat="0" applyProtection="0">
      <alignment horizontal="right" vertical="center"/>
    </xf>
    <xf numFmtId="4" fontId="51" fillId="17" borderId="132" applyNumberFormat="0" applyProtection="0">
      <alignment horizontal="right" vertical="center"/>
    </xf>
    <xf numFmtId="4" fontId="51" fillId="16" borderId="132" applyNumberFormat="0" applyProtection="0">
      <alignment horizontal="right" vertical="center"/>
    </xf>
    <xf numFmtId="4" fontId="51" fillId="19" borderId="132" applyNumberFormat="0" applyProtection="0">
      <alignment horizontal="right" vertical="center"/>
    </xf>
    <xf numFmtId="4" fontId="53" fillId="46" borderId="132" applyNumberFormat="0" applyProtection="0">
      <alignment horizontal="left" vertical="center" indent="1"/>
    </xf>
    <xf numFmtId="4" fontId="51" fillId="47" borderId="133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" fillId="47" borderId="132" applyNumberFormat="0" applyProtection="0">
      <alignment horizontal="left" vertical="center" indent="1"/>
    </xf>
    <xf numFmtId="4" fontId="5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49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0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33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1" fillId="20" borderId="132" applyNumberFormat="0" applyProtection="0">
      <alignment vertical="center"/>
    </xf>
    <xf numFmtId="4" fontId="52" fillId="20" borderId="132" applyNumberFormat="0" applyProtection="0">
      <alignment vertical="center"/>
    </xf>
    <xf numFmtId="4" fontId="51" fillId="20" borderId="132" applyNumberFormat="0" applyProtection="0">
      <alignment horizontal="left" vertical="center" indent="1"/>
    </xf>
    <xf numFmtId="4" fontId="51" fillId="20" borderId="132" applyNumberFormat="0" applyProtection="0">
      <alignment horizontal="left" vertical="center" indent="1"/>
    </xf>
    <xf numFmtId="4" fontId="51" fillId="47" borderId="132" applyNumberFormat="0" applyProtection="0">
      <alignment horizontal="right" vertical="center"/>
    </xf>
    <xf numFmtId="4" fontId="52" fillId="47" borderId="132" applyNumberFormat="0" applyProtection="0">
      <alignment horizontal="right" vertical="center"/>
    </xf>
    <xf numFmtId="0" fontId="4" fillId="11" borderId="132" applyNumberFormat="0" applyProtection="0">
      <alignment horizontal="left" vertical="center" indent="1"/>
    </xf>
    <xf numFmtId="0" fontId="4" fillId="11" borderId="132" applyNumberFormat="0" applyProtection="0">
      <alignment horizontal="left" vertical="center" indent="1"/>
    </xf>
    <xf numFmtId="4" fontId="56" fillId="47" borderId="132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0" fontId="4" fillId="0" borderId="0"/>
    <xf numFmtId="4" fontId="51" fillId="13" borderId="134" applyNumberFormat="0" applyProtection="0">
      <alignment vertical="center"/>
    </xf>
    <xf numFmtId="4" fontId="52" fillId="13" borderId="134" applyNumberFormat="0" applyProtection="0">
      <alignment vertical="center"/>
    </xf>
    <xf numFmtId="4" fontId="51" fillId="13" borderId="134" applyNumberFormat="0" applyProtection="0">
      <alignment horizontal="left" vertical="center" indent="1"/>
    </xf>
    <xf numFmtId="4" fontId="51" fillId="13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1" fillId="35" borderId="134" applyNumberFormat="0" applyProtection="0">
      <alignment horizontal="right" vertical="center"/>
    </xf>
    <xf numFmtId="4" fontId="51" fillId="43" borderId="134" applyNumberFormat="0" applyProtection="0">
      <alignment horizontal="right" vertical="center"/>
    </xf>
    <xf numFmtId="4" fontId="51" fillId="44" borderId="134" applyNumberFormat="0" applyProtection="0">
      <alignment horizontal="right" vertical="center"/>
    </xf>
    <xf numFmtId="4" fontId="51" fillId="12" borderId="134" applyNumberFormat="0" applyProtection="0">
      <alignment horizontal="right" vertical="center"/>
    </xf>
    <xf numFmtId="4" fontId="51" fillId="45" borderId="134" applyNumberFormat="0" applyProtection="0">
      <alignment horizontal="right" vertical="center"/>
    </xf>
    <xf numFmtId="4" fontId="51" fillId="15" borderId="134" applyNumberFormat="0" applyProtection="0">
      <alignment horizontal="right" vertical="center"/>
    </xf>
    <xf numFmtId="4" fontId="51" fillId="17" borderId="134" applyNumberFormat="0" applyProtection="0">
      <alignment horizontal="right" vertical="center"/>
    </xf>
    <xf numFmtId="4" fontId="51" fillId="16" borderId="134" applyNumberFormat="0" applyProtection="0">
      <alignment horizontal="right" vertical="center"/>
    </xf>
    <xf numFmtId="4" fontId="51" fillId="19" borderId="134" applyNumberFormat="0" applyProtection="0">
      <alignment horizontal="right" vertical="center"/>
    </xf>
    <xf numFmtId="4" fontId="53" fillId="46" borderId="134" applyNumberFormat="0" applyProtection="0">
      <alignment horizontal="left" vertical="center" indent="1"/>
    </xf>
    <xf numFmtId="4" fontId="51" fillId="47" borderId="135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" fillId="47" borderId="134" applyNumberFormat="0" applyProtection="0">
      <alignment horizontal="left" vertical="center" indent="1"/>
    </xf>
    <xf numFmtId="4" fontId="5" fillId="49" borderId="134" applyNumberFormat="0" applyProtection="0">
      <alignment horizontal="left" vertical="center" indent="1"/>
    </xf>
    <xf numFmtId="0" fontId="4" fillId="49" borderId="134" applyNumberFormat="0" applyProtection="0">
      <alignment horizontal="left" vertical="center" indent="1"/>
    </xf>
    <xf numFmtId="0" fontId="4" fillId="49" borderId="134" applyNumberFormat="0" applyProtection="0">
      <alignment horizontal="left" vertical="center" indent="1"/>
    </xf>
    <xf numFmtId="0" fontId="4" fillId="30" borderId="134" applyNumberFormat="0" applyProtection="0">
      <alignment horizontal="left" vertical="center" indent="1"/>
    </xf>
    <xf numFmtId="0" fontId="4" fillId="30" borderId="134" applyNumberFormat="0" applyProtection="0">
      <alignment horizontal="left" vertical="center" indent="1"/>
    </xf>
    <xf numFmtId="0" fontId="4" fillId="33" borderId="134" applyNumberFormat="0" applyProtection="0">
      <alignment horizontal="left" vertical="center" indent="1"/>
    </xf>
    <xf numFmtId="0" fontId="4" fillId="33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1" fillId="20" borderId="134" applyNumberFormat="0" applyProtection="0">
      <alignment vertical="center"/>
    </xf>
    <xf numFmtId="4" fontId="52" fillId="20" borderId="134" applyNumberFormat="0" applyProtection="0">
      <alignment vertical="center"/>
    </xf>
    <xf numFmtId="4" fontId="51" fillId="20" borderId="134" applyNumberFormat="0" applyProtection="0">
      <alignment horizontal="left" vertical="center" indent="1"/>
    </xf>
    <xf numFmtId="4" fontId="51" fillId="20" borderId="134" applyNumberFormat="0" applyProtection="0">
      <alignment horizontal="left" vertical="center" indent="1"/>
    </xf>
    <xf numFmtId="4" fontId="51" fillId="47" borderId="134" applyNumberFormat="0" applyProtection="0">
      <alignment horizontal="right" vertical="center"/>
    </xf>
    <xf numFmtId="4" fontId="52" fillId="47" borderId="134" applyNumberFormat="0" applyProtection="0">
      <alignment horizontal="right" vertical="center"/>
    </xf>
    <xf numFmtId="0" fontId="4" fillId="11" borderId="134" applyNumberFormat="0" applyProtection="0">
      <alignment horizontal="left" vertical="center" indent="1"/>
    </xf>
    <xf numFmtId="0" fontId="4" fillId="11" borderId="134" applyNumberFormat="0" applyProtection="0">
      <alignment horizontal="left" vertical="center" indent="1"/>
    </xf>
    <xf numFmtId="4" fontId="56" fillId="47" borderId="134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4" fontId="51" fillId="35" borderId="136" applyNumberFormat="0" applyProtection="0">
      <alignment horizontal="right" vertical="center"/>
    </xf>
    <xf numFmtId="4" fontId="51" fillId="43" borderId="136" applyNumberFormat="0" applyProtection="0">
      <alignment horizontal="right" vertical="center"/>
    </xf>
    <xf numFmtId="4" fontId="51" fillId="44" borderId="136" applyNumberFormat="0" applyProtection="0">
      <alignment horizontal="right" vertical="center"/>
    </xf>
    <xf numFmtId="4" fontId="51" fillId="12" borderId="136" applyNumberFormat="0" applyProtection="0">
      <alignment horizontal="right" vertical="center"/>
    </xf>
    <xf numFmtId="4" fontId="51" fillId="45" borderId="136" applyNumberFormat="0" applyProtection="0">
      <alignment horizontal="right" vertical="center"/>
    </xf>
    <xf numFmtId="4" fontId="51" fillId="15" borderId="136" applyNumberFormat="0" applyProtection="0">
      <alignment horizontal="right" vertical="center"/>
    </xf>
    <xf numFmtId="4" fontId="51" fillId="17" borderId="136" applyNumberFormat="0" applyProtection="0">
      <alignment horizontal="right" vertical="center"/>
    </xf>
    <xf numFmtId="4" fontId="51" fillId="16" borderId="136" applyNumberFormat="0" applyProtection="0">
      <alignment horizontal="right" vertical="center"/>
    </xf>
    <xf numFmtId="4" fontId="51" fillId="19" borderId="136" applyNumberFormat="0" applyProtection="0">
      <alignment horizontal="right" vertical="center"/>
    </xf>
    <xf numFmtId="4" fontId="53" fillId="46" borderId="136" applyNumberFormat="0" applyProtection="0">
      <alignment horizontal="left" vertical="center" indent="1"/>
    </xf>
    <xf numFmtId="4" fontId="51" fillId="47" borderId="137" applyNumberFormat="0" applyProtection="0">
      <alignment horizontal="left" vertical="center" indent="1"/>
    </xf>
    <xf numFmtId="4" fontId="51" fillId="47" borderId="142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7" borderId="136" applyNumberFormat="0" applyProtection="0">
      <alignment horizontal="left" vertical="center" indent="1"/>
    </xf>
    <xf numFmtId="4" fontId="5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20" borderId="136" applyNumberFormat="0" applyProtection="0">
      <alignment vertical="center"/>
    </xf>
    <xf numFmtId="4" fontId="52" fillId="20" borderId="136" applyNumberFormat="0" applyProtection="0">
      <alignment vertical="center"/>
    </xf>
    <xf numFmtId="4" fontId="51" fillId="20" borderId="136" applyNumberFormat="0" applyProtection="0">
      <alignment horizontal="left" vertical="center" indent="1"/>
    </xf>
    <xf numFmtId="4" fontId="51" fillId="20" borderId="136" applyNumberFormat="0" applyProtection="0">
      <alignment horizontal="left" vertical="center" indent="1"/>
    </xf>
    <xf numFmtId="4" fontId="51" fillId="47" borderId="136" applyNumberFormat="0" applyProtection="0">
      <alignment horizontal="right" vertical="center"/>
    </xf>
    <xf numFmtId="4" fontId="52" fillId="47" borderId="136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9" borderId="145" applyNumberFormat="0" applyProtection="0">
      <alignment horizontal="left" vertical="center" indent="1"/>
    </xf>
    <xf numFmtId="4" fontId="56" fillId="47" borderId="136" applyNumberFormat="0" applyProtection="0">
      <alignment horizontal="right" vertical="center"/>
    </xf>
    <xf numFmtId="0" fontId="4" fillId="30" borderId="144" applyNumberFormat="0" applyProtection="0">
      <alignment horizontal="left" vertical="center" indent="1"/>
    </xf>
    <xf numFmtId="4" fontId="5" fillId="49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13" borderId="136" applyNumberFormat="0" applyProtection="0">
      <alignment vertical="center"/>
    </xf>
    <xf numFmtId="4" fontId="52" fillId="13" borderId="136" applyNumberFormat="0" applyProtection="0">
      <alignment vertical="center"/>
    </xf>
    <xf numFmtId="4" fontId="51" fillId="13" borderId="136" applyNumberFormat="0" applyProtection="0">
      <alignment horizontal="left" vertical="center" indent="1"/>
    </xf>
    <xf numFmtId="4" fontId="51" fillId="1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35" borderId="136" applyNumberFormat="0" applyProtection="0">
      <alignment horizontal="right" vertical="center"/>
    </xf>
    <xf numFmtId="4" fontId="51" fillId="43" borderId="136" applyNumberFormat="0" applyProtection="0">
      <alignment horizontal="right" vertical="center"/>
    </xf>
    <xf numFmtId="4" fontId="51" fillId="44" borderId="136" applyNumberFormat="0" applyProtection="0">
      <alignment horizontal="right" vertical="center"/>
    </xf>
    <xf numFmtId="4" fontId="51" fillId="12" borderId="136" applyNumberFormat="0" applyProtection="0">
      <alignment horizontal="right" vertical="center"/>
    </xf>
    <xf numFmtId="4" fontId="51" fillId="45" borderId="136" applyNumberFormat="0" applyProtection="0">
      <alignment horizontal="right" vertical="center"/>
    </xf>
    <xf numFmtId="4" fontId="51" fillId="15" borderId="136" applyNumberFormat="0" applyProtection="0">
      <alignment horizontal="right" vertical="center"/>
    </xf>
    <xf numFmtId="4" fontId="51" fillId="17" borderId="136" applyNumberFormat="0" applyProtection="0">
      <alignment horizontal="right" vertical="center"/>
    </xf>
    <xf numFmtId="4" fontId="51" fillId="16" borderId="136" applyNumberFormat="0" applyProtection="0">
      <alignment horizontal="right" vertical="center"/>
    </xf>
    <xf numFmtId="4" fontId="51" fillId="19" borderId="136" applyNumberFormat="0" applyProtection="0">
      <alignment horizontal="right" vertical="center"/>
    </xf>
    <xf numFmtId="4" fontId="53" fillId="46" borderId="136" applyNumberFormat="0" applyProtection="0">
      <alignment horizontal="left" vertical="center" indent="1"/>
    </xf>
    <xf numFmtId="4" fontId="51" fillId="47" borderId="138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" fillId="47" borderId="136" applyNumberFormat="0" applyProtection="0">
      <alignment horizontal="left" vertical="center" indent="1"/>
    </xf>
    <xf numFmtId="4" fontId="5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49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0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33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1" fillId="20" borderId="136" applyNumberFormat="0" applyProtection="0">
      <alignment vertical="center"/>
    </xf>
    <xf numFmtId="4" fontId="52" fillId="20" borderId="136" applyNumberFormat="0" applyProtection="0">
      <alignment vertical="center"/>
    </xf>
    <xf numFmtId="4" fontId="51" fillId="20" borderId="136" applyNumberFormat="0" applyProtection="0">
      <alignment horizontal="left" vertical="center" indent="1"/>
    </xf>
    <xf numFmtId="4" fontId="51" fillId="20" borderId="136" applyNumberFormat="0" applyProtection="0">
      <alignment horizontal="left" vertical="center" indent="1"/>
    </xf>
    <xf numFmtId="4" fontId="51" fillId="47" borderId="136" applyNumberFormat="0" applyProtection="0">
      <alignment horizontal="right" vertical="center"/>
    </xf>
    <xf numFmtId="4" fontId="52" fillId="47" borderId="136" applyNumberFormat="0" applyProtection="0">
      <alignment horizontal="right" vertical="center"/>
    </xf>
    <xf numFmtId="0" fontId="4" fillId="11" borderId="136" applyNumberFormat="0" applyProtection="0">
      <alignment horizontal="left" vertical="center" indent="1"/>
    </xf>
    <xf numFmtId="0" fontId="4" fillId="11" borderId="136" applyNumberFormat="0" applyProtection="0">
      <alignment horizontal="left" vertical="center" indent="1"/>
    </xf>
    <xf numFmtId="4" fontId="56" fillId="47" borderId="136" applyNumberFormat="0" applyProtection="0">
      <alignment horizontal="right" vertical="center"/>
    </xf>
    <xf numFmtId="0" fontId="4" fillId="49" borderId="144" applyNumberFormat="0" applyProtection="0">
      <alignment horizontal="left" vertical="center" indent="1"/>
    </xf>
    <xf numFmtId="4" fontId="51" fillId="13" borderId="145" applyNumberFormat="0" applyProtection="0">
      <alignment vertical="center"/>
    </xf>
    <xf numFmtId="4" fontId="52" fillId="13" borderId="145" applyNumberFormat="0" applyProtection="0">
      <alignment vertical="center"/>
    </xf>
    <xf numFmtId="4" fontId="51" fillId="13" borderId="145" applyNumberFormat="0" applyProtection="0">
      <alignment horizontal="left" vertical="center" indent="1"/>
    </xf>
    <xf numFmtId="4" fontId="51" fillId="13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1" fillId="35" borderId="145" applyNumberFormat="0" applyProtection="0">
      <alignment horizontal="right" vertical="center"/>
    </xf>
    <xf numFmtId="4" fontId="51" fillId="43" borderId="145" applyNumberFormat="0" applyProtection="0">
      <alignment horizontal="right" vertical="center"/>
    </xf>
    <xf numFmtId="4" fontId="51" fillId="47" borderId="139" applyNumberFormat="0" applyProtection="0">
      <alignment horizontal="left" vertical="center" indent="1"/>
    </xf>
    <xf numFmtId="4" fontId="51" fillId="47" borderId="146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" fillId="47" borderId="145" applyNumberFormat="0" applyProtection="0">
      <alignment horizontal="left" vertical="center" indent="1"/>
    </xf>
    <xf numFmtId="0" fontId="4" fillId="49" borderId="145" applyNumberFormat="0" applyProtection="0">
      <alignment horizontal="left" vertical="center" indent="1"/>
    </xf>
    <xf numFmtId="0" fontId="4" fillId="49" borderId="145" applyNumberFormat="0" applyProtection="0">
      <alignment horizontal="left" vertical="center" indent="1"/>
    </xf>
    <xf numFmtId="0" fontId="4" fillId="30" borderId="145" applyNumberFormat="0" applyProtection="0">
      <alignment horizontal="left" vertical="center" indent="1"/>
    </xf>
    <xf numFmtId="0" fontId="4" fillId="30" borderId="145" applyNumberFormat="0" applyProtection="0">
      <alignment horizontal="left" vertical="center" indent="1"/>
    </xf>
    <xf numFmtId="0" fontId="4" fillId="33" borderId="145" applyNumberFormat="0" applyProtection="0">
      <alignment horizontal="left" vertical="center" indent="1"/>
    </xf>
    <xf numFmtId="0" fontId="4" fillId="33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2" fillId="20" borderId="145" applyNumberFormat="0" applyProtection="0">
      <alignment vertical="center"/>
    </xf>
    <xf numFmtId="4" fontId="51" fillId="20" borderId="145" applyNumberFormat="0" applyProtection="0">
      <alignment horizontal="left" vertical="center" indent="1"/>
    </xf>
    <xf numFmtId="4" fontId="51" fillId="20" borderId="145" applyNumberFormat="0" applyProtection="0">
      <alignment horizontal="left" vertical="center" indent="1"/>
    </xf>
    <xf numFmtId="4" fontId="51" fillId="47" borderId="145" applyNumberFormat="0" applyProtection="0">
      <alignment horizontal="right" vertical="center"/>
    </xf>
    <xf numFmtId="4" fontId="52" fillId="47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4" fontId="51" fillId="45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4" fontId="51" fillId="15" borderId="145" applyNumberFormat="0" applyProtection="0">
      <alignment horizontal="right" vertical="center"/>
    </xf>
    <xf numFmtId="4" fontId="51" fillId="16" borderId="145" applyNumberFormat="0" applyProtection="0">
      <alignment horizontal="right" vertical="center"/>
    </xf>
    <xf numFmtId="4" fontId="51" fillId="44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4" fontId="51" fillId="20" borderId="145" applyNumberFormat="0" applyProtection="0">
      <alignment vertical="center"/>
    </xf>
    <xf numFmtId="4" fontId="51" fillId="13" borderId="140" applyNumberFormat="0" applyProtection="0">
      <alignment vertical="center"/>
    </xf>
    <xf numFmtId="4" fontId="52" fillId="13" borderId="140" applyNumberFormat="0" applyProtection="0">
      <alignment vertical="center"/>
    </xf>
    <xf numFmtId="4" fontId="51" fillId="13" borderId="140" applyNumberFormat="0" applyProtection="0">
      <alignment horizontal="left" vertical="center" indent="1"/>
    </xf>
    <xf numFmtId="4" fontId="51" fillId="13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1" fillId="35" borderId="140" applyNumberFormat="0" applyProtection="0">
      <alignment horizontal="right" vertical="center"/>
    </xf>
    <xf numFmtId="4" fontId="51" fillId="43" borderId="140" applyNumberFormat="0" applyProtection="0">
      <alignment horizontal="right" vertical="center"/>
    </xf>
    <xf numFmtId="4" fontId="51" fillId="44" borderId="140" applyNumberFormat="0" applyProtection="0">
      <alignment horizontal="right" vertical="center"/>
    </xf>
    <xf numFmtId="4" fontId="51" fillId="12" borderId="140" applyNumberFormat="0" applyProtection="0">
      <alignment horizontal="right" vertical="center"/>
    </xf>
    <xf numFmtId="4" fontId="51" fillId="45" borderId="140" applyNumberFormat="0" applyProtection="0">
      <alignment horizontal="right" vertical="center"/>
    </xf>
    <xf numFmtId="4" fontId="51" fillId="15" borderId="140" applyNumberFormat="0" applyProtection="0">
      <alignment horizontal="right" vertical="center"/>
    </xf>
    <xf numFmtId="4" fontId="51" fillId="17" borderId="140" applyNumberFormat="0" applyProtection="0">
      <alignment horizontal="right" vertical="center"/>
    </xf>
    <xf numFmtId="4" fontId="51" fillId="16" borderId="140" applyNumberFormat="0" applyProtection="0">
      <alignment horizontal="right" vertical="center"/>
    </xf>
    <xf numFmtId="4" fontId="51" fillId="19" borderId="140" applyNumberFormat="0" applyProtection="0">
      <alignment horizontal="right" vertical="center"/>
    </xf>
    <xf numFmtId="4" fontId="53" fillId="46" borderId="140" applyNumberFormat="0" applyProtection="0">
      <alignment horizontal="left" vertical="center" indent="1"/>
    </xf>
    <xf numFmtId="4" fontId="51" fillId="47" borderId="141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" fillId="47" borderId="140" applyNumberFormat="0" applyProtection="0">
      <alignment horizontal="left" vertical="center" indent="1"/>
    </xf>
    <xf numFmtId="4" fontId="5" fillId="49" borderId="140" applyNumberFormat="0" applyProtection="0">
      <alignment horizontal="left" vertical="center" indent="1"/>
    </xf>
    <xf numFmtId="0" fontId="4" fillId="49" borderId="140" applyNumberFormat="0" applyProtection="0">
      <alignment horizontal="left" vertical="center" indent="1"/>
    </xf>
    <xf numFmtId="0" fontId="4" fillId="49" borderId="140" applyNumberFormat="0" applyProtection="0">
      <alignment horizontal="left" vertical="center" indent="1"/>
    </xf>
    <xf numFmtId="0" fontId="4" fillId="30" borderId="140" applyNumberFormat="0" applyProtection="0">
      <alignment horizontal="left" vertical="center" indent="1"/>
    </xf>
    <xf numFmtId="0" fontId="4" fillId="30" borderId="140" applyNumberFormat="0" applyProtection="0">
      <alignment horizontal="left" vertical="center" indent="1"/>
    </xf>
    <xf numFmtId="0" fontId="4" fillId="33" borderId="140" applyNumberFormat="0" applyProtection="0">
      <alignment horizontal="left" vertical="center" indent="1"/>
    </xf>
    <xf numFmtId="0" fontId="4" fillId="33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1" fillId="20" borderId="140" applyNumberFormat="0" applyProtection="0">
      <alignment vertical="center"/>
    </xf>
    <xf numFmtId="4" fontId="52" fillId="20" borderId="140" applyNumberFormat="0" applyProtection="0">
      <alignment vertical="center"/>
    </xf>
    <xf numFmtId="4" fontId="51" fillId="20" borderId="140" applyNumberFormat="0" applyProtection="0">
      <alignment horizontal="left" vertical="center" indent="1"/>
    </xf>
    <xf numFmtId="4" fontId="51" fillId="20" borderId="140" applyNumberFormat="0" applyProtection="0">
      <alignment horizontal="left" vertical="center" indent="1"/>
    </xf>
    <xf numFmtId="4" fontId="51" fillId="47" borderId="140" applyNumberFormat="0" applyProtection="0">
      <alignment horizontal="right" vertical="center"/>
    </xf>
    <xf numFmtId="4" fontId="52" fillId="47" borderId="140" applyNumberFormat="0" applyProtection="0">
      <alignment horizontal="right" vertical="center"/>
    </xf>
    <xf numFmtId="0" fontId="4" fillId="11" borderId="140" applyNumberFormat="0" applyProtection="0">
      <alignment horizontal="left" vertical="center" indent="1"/>
    </xf>
    <xf numFmtId="0" fontId="4" fillId="11" borderId="140" applyNumberFormat="0" applyProtection="0">
      <alignment horizontal="left" vertical="center" indent="1"/>
    </xf>
    <xf numFmtId="4" fontId="56" fillId="47" borderId="140" applyNumberFormat="0" applyProtection="0">
      <alignment horizontal="right" vertical="center"/>
    </xf>
    <xf numFmtId="4" fontId="51" fillId="47" borderId="149" applyNumberFormat="0" applyProtection="0">
      <alignment horizontal="left" vertical="center" indent="1"/>
    </xf>
    <xf numFmtId="4" fontId="51" fillId="47" borderId="143" applyNumberFormat="0" applyProtection="0">
      <alignment horizontal="left" vertical="center" indent="1"/>
    </xf>
    <xf numFmtId="4" fontId="51" fillId="19" borderId="145" applyNumberFormat="0" applyProtection="0">
      <alignment horizontal="right" vertical="center"/>
    </xf>
    <xf numFmtId="4" fontId="56" fillId="47" borderId="145" applyNumberFormat="0" applyProtection="0">
      <alignment horizontal="right" vertical="center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45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4" fontId="51" fillId="47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47" borderId="147" applyNumberFormat="0" applyProtection="0">
      <alignment horizontal="right" vertical="center"/>
    </xf>
    <xf numFmtId="4" fontId="52" fillId="13" borderId="150" applyNumberFormat="0" applyProtection="0">
      <alignment vertical="center"/>
    </xf>
    <xf numFmtId="4" fontId="51" fillId="13" borderId="150" applyNumberFormat="0" applyProtection="0">
      <alignment horizontal="left" vertical="center" indent="1"/>
    </xf>
    <xf numFmtId="4" fontId="51" fillId="13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35" borderId="150" applyNumberFormat="0" applyProtection="0">
      <alignment horizontal="right" vertical="center"/>
    </xf>
    <xf numFmtId="4" fontId="51" fillId="43" borderId="150" applyNumberFormat="0" applyProtection="0">
      <alignment horizontal="right" vertical="center"/>
    </xf>
    <xf numFmtId="4" fontId="51" fillId="44" borderId="150" applyNumberFormat="0" applyProtection="0">
      <alignment horizontal="right" vertical="center"/>
    </xf>
    <xf numFmtId="4" fontId="51" fillId="12" borderId="150" applyNumberFormat="0" applyProtection="0">
      <alignment horizontal="right" vertical="center"/>
    </xf>
    <xf numFmtId="4" fontId="51" fillId="45" borderId="150" applyNumberFormat="0" applyProtection="0">
      <alignment horizontal="right" vertical="center"/>
    </xf>
    <xf numFmtId="4" fontId="51" fillId="15" borderId="150" applyNumberFormat="0" applyProtection="0">
      <alignment horizontal="right" vertical="center"/>
    </xf>
    <xf numFmtId="4" fontId="51" fillId="17" borderId="150" applyNumberFormat="0" applyProtection="0">
      <alignment horizontal="right" vertical="center"/>
    </xf>
    <xf numFmtId="4" fontId="51" fillId="16" borderId="150" applyNumberFormat="0" applyProtection="0">
      <alignment horizontal="right" vertical="center"/>
    </xf>
    <xf numFmtId="4" fontId="51" fillId="19" borderId="150" applyNumberFormat="0" applyProtection="0">
      <alignment horizontal="right" vertical="center"/>
    </xf>
    <xf numFmtId="4" fontId="53" fillId="46" borderId="150" applyNumberFormat="0" applyProtection="0">
      <alignment horizontal="left" vertical="center" indent="1"/>
    </xf>
    <xf numFmtId="4" fontId="51" fillId="47" borderId="151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" fillId="47" borderId="150" applyNumberFormat="0" applyProtection="0">
      <alignment horizontal="left" vertical="center" indent="1"/>
    </xf>
    <xf numFmtId="4" fontId="5" fillId="49" borderId="150" applyNumberFormat="0" applyProtection="0">
      <alignment horizontal="left" vertical="center" indent="1"/>
    </xf>
    <xf numFmtId="0" fontId="4" fillId="49" borderId="150" applyNumberFormat="0" applyProtection="0">
      <alignment horizontal="left" vertical="center" indent="1"/>
    </xf>
    <xf numFmtId="0" fontId="4" fillId="49" borderId="150" applyNumberFormat="0" applyProtection="0">
      <alignment horizontal="left" vertical="center" indent="1"/>
    </xf>
    <xf numFmtId="0" fontId="4" fillId="30" borderId="150" applyNumberFormat="0" applyProtection="0">
      <alignment horizontal="left" vertical="center" indent="1"/>
    </xf>
    <xf numFmtId="0" fontId="4" fillId="30" borderId="150" applyNumberFormat="0" applyProtection="0">
      <alignment horizontal="left" vertical="center" indent="1"/>
    </xf>
    <xf numFmtId="0" fontId="4" fillId="33" borderId="150" applyNumberFormat="0" applyProtection="0">
      <alignment horizontal="left" vertical="center" indent="1"/>
    </xf>
    <xf numFmtId="0" fontId="4" fillId="33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1" fillId="20" borderId="150" applyNumberFormat="0" applyProtection="0">
      <alignment vertical="center"/>
    </xf>
    <xf numFmtId="4" fontId="52" fillId="20" borderId="150" applyNumberFormat="0" applyProtection="0">
      <alignment vertical="center"/>
    </xf>
    <xf numFmtId="4" fontId="51" fillId="20" borderId="150" applyNumberFormat="0" applyProtection="0">
      <alignment horizontal="left" vertical="center" indent="1"/>
    </xf>
    <xf numFmtId="4" fontId="51" fillId="20" borderId="150" applyNumberFormat="0" applyProtection="0">
      <alignment horizontal="left" vertical="center" indent="1"/>
    </xf>
    <xf numFmtId="4" fontId="51" fillId="47" borderId="150" applyNumberFormat="0" applyProtection="0">
      <alignment horizontal="right" vertical="center"/>
    </xf>
    <xf numFmtId="4" fontId="52" fillId="47" borderId="150" applyNumberFormat="0" applyProtection="0">
      <alignment horizontal="right" vertical="center"/>
    </xf>
    <xf numFmtId="0" fontId="4" fillId="11" borderId="150" applyNumberFormat="0" applyProtection="0">
      <alignment horizontal="left" vertical="center" indent="1"/>
    </xf>
    <xf numFmtId="0" fontId="4" fillId="11" borderId="150" applyNumberFormat="0" applyProtection="0">
      <alignment horizontal="left" vertical="center" indent="1"/>
    </xf>
    <xf numFmtId="4" fontId="56" fillId="47" borderId="150" applyNumberFormat="0" applyProtection="0">
      <alignment horizontal="right" vertical="center"/>
    </xf>
    <xf numFmtId="0" fontId="1" fillId="0" borderId="0"/>
    <xf numFmtId="4" fontId="51" fillId="13" borderId="164" applyNumberFormat="0" applyProtection="0">
      <alignment vertical="center"/>
    </xf>
    <xf numFmtId="4" fontId="52" fillId="13" borderId="164" applyNumberFormat="0" applyProtection="0">
      <alignment vertical="center"/>
    </xf>
    <xf numFmtId="4" fontId="51" fillId="13" borderId="164" applyNumberFormat="0" applyProtection="0">
      <alignment horizontal="left" vertical="center" indent="1"/>
    </xf>
    <xf numFmtId="4" fontId="51" fillId="13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1" fillId="35" borderId="164" applyNumberFormat="0" applyProtection="0">
      <alignment horizontal="right" vertical="center"/>
    </xf>
    <xf numFmtId="4" fontId="51" fillId="43" borderId="164" applyNumberFormat="0" applyProtection="0">
      <alignment horizontal="right" vertical="center"/>
    </xf>
    <xf numFmtId="4" fontId="51" fillId="44" borderId="164" applyNumberFormat="0" applyProtection="0">
      <alignment horizontal="right" vertical="center"/>
    </xf>
    <xf numFmtId="4" fontId="51" fillId="12" borderId="164" applyNumberFormat="0" applyProtection="0">
      <alignment horizontal="right" vertical="center"/>
    </xf>
    <xf numFmtId="4" fontId="51" fillId="45" borderId="164" applyNumberFormat="0" applyProtection="0">
      <alignment horizontal="right" vertical="center"/>
    </xf>
    <xf numFmtId="4" fontId="51" fillId="15" borderId="164" applyNumberFormat="0" applyProtection="0">
      <alignment horizontal="right" vertical="center"/>
    </xf>
    <xf numFmtId="4" fontId="51" fillId="17" borderId="164" applyNumberFormat="0" applyProtection="0">
      <alignment horizontal="right" vertical="center"/>
    </xf>
    <xf numFmtId="4" fontId="51" fillId="16" borderId="164" applyNumberFormat="0" applyProtection="0">
      <alignment horizontal="right" vertical="center"/>
    </xf>
    <xf numFmtId="4" fontId="51" fillId="19" borderId="164" applyNumberFormat="0" applyProtection="0">
      <alignment horizontal="right" vertical="center"/>
    </xf>
    <xf numFmtId="4" fontId="53" fillId="46" borderId="164" applyNumberFormat="0" applyProtection="0">
      <alignment horizontal="left" vertical="center" indent="1"/>
    </xf>
    <xf numFmtId="4" fontId="51" fillId="47" borderId="165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" fillId="47" borderId="164" applyNumberFormat="0" applyProtection="0">
      <alignment horizontal="left" vertical="center" indent="1"/>
    </xf>
    <xf numFmtId="4" fontId="5" fillId="49" borderId="164" applyNumberFormat="0" applyProtection="0">
      <alignment horizontal="left" vertical="center" indent="1"/>
    </xf>
    <xf numFmtId="0" fontId="4" fillId="49" borderId="164" applyNumberFormat="0" applyProtection="0">
      <alignment horizontal="left" vertical="center" indent="1"/>
    </xf>
    <xf numFmtId="0" fontId="4" fillId="49" borderId="164" applyNumberFormat="0" applyProtection="0">
      <alignment horizontal="left" vertical="center" indent="1"/>
    </xf>
    <xf numFmtId="0" fontId="4" fillId="30" borderId="164" applyNumberFormat="0" applyProtection="0">
      <alignment horizontal="left" vertical="center" indent="1"/>
    </xf>
    <xf numFmtId="0" fontId="4" fillId="30" borderId="164" applyNumberFormat="0" applyProtection="0">
      <alignment horizontal="left" vertical="center" indent="1"/>
    </xf>
    <xf numFmtId="0" fontId="4" fillId="33" borderId="164" applyNumberFormat="0" applyProtection="0">
      <alignment horizontal="left" vertical="center" indent="1"/>
    </xf>
    <xf numFmtId="0" fontId="4" fillId="33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1" fillId="20" borderId="164" applyNumberFormat="0" applyProtection="0">
      <alignment vertical="center"/>
    </xf>
    <xf numFmtId="4" fontId="52" fillId="20" borderId="164" applyNumberFormat="0" applyProtection="0">
      <alignment vertical="center"/>
    </xf>
    <xf numFmtId="4" fontId="51" fillId="20" borderId="164" applyNumberFormat="0" applyProtection="0">
      <alignment horizontal="left" vertical="center" indent="1"/>
    </xf>
    <xf numFmtId="4" fontId="51" fillId="20" borderId="164" applyNumberFormat="0" applyProtection="0">
      <alignment horizontal="left" vertical="center" indent="1"/>
    </xf>
    <xf numFmtId="4" fontId="51" fillId="47" borderId="164" applyNumberFormat="0" applyProtection="0">
      <alignment horizontal="right" vertical="center"/>
    </xf>
    <xf numFmtId="4" fontId="52" fillId="47" borderId="164" applyNumberFormat="0" applyProtection="0">
      <alignment horizontal="right" vertical="center"/>
    </xf>
    <xf numFmtId="0" fontId="4" fillId="11" borderId="164" applyNumberFormat="0" applyProtection="0">
      <alignment horizontal="left" vertical="center" indent="1"/>
    </xf>
    <xf numFmtId="0" fontId="4" fillId="11" borderId="164" applyNumberFormat="0" applyProtection="0">
      <alignment horizontal="left" vertical="center" indent="1"/>
    </xf>
    <xf numFmtId="4" fontId="56" fillId="47" borderId="164" applyNumberFormat="0" applyProtection="0">
      <alignment horizontal="right" vertical="center"/>
    </xf>
    <xf numFmtId="4" fontId="51" fillId="13" borderId="166" applyNumberFormat="0" applyProtection="0">
      <alignment horizontal="left" vertical="center" indent="1"/>
    </xf>
    <xf numFmtId="4" fontId="51" fillId="12" borderId="166" applyNumberFormat="0" applyProtection="0">
      <alignment horizontal="right" vertical="center"/>
    </xf>
    <xf numFmtId="4" fontId="51" fillId="13" borderId="166" applyNumberFormat="0" applyProtection="0">
      <alignment horizontal="left" vertical="center" indent="1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vertical="center"/>
    </xf>
    <xf numFmtId="4" fontId="51" fillId="17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0" fontId="1" fillId="0" borderId="0"/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4" fontId="51" fillId="13" borderId="166" applyNumberFormat="0" applyProtection="0">
      <alignment vertical="center"/>
    </xf>
    <xf numFmtId="4" fontId="56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30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0" fontId="4" fillId="49" borderId="166" applyNumberFormat="0" applyProtection="0">
      <alignment horizontal="left" vertical="center" indent="1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7" borderId="167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45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15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4" fontId="51" fillId="47" borderId="167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4" fontId="51" fillId="19" borderId="166" applyNumberFormat="0" applyProtection="0">
      <alignment horizontal="right" vertical="center"/>
    </xf>
    <xf numFmtId="4" fontId="56" fillId="47" borderId="166" applyNumberFormat="0" applyProtection="0">
      <alignment horizontal="right" vertical="center"/>
    </xf>
    <xf numFmtId="4" fontId="51" fillId="13" borderId="166" applyNumberFormat="0" applyProtection="0">
      <alignment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  <xf numFmtId="4" fontId="52" fillId="13" borderId="166" applyNumberFormat="0" applyProtection="0">
      <alignment vertical="center"/>
    </xf>
    <xf numFmtId="4" fontId="51" fillId="13" borderId="166" applyNumberFormat="0" applyProtection="0">
      <alignment horizontal="left" vertical="center" indent="1"/>
    </xf>
    <xf numFmtId="4" fontId="51" fillId="1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35" borderId="166" applyNumberFormat="0" applyProtection="0">
      <alignment horizontal="right" vertical="center"/>
    </xf>
    <xf numFmtId="4" fontId="51" fillId="43" borderId="166" applyNumberFormat="0" applyProtection="0">
      <alignment horizontal="right" vertical="center"/>
    </xf>
    <xf numFmtId="4" fontId="51" fillId="44" borderId="166" applyNumberFormat="0" applyProtection="0">
      <alignment horizontal="right" vertical="center"/>
    </xf>
    <xf numFmtId="4" fontId="51" fillId="12" borderId="166" applyNumberFormat="0" applyProtection="0">
      <alignment horizontal="right" vertical="center"/>
    </xf>
    <xf numFmtId="4" fontId="51" fillId="45" borderId="166" applyNumberFormat="0" applyProtection="0">
      <alignment horizontal="right" vertical="center"/>
    </xf>
    <xf numFmtId="4" fontId="51" fillId="15" borderId="166" applyNumberFormat="0" applyProtection="0">
      <alignment horizontal="right" vertical="center"/>
    </xf>
    <xf numFmtId="4" fontId="51" fillId="17" borderId="166" applyNumberFormat="0" applyProtection="0">
      <alignment horizontal="right" vertical="center"/>
    </xf>
    <xf numFmtId="4" fontId="51" fillId="16" borderId="166" applyNumberFormat="0" applyProtection="0">
      <alignment horizontal="right" vertical="center"/>
    </xf>
    <xf numFmtId="4" fontId="51" fillId="19" borderId="166" applyNumberFormat="0" applyProtection="0">
      <alignment horizontal="right" vertical="center"/>
    </xf>
    <xf numFmtId="4" fontId="53" fillId="46" borderId="166" applyNumberFormat="0" applyProtection="0">
      <alignment horizontal="left" vertical="center" indent="1"/>
    </xf>
    <xf numFmtId="4" fontId="51" fillId="47" borderId="167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" fillId="47" borderId="166" applyNumberFormat="0" applyProtection="0">
      <alignment horizontal="left" vertical="center" indent="1"/>
    </xf>
    <xf numFmtId="4" fontId="5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49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0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33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1" fillId="20" borderId="166" applyNumberFormat="0" applyProtection="0">
      <alignment vertical="center"/>
    </xf>
    <xf numFmtId="4" fontId="52" fillId="20" borderId="166" applyNumberFormat="0" applyProtection="0">
      <alignment vertical="center"/>
    </xf>
    <xf numFmtId="4" fontId="51" fillId="20" borderId="166" applyNumberFormat="0" applyProtection="0">
      <alignment horizontal="left" vertical="center" indent="1"/>
    </xf>
    <xf numFmtId="4" fontId="51" fillId="20" borderId="166" applyNumberFormat="0" applyProtection="0">
      <alignment horizontal="left" vertical="center" indent="1"/>
    </xf>
    <xf numFmtId="4" fontId="51" fillId="47" borderId="166" applyNumberFormat="0" applyProtection="0">
      <alignment horizontal="right" vertical="center"/>
    </xf>
    <xf numFmtId="4" fontId="52" fillId="47" borderId="166" applyNumberFormat="0" applyProtection="0">
      <alignment horizontal="right" vertical="center"/>
    </xf>
    <xf numFmtId="0" fontId="4" fillId="11" borderId="166" applyNumberFormat="0" applyProtection="0">
      <alignment horizontal="left" vertical="center" indent="1"/>
    </xf>
    <xf numFmtId="0" fontId="4" fillId="11" borderId="166" applyNumberFormat="0" applyProtection="0">
      <alignment horizontal="left" vertical="center" indent="1"/>
    </xf>
    <xf numFmtId="4" fontId="56" fillId="47" borderId="166" applyNumberFormat="0" applyProtection="0">
      <alignment horizontal="right" vertical="center"/>
    </xf>
  </cellStyleXfs>
  <cellXfs count="4149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7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7" xfId="4" applyFont="1" applyBorder="1" applyAlignment="1">
      <alignment horizontal="center" vertical="center" wrapText="1"/>
    </xf>
    <xf numFmtId="3" fontId="27" fillId="21" borderId="68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4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3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0" fontId="31" fillId="0" borderId="80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0" borderId="61" xfId="4" applyNumberFormat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4" xfId="4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0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1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6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7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68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1" xfId="4" applyNumberFormat="1" applyFont="1" applyFill="1" applyBorder="1" applyAlignment="1">
      <alignment vertical="center" wrapText="1"/>
    </xf>
    <xf numFmtId="0" fontId="31" fillId="0" borderId="82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6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center"/>
    </xf>
    <xf numFmtId="0" fontId="16" fillId="2" borderId="84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7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0" borderId="45" xfId="4" applyFont="1" applyFill="1" applyBorder="1" applyAlignment="1">
      <alignment horizontal="left" vertical="center"/>
    </xf>
    <xf numFmtId="0" fontId="27" fillId="50" borderId="16" xfId="4" applyFont="1" applyFill="1" applyBorder="1" applyAlignment="1">
      <alignment horizontal="left" vertical="center"/>
    </xf>
    <xf numFmtId="3" fontId="27" fillId="50" borderId="17" xfId="4" applyNumberFormat="1" applyFont="1" applyFill="1" applyBorder="1" applyAlignment="1">
      <alignment horizontal="right" vertical="center"/>
    </xf>
    <xf numFmtId="0" fontId="27" fillId="50" borderId="65" xfId="4" applyFont="1" applyFill="1" applyBorder="1" applyAlignment="1">
      <alignment horizontal="left" vertical="center"/>
    </xf>
    <xf numFmtId="0" fontId="27" fillId="50" borderId="6" xfId="4" applyFont="1" applyFill="1" applyBorder="1" applyAlignment="1">
      <alignment horizontal="left" vertical="center"/>
    </xf>
    <xf numFmtId="3" fontId="27" fillId="50" borderId="27" xfId="4" applyNumberFormat="1" applyFont="1" applyFill="1" applyBorder="1" applyAlignment="1">
      <alignment horizontal="right" vertical="center"/>
    </xf>
    <xf numFmtId="0" fontId="27" fillId="50" borderId="65" xfId="0" applyFont="1" applyFill="1" applyBorder="1" applyAlignment="1">
      <alignment horizontal="left" vertical="top"/>
    </xf>
    <xf numFmtId="0" fontId="28" fillId="50" borderId="6" xfId="0" quotePrefix="1" applyFont="1" applyFill="1" applyBorder="1" applyAlignment="1">
      <alignment horizontal="center" vertical="top"/>
    </xf>
    <xf numFmtId="3" fontId="27" fillId="50" borderId="27" xfId="0" quotePrefix="1" applyNumberFormat="1" applyFont="1" applyFill="1" applyBorder="1" applyAlignment="1">
      <alignment horizontal="right" vertical="top"/>
    </xf>
    <xf numFmtId="0" fontId="27" fillId="50" borderId="34" xfId="4" applyFont="1" applyFill="1" applyBorder="1" applyAlignment="1">
      <alignment horizontal="left" vertical="center"/>
    </xf>
    <xf numFmtId="3" fontId="27" fillId="50" borderId="29" xfId="4" applyNumberFormat="1" applyFont="1" applyFill="1" applyBorder="1" applyAlignment="1">
      <alignment horizontal="right" vertical="center"/>
    </xf>
    <xf numFmtId="0" fontId="27" fillId="50" borderId="36" xfId="4" applyFont="1" applyFill="1" applyBorder="1" applyAlignment="1">
      <alignment horizontal="left" vertical="center"/>
    </xf>
    <xf numFmtId="0" fontId="27" fillId="50" borderId="20" xfId="4" applyFont="1" applyFill="1" applyBorder="1" applyAlignment="1">
      <alignment horizontal="left" vertical="center"/>
    </xf>
    <xf numFmtId="3" fontId="27" fillId="50" borderId="9" xfId="4" applyNumberFormat="1" applyFont="1" applyFill="1" applyBorder="1" applyAlignment="1">
      <alignment horizontal="right" vertical="center"/>
    </xf>
    <xf numFmtId="0" fontId="27" fillId="50" borderId="46" xfId="0" applyFont="1" applyFill="1" applyBorder="1" applyAlignment="1">
      <alignment horizontal="left" vertical="top"/>
    </xf>
    <xf numFmtId="3" fontId="27" fillId="50" borderId="23" xfId="0" quotePrefix="1" applyNumberFormat="1" applyFont="1" applyFill="1" applyBorder="1" applyAlignment="1">
      <alignment horizontal="right" vertical="top"/>
    </xf>
    <xf numFmtId="0" fontId="27" fillId="50" borderId="11" xfId="4" applyFont="1" applyFill="1" applyBorder="1" applyAlignment="1">
      <alignment horizontal="left" vertical="center"/>
    </xf>
    <xf numFmtId="0" fontId="27" fillId="50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0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0" xfId="4" applyNumberFormat="1" applyFont="1" applyFill="1" applyBorder="1" applyAlignment="1">
      <alignment horizontal="right"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2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43" fontId="33" fillId="0" borderId="9" xfId="1" applyFont="1" applyFill="1" applyBorder="1" applyAlignment="1">
      <alignment vertical="center"/>
    </xf>
    <xf numFmtId="0" fontId="24" fillId="8" borderId="82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3" xfId="4" applyNumberFormat="1" applyFont="1" applyFill="1" applyBorder="1" applyAlignment="1">
      <alignment horizontal="right"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2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77" xfId="4" applyFont="1" applyFill="1" applyBorder="1" applyAlignment="1">
      <alignment horizontal="center"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27" fillId="0" borderId="30" xfId="1" applyFont="1" applyFill="1" applyBorder="1" applyAlignment="1">
      <alignment horizontal="right" vertical="center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69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3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6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43" fontId="31" fillId="0" borderId="70" xfId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7" xfId="0" applyNumberFormat="1" applyFont="1" applyFill="1" applyBorder="1" applyAlignment="1">
      <alignment vertical="center"/>
    </xf>
    <xf numFmtId="3" fontId="29" fillId="23" borderId="87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87" xfId="0" applyNumberFormat="1" applyFont="1" applyFill="1" applyBorder="1" applyAlignment="1">
      <alignment vertical="center"/>
    </xf>
    <xf numFmtId="3" fontId="7" fillId="23" borderId="87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7" xfId="1" applyFont="1" applyFill="1" applyBorder="1" applyAlignment="1">
      <alignment vertical="center"/>
    </xf>
    <xf numFmtId="0" fontId="7" fillId="8" borderId="93" xfId="0" applyFont="1" applyFill="1" applyBorder="1" applyAlignment="1">
      <alignment vertical="top" wrapText="1"/>
    </xf>
    <xf numFmtId="0" fontId="7" fillId="8" borderId="88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4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89" xfId="0" applyNumberFormat="1" applyFont="1" applyFill="1" applyBorder="1" applyAlignment="1">
      <alignment vertical="top"/>
    </xf>
    <xf numFmtId="3" fontId="27" fillId="2" borderId="89" xfId="0" applyNumberFormat="1" applyFont="1" applyFill="1" applyBorder="1" applyAlignment="1">
      <alignment vertical="top"/>
    </xf>
    <xf numFmtId="3" fontId="25" fillId="25" borderId="87" xfId="0" applyNumberFormat="1" applyFont="1" applyFill="1" applyBorder="1" applyAlignment="1">
      <alignment vertical="top"/>
    </xf>
    <xf numFmtId="3" fontId="27" fillId="0" borderId="89" xfId="0" applyNumberFormat="1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top"/>
    </xf>
    <xf numFmtId="0" fontId="31" fillId="0" borderId="74" xfId="4" applyFont="1" applyFill="1" applyBorder="1" applyAlignment="1">
      <alignment vertical="center"/>
    </xf>
    <xf numFmtId="3" fontId="25" fillId="6" borderId="87" xfId="0" applyNumberFormat="1" applyFont="1" applyFill="1" applyBorder="1" applyAlignment="1">
      <alignment vertical="top"/>
    </xf>
    <xf numFmtId="3" fontId="27" fillId="2" borderId="87" xfId="0" applyNumberFormat="1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89" xfId="0" applyNumberFormat="1" applyFont="1" applyFill="1" applyBorder="1" applyAlignment="1">
      <alignment vertical="center"/>
    </xf>
    <xf numFmtId="0" fontId="28" fillId="52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0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9" fillId="0" borderId="66" xfId="0" applyFont="1" applyBorder="1" applyAlignment="1">
      <alignment vertical="top"/>
    </xf>
    <xf numFmtId="3" fontId="31" fillId="8" borderId="18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39" fillId="0" borderId="98" xfId="0" applyFont="1" applyBorder="1"/>
    <xf numFmtId="3" fontId="27" fillId="50" borderId="89" xfId="4" applyNumberFormat="1" applyFont="1" applyFill="1" applyBorder="1" applyAlignment="1">
      <alignment horizontal="right" vertical="center"/>
    </xf>
    <xf numFmtId="3" fontId="31" fillId="0" borderId="98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top"/>
    </xf>
    <xf numFmtId="3" fontId="27" fillId="2" borderId="99" xfId="0" applyNumberFormat="1" applyFont="1" applyFill="1" applyBorder="1" applyAlignment="1">
      <alignment vertical="top"/>
    </xf>
    <xf numFmtId="3" fontId="27" fillId="0" borderId="99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99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6" xfId="4" applyNumberFormat="1" applyFont="1" applyFill="1" applyBorder="1" applyAlignment="1">
      <alignment horizontal="right" vertical="center"/>
    </xf>
    <xf numFmtId="3" fontId="33" fillId="0" borderId="69" xfId="6" applyNumberFormat="1" applyFont="1" applyFill="1" applyBorder="1" applyAlignment="1">
      <alignment vertical="center"/>
    </xf>
    <xf numFmtId="0" fontId="27" fillId="50" borderId="90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2" borderId="21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89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7" fillId="50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1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4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4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27" fillId="2" borderId="32" xfId="4" applyFont="1" applyFill="1" applyBorder="1" applyAlignment="1">
      <alignment vertical="center"/>
    </xf>
    <xf numFmtId="0" fontId="39" fillId="0" borderId="110" xfId="0" applyFont="1" applyBorder="1"/>
    <xf numFmtId="0" fontId="64" fillId="8" borderId="20" xfId="4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31" fillId="2" borderId="72" xfId="4" applyNumberFormat="1" applyFont="1" applyFill="1" applyBorder="1" applyAlignment="1">
      <alignment vertical="center"/>
    </xf>
    <xf numFmtId="3" fontId="7" fillId="0" borderId="114" xfId="4" applyNumberFormat="1" applyFont="1" applyFill="1" applyBorder="1" applyAlignment="1">
      <alignment horizontal="right" vertical="center"/>
    </xf>
    <xf numFmtId="0" fontId="27" fillId="50" borderId="17" xfId="4" applyFont="1" applyFill="1" applyBorder="1" applyAlignment="1">
      <alignment horizontal="left" vertical="center"/>
    </xf>
    <xf numFmtId="0" fontId="24" fillId="6" borderId="117" xfId="4" applyFont="1" applyFill="1" applyBorder="1" applyAlignment="1">
      <alignment horizontal="left" vertical="center"/>
    </xf>
    <xf numFmtId="3" fontId="31" fillId="0" borderId="119" xfId="0" applyNumberFormat="1" applyFont="1" applyFill="1" applyBorder="1" applyAlignment="1">
      <alignment vertical="top"/>
    </xf>
    <xf numFmtId="0" fontId="24" fillId="6" borderId="124" xfId="4" applyFont="1" applyFill="1" applyBorder="1" applyAlignment="1">
      <alignment horizontal="left" vertical="center"/>
    </xf>
    <xf numFmtId="3" fontId="31" fillId="0" borderId="119" xfId="0" applyNumberFormat="1" applyFont="1" applyFill="1" applyBorder="1" applyAlignment="1">
      <alignment vertical="center"/>
    </xf>
    <xf numFmtId="3" fontId="27" fillId="0" borderId="119" xfId="0" applyNumberFormat="1" applyFont="1" applyFill="1" applyBorder="1" applyAlignment="1">
      <alignment vertical="top"/>
    </xf>
    <xf numFmtId="3" fontId="7" fillId="0" borderId="121" xfId="4" applyNumberFormat="1" applyFont="1" applyFill="1" applyBorder="1" applyAlignment="1">
      <alignment horizontal="right" vertical="center"/>
    </xf>
    <xf numFmtId="0" fontId="25" fillId="6" borderId="119" xfId="4" applyFont="1" applyFill="1" applyBorder="1" applyAlignment="1">
      <alignment horizontal="left" vertical="center"/>
    </xf>
    <xf numFmtId="3" fontId="25" fillId="22" borderId="119" xfId="4" applyNumberFormat="1" applyFont="1" applyFill="1" applyBorder="1" applyAlignment="1">
      <alignment horizontal="right" vertical="center"/>
    </xf>
    <xf numFmtId="3" fontId="24" fillId="6" borderId="119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5" fillId="6" borderId="112" xfId="4" applyFont="1" applyFill="1" applyBorder="1" applyAlignment="1">
      <alignment horizontal="left" vertical="center"/>
    </xf>
    <xf numFmtId="0" fontId="21" fillId="0" borderId="65" xfId="0" applyFont="1" applyBorder="1" applyAlignment="1">
      <alignment vertical="top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7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19" xfId="0" applyNumberFormat="1" applyFont="1" applyFill="1" applyBorder="1" applyAlignment="1">
      <alignment vertical="top"/>
    </xf>
    <xf numFmtId="3" fontId="25" fillId="6" borderId="119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19" xfId="0" applyNumberFormat="1" applyFont="1" applyFill="1" applyBorder="1" applyAlignment="1">
      <alignment vertical="top"/>
    </xf>
    <xf numFmtId="3" fontId="27" fillId="2" borderId="119" xfId="4" applyNumberFormat="1" applyFont="1" applyFill="1" applyBorder="1" applyAlignment="1">
      <alignment vertical="top" wrapText="1"/>
    </xf>
    <xf numFmtId="3" fontId="25" fillId="25" borderId="119" xfId="0" applyNumberFormat="1" applyFont="1" applyFill="1" applyBorder="1" applyAlignment="1">
      <alignment vertical="top"/>
    </xf>
    <xf numFmtId="3" fontId="31" fillId="0" borderId="114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5" fillId="8" borderId="68" xfId="0" applyFont="1" applyFill="1" applyBorder="1" applyAlignment="1">
      <alignment vertical="center" wrapText="1"/>
    </xf>
    <xf numFmtId="0" fontId="31" fillId="6" borderId="119" xfId="0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14" xfId="0" applyNumberFormat="1" applyFont="1" applyFill="1" applyBorder="1" applyAlignment="1">
      <alignment vertical="center"/>
    </xf>
    <xf numFmtId="3" fontId="31" fillId="25" borderId="119" xfId="0" applyNumberFormat="1" applyFont="1" applyFill="1" applyBorder="1" applyAlignment="1">
      <alignment horizontal="center" vertical="top"/>
    </xf>
    <xf numFmtId="3" fontId="25" fillId="0" borderId="119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0" fontId="31" fillId="0" borderId="119" xfId="0" applyFont="1" applyFill="1" applyBorder="1" applyAlignment="1">
      <alignment horizontal="left" vertical="center" wrapText="1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4" xfId="0" applyFont="1" applyBorder="1" applyAlignment="1">
      <alignment vertical="top"/>
    </xf>
    <xf numFmtId="0" fontId="21" fillId="0" borderId="64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7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3" fontId="27" fillId="25" borderId="121" xfId="4" applyNumberFormat="1" applyFont="1" applyFill="1" applyBorder="1" applyAlignment="1">
      <alignment horizontal="right" vertical="center"/>
    </xf>
    <xf numFmtId="3" fontId="31" fillId="25" borderId="121" xfId="4" applyNumberFormat="1" applyFont="1" applyFill="1" applyBorder="1" applyAlignment="1">
      <alignment horizontal="right" vertical="center"/>
    </xf>
    <xf numFmtId="3" fontId="7" fillId="0" borderId="118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20" xfId="4" applyNumberFormat="1" applyFont="1" applyFill="1" applyBorder="1" applyAlignment="1">
      <alignment horizontal="right" vertical="center"/>
    </xf>
    <xf numFmtId="3" fontId="32" fillId="8" borderId="121" xfId="114" applyNumberFormat="1" applyFont="1" applyFill="1" applyBorder="1" applyAlignment="1">
      <alignment vertical="center"/>
    </xf>
    <xf numFmtId="0" fontId="31" fillId="8" borderId="117" xfId="4" applyFont="1" applyFill="1" applyBorder="1" applyAlignment="1">
      <alignment vertical="center"/>
    </xf>
    <xf numFmtId="3" fontId="24" fillId="6" borderId="121" xfId="4" applyNumberFormat="1" applyFont="1" applyFill="1" applyBorder="1" applyAlignment="1">
      <alignment horizontal="right" vertical="center"/>
    </xf>
    <xf numFmtId="0" fontId="27" fillId="8" borderId="124" xfId="4" applyFont="1" applyFill="1" applyBorder="1" applyAlignment="1">
      <alignment vertical="center"/>
    </xf>
    <xf numFmtId="0" fontId="27" fillId="8" borderId="112" xfId="4" applyFont="1" applyFill="1" applyBorder="1" applyAlignment="1">
      <alignment vertical="center"/>
    </xf>
    <xf numFmtId="3" fontId="33" fillId="8" borderId="121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12" xfId="4" applyFont="1" applyFill="1" applyBorder="1" applyAlignment="1">
      <alignment vertical="center"/>
    </xf>
    <xf numFmtId="3" fontId="31" fillId="8" borderId="119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20" xfId="4" applyNumberFormat="1" applyFont="1" applyFill="1" applyBorder="1" applyAlignment="1">
      <alignment horizontal="right" vertical="center"/>
    </xf>
    <xf numFmtId="3" fontId="33" fillId="0" borderId="119" xfId="114" applyNumberFormat="1" applyFont="1" applyFill="1" applyBorder="1" applyAlignment="1">
      <alignment vertical="center"/>
    </xf>
    <xf numFmtId="3" fontId="27" fillId="0" borderId="118" xfId="4" applyNumberFormat="1" applyFont="1" applyFill="1" applyBorder="1" applyAlignment="1">
      <alignment horizontal="right" vertical="center"/>
    </xf>
    <xf numFmtId="3" fontId="27" fillId="2" borderId="119" xfId="4" applyNumberFormat="1" applyFont="1" applyFill="1" applyBorder="1" applyAlignment="1">
      <alignment horizontal="right" vertical="center"/>
    </xf>
    <xf numFmtId="3" fontId="33" fillId="0" borderId="121" xfId="114" applyNumberFormat="1" applyFont="1" applyFill="1" applyBorder="1" applyAlignment="1">
      <alignment vertical="center"/>
    </xf>
    <xf numFmtId="3" fontId="27" fillId="8" borderId="119" xfId="0" applyNumberFormat="1" applyFont="1" applyFill="1" applyBorder="1" applyAlignment="1">
      <alignment vertical="center"/>
    </xf>
    <xf numFmtId="3" fontId="31" fillId="28" borderId="119" xfId="0" applyNumberFormat="1" applyFont="1" applyFill="1" applyBorder="1" applyAlignment="1">
      <alignment vertical="center"/>
    </xf>
    <xf numFmtId="3" fontId="27" fillId="2" borderId="117" xfId="4" applyNumberFormat="1" applyFont="1" applyFill="1" applyBorder="1" applyAlignment="1">
      <alignment vertical="center" wrapText="1"/>
    </xf>
    <xf numFmtId="0" fontId="31" fillId="0" borderId="74" xfId="0" applyFont="1" applyFill="1" applyBorder="1" applyAlignment="1">
      <alignment vertical="center"/>
    </xf>
    <xf numFmtId="43" fontId="31" fillId="0" borderId="114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3" fontId="27" fillId="25" borderId="153" xfId="4" applyNumberFormat="1" applyFont="1" applyFill="1" applyBorder="1" applyAlignment="1">
      <alignment horizontal="right" vertical="center"/>
    </xf>
    <xf numFmtId="3" fontId="33" fillId="0" borderId="153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69" xfId="0" applyNumberFormat="1" applyFont="1" applyFill="1" applyBorder="1" applyAlignment="1">
      <alignment horizontal="right" vertical="center"/>
    </xf>
    <xf numFmtId="3" fontId="31" fillId="0" borderId="72" xfId="0" applyNumberFormat="1" applyFont="1" applyFill="1" applyBorder="1" applyAlignment="1">
      <alignment horizontal="right" vertical="center"/>
    </xf>
    <xf numFmtId="3" fontId="31" fillId="0" borderId="73" xfId="0" applyNumberFormat="1" applyFont="1" applyFill="1" applyBorder="1" applyAlignment="1">
      <alignment horizontal="right" vertical="center"/>
    </xf>
    <xf numFmtId="3" fontId="24" fillId="22" borderId="68" xfId="4" applyNumberFormat="1" applyFont="1" applyFill="1" applyBorder="1" applyAlignment="1">
      <alignment horizontal="right" vertical="center"/>
    </xf>
    <xf numFmtId="3" fontId="31" fillId="0" borderId="114" xfId="0" applyNumberFormat="1" applyFont="1" applyFill="1" applyBorder="1" applyAlignment="1">
      <alignment horizontal="right" vertical="center"/>
    </xf>
    <xf numFmtId="0" fontId="28" fillId="50" borderId="22" xfId="0" quotePrefix="1" applyFont="1" applyFill="1" applyBorder="1" applyAlignment="1">
      <alignment horizontal="center" vertical="top"/>
    </xf>
    <xf numFmtId="3" fontId="18" fillId="8" borderId="65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17" xfId="4" applyFont="1" applyFill="1" applyBorder="1" applyAlignment="1">
      <alignment horizontal="left" vertical="center"/>
    </xf>
    <xf numFmtId="3" fontId="25" fillId="6" borderId="152" xfId="0" applyNumberFormat="1" applyFont="1" applyFill="1" applyBorder="1" applyAlignment="1">
      <alignment vertical="top"/>
    </xf>
    <xf numFmtId="43" fontId="25" fillId="6" borderId="152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58" xfId="4" applyFont="1" applyFill="1" applyBorder="1" applyAlignment="1">
      <alignment horizontal="left" vertical="center"/>
    </xf>
    <xf numFmtId="3" fontId="25" fillId="6" borderId="152" xfId="0" applyNumberFormat="1" applyFont="1" applyFill="1" applyBorder="1" applyAlignment="1"/>
    <xf numFmtId="3" fontId="29" fillId="2" borderId="117" xfId="4" applyNumberFormat="1" applyFont="1" applyFill="1" applyBorder="1" applyAlignment="1">
      <alignment vertical="center" wrapText="1"/>
    </xf>
    <xf numFmtId="3" fontId="31" fillId="0" borderId="152" xfId="0" applyNumberFormat="1" applyFont="1" applyFill="1" applyBorder="1" applyAlignment="1">
      <alignment vertical="top"/>
    </xf>
    <xf numFmtId="0" fontId="29" fillId="2" borderId="117" xfId="4" applyFont="1" applyFill="1" applyBorder="1" applyAlignment="1">
      <alignment vertical="center"/>
    </xf>
    <xf numFmtId="3" fontId="27" fillId="0" borderId="152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52" xfId="1" applyFont="1" applyFill="1" applyBorder="1" applyAlignment="1">
      <alignment vertical="center"/>
    </xf>
    <xf numFmtId="43" fontId="31" fillId="0" borderId="153" xfId="1" applyFont="1" applyFill="1" applyBorder="1" applyAlignment="1">
      <alignment vertical="center"/>
    </xf>
    <xf numFmtId="0" fontId="29" fillId="2" borderId="158" xfId="4" applyFont="1" applyFill="1" applyBorder="1" applyAlignment="1">
      <alignment vertical="center"/>
    </xf>
    <xf numFmtId="0" fontId="7" fillId="0" borderId="125" xfId="4" applyFont="1" applyFill="1" applyBorder="1" applyAlignment="1">
      <alignment vertical="center"/>
    </xf>
    <xf numFmtId="43" fontId="31" fillId="0" borderId="129" xfId="1" applyFont="1" applyFill="1" applyBorder="1" applyAlignment="1">
      <alignment vertical="center"/>
    </xf>
    <xf numFmtId="3" fontId="25" fillId="6" borderId="152" xfId="0" applyNumberFormat="1" applyFont="1" applyFill="1" applyBorder="1" applyAlignment="1">
      <alignment vertical="center"/>
    </xf>
    <xf numFmtId="43" fontId="31" fillId="0" borderId="114" xfId="1" applyFont="1" applyFill="1" applyBorder="1" applyAlignment="1">
      <alignment vertical="top"/>
    </xf>
    <xf numFmtId="43" fontId="27" fillId="2" borderId="153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53" xfId="0" applyNumberFormat="1" applyFont="1" applyFill="1" applyBorder="1" applyAlignment="1">
      <alignment vertical="top"/>
    </xf>
    <xf numFmtId="3" fontId="25" fillId="25" borderId="152" xfId="0" applyNumberFormat="1" applyFont="1" applyFill="1" applyBorder="1" applyAlignment="1">
      <alignment vertical="top"/>
    </xf>
    <xf numFmtId="0" fontId="27" fillId="2" borderId="117" xfId="4" applyFont="1" applyFill="1" applyBorder="1" applyAlignment="1">
      <alignment vertical="top"/>
    </xf>
    <xf numFmtId="0" fontId="31" fillId="0" borderId="127" xfId="0" applyFont="1" applyFill="1" applyBorder="1" applyAlignment="1">
      <alignment horizontal="left" vertical="center" wrapText="1"/>
    </xf>
    <xf numFmtId="0" fontId="7" fillId="6" borderId="157" xfId="0" applyFont="1" applyFill="1" applyBorder="1" applyAlignment="1">
      <alignment horizontal="left" vertical="center" wrapText="1"/>
    </xf>
    <xf numFmtId="3" fontId="27" fillId="2" borderId="159" xfId="4" applyNumberFormat="1" applyFont="1" applyFill="1" applyBorder="1" applyAlignment="1">
      <alignment vertical="center" wrapText="1"/>
    </xf>
    <xf numFmtId="3" fontId="27" fillId="2" borderId="152" xfId="0" applyNumberFormat="1" applyFont="1" applyFill="1" applyBorder="1" applyAlignment="1">
      <alignment vertical="top"/>
    </xf>
    <xf numFmtId="0" fontId="27" fillId="2" borderId="126" xfId="4" applyFont="1" applyFill="1" applyBorder="1" applyAlignment="1">
      <alignment vertical="top"/>
    </xf>
    <xf numFmtId="0" fontId="31" fillId="6" borderId="157" xfId="0" applyFont="1" applyFill="1" applyBorder="1" applyAlignment="1">
      <alignment vertical="top"/>
    </xf>
    <xf numFmtId="43" fontId="25" fillId="6" borderId="153" xfId="1" applyFont="1" applyFill="1" applyBorder="1" applyAlignment="1">
      <alignment vertical="top"/>
    </xf>
    <xf numFmtId="3" fontId="31" fillId="0" borderId="129" xfId="0" applyNumberFormat="1" applyFont="1" applyFill="1" applyBorder="1" applyAlignment="1">
      <alignment vertical="top"/>
    </xf>
    <xf numFmtId="3" fontId="31" fillId="25" borderId="119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14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0" borderId="21" xfId="4" applyFont="1" applyFill="1" applyBorder="1" applyAlignment="1">
      <alignment horizontal="left" vertical="center"/>
    </xf>
    <xf numFmtId="0" fontId="29" fillId="8" borderId="117" xfId="4" applyFont="1" applyFill="1" applyBorder="1" applyAlignment="1">
      <alignment vertical="top"/>
    </xf>
    <xf numFmtId="0" fontId="7" fillId="8" borderId="117" xfId="4" applyFont="1" applyFill="1" applyBorder="1" applyAlignment="1">
      <alignment vertical="top"/>
    </xf>
    <xf numFmtId="0" fontId="7" fillId="8" borderId="117" xfId="4" applyFont="1" applyFill="1" applyBorder="1" applyAlignment="1">
      <alignment vertical="top" wrapText="1"/>
    </xf>
    <xf numFmtId="0" fontId="7" fillId="8" borderId="11" xfId="4" applyFont="1" applyFill="1" applyBorder="1" applyAlignment="1">
      <alignment vertical="top"/>
    </xf>
    <xf numFmtId="3" fontId="24" fillId="6" borderId="153" xfId="4" applyNumberFormat="1" applyFont="1" applyFill="1" applyBorder="1" applyAlignment="1">
      <alignment vertical="center"/>
    </xf>
    <xf numFmtId="3" fontId="24" fillId="6" borderId="152" xfId="4" applyNumberFormat="1" applyFont="1" applyFill="1" applyBorder="1" applyAlignment="1">
      <alignment vertical="center"/>
    </xf>
    <xf numFmtId="0" fontId="29" fillId="0" borderId="117" xfId="4" applyFont="1" applyFill="1" applyBorder="1" applyAlignment="1">
      <alignment vertical="top"/>
    </xf>
    <xf numFmtId="3" fontId="29" fillId="0" borderId="153" xfId="4" applyNumberFormat="1" applyFont="1" applyFill="1" applyBorder="1" applyAlignment="1">
      <alignment horizontal="right" vertical="center"/>
    </xf>
    <xf numFmtId="0" fontId="7" fillId="0" borderId="117" xfId="4" applyFont="1" applyFill="1" applyBorder="1" applyAlignment="1">
      <alignment vertical="top"/>
    </xf>
    <xf numFmtId="3" fontId="7" fillId="0" borderId="153" xfId="4" applyNumberFormat="1" applyFont="1" applyFill="1" applyBorder="1" applyAlignment="1">
      <alignment horizontal="right" vertical="center"/>
    </xf>
    <xf numFmtId="3" fontId="7" fillId="0" borderId="152" xfId="4" applyNumberFormat="1" applyFont="1" applyFill="1" applyBorder="1" applyAlignment="1">
      <alignment horizontal="right" vertical="center"/>
    </xf>
    <xf numFmtId="3" fontId="31" fillId="0" borderId="152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52" xfId="1" applyFont="1" applyFill="1" applyBorder="1" applyAlignment="1">
      <alignment vertical="center"/>
    </xf>
    <xf numFmtId="0" fontId="31" fillId="0" borderId="0" xfId="0" applyFont="1" applyBorder="1" applyAlignment="1">
      <alignment vertical="top"/>
    </xf>
    <xf numFmtId="3" fontId="25" fillId="6" borderId="153" xfId="4" applyNumberFormat="1" applyFont="1" applyFill="1" applyBorder="1" applyAlignment="1">
      <alignment vertical="center"/>
    </xf>
    <xf numFmtId="0" fontId="7" fillId="0" borderId="117" xfId="4" applyFont="1" applyFill="1" applyBorder="1" applyAlignment="1">
      <alignment vertical="center"/>
    </xf>
    <xf numFmtId="0" fontId="31" fillId="0" borderId="0" xfId="0" applyFont="1" applyBorder="1" applyAlignment="1"/>
    <xf numFmtId="3" fontId="27" fillId="0" borderId="153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53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57" xfId="4" applyFont="1" applyFill="1" applyBorder="1" applyAlignment="1">
      <alignment horizontal="left" vertical="center"/>
    </xf>
    <xf numFmtId="43" fontId="24" fillId="6" borderId="153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0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0" fontId="18" fillId="8" borderId="43" xfId="4" applyFont="1" applyFill="1" applyBorder="1" applyAlignment="1">
      <alignment horizontal="center" vertical="center"/>
    </xf>
    <xf numFmtId="0" fontId="17" fillId="8" borderId="25" xfId="4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76" xfId="0" applyFont="1" applyFill="1" applyBorder="1" applyAlignment="1">
      <alignment vertical="center"/>
    </xf>
    <xf numFmtId="3" fontId="7" fillId="8" borderId="76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77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0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0" borderId="25" xfId="112" applyFont="1" applyFill="1" applyBorder="1" applyAlignment="1">
      <alignment horizontal="left" vertical="center"/>
    </xf>
    <xf numFmtId="0" fontId="28" fillId="50" borderId="22" xfId="112" quotePrefix="1" applyFont="1" applyFill="1" applyBorder="1" applyAlignment="1">
      <alignment horizontal="center" vertical="center"/>
    </xf>
    <xf numFmtId="3" fontId="27" fillId="50" borderId="23" xfId="112" quotePrefix="1" applyNumberFormat="1" applyFont="1" applyFill="1" applyBorder="1" applyAlignment="1">
      <alignment horizontal="right" vertical="center"/>
    </xf>
    <xf numFmtId="3" fontId="29" fillId="8" borderId="124" xfId="4" applyNumberFormat="1" applyFont="1" applyFill="1" applyBorder="1" applyAlignment="1">
      <alignment vertical="center" wrapText="1"/>
    </xf>
    <xf numFmtId="3" fontId="29" fillId="8" borderId="112" xfId="4" applyNumberFormat="1" applyFont="1" applyFill="1" applyBorder="1" applyAlignment="1">
      <alignment vertical="center" wrapText="1"/>
    </xf>
    <xf numFmtId="3" fontId="27" fillId="8" borderId="119" xfId="112" applyNumberFormat="1" applyFont="1" applyFill="1" applyBorder="1" applyAlignment="1">
      <alignment vertical="center"/>
    </xf>
    <xf numFmtId="3" fontId="27" fillId="23" borderId="119" xfId="112" applyNumberFormat="1" applyFont="1" applyFill="1" applyBorder="1" applyAlignment="1">
      <alignment vertical="center"/>
    </xf>
    <xf numFmtId="3" fontId="7" fillId="8" borderId="124" xfId="4" applyNumberFormat="1" applyFont="1" applyFill="1" applyBorder="1" applyAlignment="1">
      <alignment vertical="center" wrapText="1"/>
    </xf>
    <xf numFmtId="3" fontId="7" fillId="8" borderId="112" xfId="4" applyNumberFormat="1" applyFont="1" applyFill="1" applyBorder="1" applyAlignment="1">
      <alignment vertical="center" wrapText="1"/>
    </xf>
    <xf numFmtId="3" fontId="7" fillId="8" borderId="119" xfId="112" applyNumberFormat="1" applyFont="1" applyFill="1" applyBorder="1" applyAlignment="1">
      <alignment vertical="center"/>
    </xf>
    <xf numFmtId="0" fontId="29" fillId="8" borderId="124" xfId="4" applyFont="1" applyFill="1" applyBorder="1" applyAlignment="1">
      <alignment vertical="center"/>
    </xf>
    <xf numFmtId="0" fontId="29" fillId="8" borderId="112" xfId="4" applyFont="1" applyFill="1" applyBorder="1" applyAlignment="1">
      <alignment vertical="center"/>
    </xf>
    <xf numFmtId="0" fontId="7" fillId="8" borderId="112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76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9" fillId="2" borderId="124" xfId="4" applyNumberFormat="1" applyFont="1" applyFill="1" applyBorder="1" applyAlignment="1">
      <alignment vertical="center" wrapText="1"/>
    </xf>
    <xf numFmtId="0" fontId="7" fillId="0" borderId="124" xfId="4" applyFont="1" applyFill="1" applyBorder="1" applyAlignment="1">
      <alignment vertical="center"/>
    </xf>
    <xf numFmtId="0" fontId="29" fillId="2" borderId="124" xfId="4" applyFont="1" applyFill="1" applyBorder="1" applyAlignment="1">
      <alignment vertical="center"/>
    </xf>
    <xf numFmtId="0" fontId="31" fillId="0" borderId="125" xfId="4" applyFont="1" applyFill="1" applyBorder="1" applyAlignment="1">
      <alignment vertical="center"/>
    </xf>
    <xf numFmtId="3" fontId="24" fillId="6" borderId="121" xfId="4" applyNumberFormat="1" applyFont="1" applyFill="1" applyBorder="1" applyAlignment="1">
      <alignment vertical="center"/>
    </xf>
    <xf numFmtId="3" fontId="27" fillId="2" borderId="121" xfId="4" applyNumberFormat="1" applyFont="1" applyFill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31" xfId="4" applyFont="1" applyFill="1" applyBorder="1" applyAlignment="1">
      <alignment vertical="center"/>
    </xf>
    <xf numFmtId="0" fontId="27" fillId="50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64" xfId="0" applyFont="1" applyBorder="1" applyAlignment="1">
      <alignment vertical="center"/>
    </xf>
    <xf numFmtId="3" fontId="18" fillId="8" borderId="65" xfId="4" applyNumberFormat="1" applyFont="1" applyFill="1" applyBorder="1" applyAlignment="1">
      <alignment vertical="center" wrapText="1"/>
    </xf>
    <xf numFmtId="0" fontId="27" fillId="50" borderId="65" xfId="0" applyFont="1" applyFill="1" applyBorder="1" applyAlignment="1">
      <alignment horizontal="left" vertical="center"/>
    </xf>
    <xf numFmtId="0" fontId="28" fillId="50" borderId="6" xfId="0" quotePrefix="1" applyFont="1" applyFill="1" applyBorder="1" applyAlignment="1">
      <alignment horizontal="center" vertical="center"/>
    </xf>
    <xf numFmtId="3" fontId="27" fillId="50" borderId="27" xfId="0" quotePrefix="1" applyNumberFormat="1" applyFont="1" applyFill="1" applyBorder="1" applyAlignment="1">
      <alignment horizontal="right" vertical="center"/>
    </xf>
    <xf numFmtId="3" fontId="24" fillId="6" borderId="68" xfId="4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78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0" fontId="29" fillId="2" borderId="32" xfId="4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0" fontId="31" fillId="0" borderId="78" xfId="4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5" xfId="4" applyNumberFormat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5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3" fontId="27" fillId="2" borderId="153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3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69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2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0" borderId="20" xfId="0" quotePrefix="1" applyFont="1" applyFill="1" applyBorder="1" applyAlignment="1">
      <alignment horizontal="center" vertical="center"/>
    </xf>
    <xf numFmtId="3" fontId="27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31" fillId="0" borderId="152" xfId="4" applyNumberFormat="1" applyFont="1" applyFill="1" applyBorder="1" applyAlignment="1">
      <alignment vertical="center"/>
    </xf>
    <xf numFmtId="3" fontId="29" fillId="50" borderId="27" xfId="4" applyNumberFormat="1" applyFont="1" applyFill="1" applyBorder="1" applyAlignment="1">
      <alignment horizontal="right" vertical="center"/>
    </xf>
    <xf numFmtId="3" fontId="31" fillId="0" borderId="114" xfId="4" applyNumberFormat="1" applyFont="1" applyFill="1" applyBorder="1" applyAlignment="1">
      <alignment vertical="center"/>
    </xf>
    <xf numFmtId="3" fontId="31" fillId="0" borderId="129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29" fillId="50" borderId="17" xfId="4" applyNumberFormat="1" applyFont="1" applyFill="1" applyBorder="1" applyAlignment="1">
      <alignment horizontal="right" vertical="center"/>
    </xf>
    <xf numFmtId="3" fontId="29" fillId="50" borderId="23" xfId="112" quotePrefix="1" applyNumberFormat="1" applyFont="1" applyFill="1" applyBorder="1" applyAlignment="1">
      <alignment horizontal="right" vertical="center"/>
    </xf>
    <xf numFmtId="3" fontId="31" fillId="0" borderId="154" xfId="4" applyNumberFormat="1" applyFont="1" applyFill="1" applyBorder="1" applyAlignment="1">
      <alignment vertical="center"/>
    </xf>
    <xf numFmtId="3" fontId="25" fillId="6" borderId="121" xfId="0" applyNumberFormat="1" applyFont="1" applyFill="1" applyBorder="1" applyAlignment="1">
      <alignment vertical="top"/>
    </xf>
    <xf numFmtId="3" fontId="25" fillId="22" borderId="121" xfId="0" applyNumberFormat="1" applyFont="1" applyFill="1" applyBorder="1" applyAlignment="1">
      <alignment vertical="top"/>
    </xf>
    <xf numFmtId="3" fontId="27" fillId="2" borderId="121" xfId="0" applyNumberFormat="1" applyFont="1" applyFill="1" applyBorder="1" applyAlignment="1">
      <alignment vertical="top"/>
    </xf>
    <xf numFmtId="3" fontId="27" fillId="0" borderId="121" xfId="0" applyNumberFormat="1" applyFont="1" applyFill="1" applyBorder="1" applyAlignment="1">
      <alignment vertical="top"/>
    </xf>
    <xf numFmtId="3" fontId="24" fillId="22" borderId="152" xfId="4" applyNumberFormat="1" applyFont="1" applyFill="1" applyBorder="1" applyAlignment="1">
      <alignment horizontal="right" vertical="center"/>
    </xf>
    <xf numFmtId="3" fontId="25" fillId="22" borderId="152" xfId="4" applyNumberFormat="1" applyFont="1" applyFill="1" applyBorder="1" applyAlignment="1">
      <alignment horizontal="right" vertical="center"/>
    </xf>
    <xf numFmtId="3" fontId="33" fillId="0" borderId="152" xfId="6" applyNumberFormat="1" applyFont="1" applyFill="1" applyBorder="1" applyAlignment="1">
      <alignment vertical="center"/>
    </xf>
    <xf numFmtId="3" fontId="31" fillId="0" borderId="153" xfId="4" applyNumberFormat="1" applyFont="1" applyFill="1" applyBorder="1" applyAlignment="1">
      <alignment vertical="center"/>
    </xf>
    <xf numFmtId="3" fontId="25" fillId="6" borderId="153" xfId="4" applyNumberFormat="1" applyFont="1" applyFill="1" applyBorder="1" applyAlignment="1">
      <alignment horizontal="right" vertical="center"/>
    </xf>
    <xf numFmtId="43" fontId="7" fillId="0" borderId="153" xfId="1" applyFont="1" applyFill="1" applyBorder="1" applyAlignment="1">
      <alignment horizontal="right" vertical="center"/>
    </xf>
    <xf numFmtId="0" fontId="27" fillId="2" borderId="117" xfId="4" applyFont="1" applyFill="1" applyBorder="1" applyAlignment="1">
      <alignment vertical="center"/>
    </xf>
    <xf numFmtId="43" fontId="33" fillId="0" borderId="153" xfId="1" applyFont="1" applyFill="1" applyBorder="1" applyAlignment="1">
      <alignment vertical="center"/>
    </xf>
    <xf numFmtId="3" fontId="27" fillId="2" borderId="158" xfId="4" applyNumberFormat="1" applyFont="1" applyFill="1" applyBorder="1" applyAlignment="1">
      <alignment vertical="center" wrapText="1"/>
    </xf>
    <xf numFmtId="0" fontId="7" fillId="0" borderId="131" xfId="4" applyFont="1" applyFill="1" applyBorder="1" applyAlignment="1">
      <alignment vertical="center"/>
    </xf>
    <xf numFmtId="0" fontId="31" fillId="0" borderId="117" xfId="4" applyFont="1" applyFill="1" applyBorder="1" applyAlignment="1">
      <alignment vertical="center"/>
    </xf>
    <xf numFmtId="43" fontId="33" fillId="0" borderId="152" xfId="1" applyFont="1" applyFill="1" applyBorder="1" applyAlignment="1">
      <alignment vertical="center"/>
    </xf>
    <xf numFmtId="43" fontId="7" fillId="0" borderId="114" xfId="1" applyFont="1" applyFill="1" applyBorder="1" applyAlignment="1">
      <alignment horizontal="right" vertical="center"/>
    </xf>
    <xf numFmtId="3" fontId="7" fillId="0" borderId="154" xfId="4" applyNumberFormat="1" applyFont="1" applyFill="1" applyBorder="1" applyAlignment="1">
      <alignment horizontal="right" vertical="center"/>
    </xf>
    <xf numFmtId="43" fontId="31" fillId="0" borderId="129" xfId="1" applyFont="1" applyFill="1" applyBorder="1" applyAlignment="1">
      <alignment horizontal="right" vertical="center"/>
    </xf>
    <xf numFmtId="3" fontId="27" fillId="2" borderId="161" xfId="4" applyNumberFormat="1" applyFont="1" applyFill="1" applyBorder="1" applyAlignment="1">
      <alignment vertical="center" wrapText="1"/>
    </xf>
    <xf numFmtId="3" fontId="37" fillId="0" borderId="0" xfId="0" applyNumberFormat="1" applyFont="1" applyAlignment="1">
      <alignment vertical="center"/>
    </xf>
    <xf numFmtId="0" fontId="7" fillId="8" borderId="74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58" xfId="4" applyFont="1" applyFill="1" applyBorder="1" applyAlignment="1">
      <alignment horizontal="left" vertical="center"/>
    </xf>
    <xf numFmtId="3" fontId="29" fillId="13" borderId="153" xfId="4" applyNumberFormat="1" applyFont="1" applyFill="1" applyBorder="1" applyAlignment="1">
      <alignment horizontal="right" vertical="center"/>
    </xf>
    <xf numFmtId="3" fontId="7" fillId="13" borderId="153" xfId="4" applyNumberFormat="1" applyFont="1" applyFill="1" applyBorder="1" applyAlignment="1">
      <alignment horizontal="right" vertical="center"/>
    </xf>
    <xf numFmtId="0" fontId="29" fillId="13" borderId="158" xfId="4" applyFont="1" applyFill="1" applyBorder="1" applyAlignment="1">
      <alignment vertical="center"/>
    </xf>
    <xf numFmtId="0" fontId="29" fillId="13" borderId="157" xfId="4" applyFont="1" applyFill="1" applyBorder="1" applyAlignment="1">
      <alignment vertical="center"/>
    </xf>
    <xf numFmtId="3" fontId="27" fillId="13" borderId="153" xfId="4" applyNumberFormat="1" applyFont="1" applyFill="1" applyBorder="1" applyAlignment="1">
      <alignment horizontal="right" vertical="center"/>
    </xf>
    <xf numFmtId="0" fontId="31" fillId="6" borderId="153" xfId="0" applyFont="1" applyFill="1" applyBorder="1" applyAlignment="1">
      <alignment vertical="top"/>
    </xf>
    <xf numFmtId="3" fontId="27" fillId="2" borderId="153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62" xfId="4" applyNumberFormat="1" applyFont="1" applyFill="1" applyBorder="1" applyAlignment="1">
      <alignment horizontal="right" vertical="center"/>
    </xf>
    <xf numFmtId="3" fontId="29" fillId="8" borderId="153" xfId="4" applyNumberFormat="1" applyFont="1" applyFill="1" applyBorder="1" applyAlignment="1">
      <alignment vertical="center"/>
    </xf>
    <xf numFmtId="3" fontId="7" fillId="8" borderId="153" xfId="4" applyNumberFormat="1" applyFont="1" applyFill="1" applyBorder="1" applyAlignment="1">
      <alignment vertical="center"/>
    </xf>
    <xf numFmtId="0" fontId="7" fillId="8" borderId="117" xfId="4" applyFont="1" applyFill="1" applyBorder="1" applyAlignment="1">
      <alignment vertical="center" wrapText="1"/>
    </xf>
    <xf numFmtId="3" fontId="27" fillId="8" borderId="153" xfId="4" applyNumberFormat="1" applyFont="1" applyFill="1" applyBorder="1" applyAlignment="1">
      <alignment vertical="center"/>
    </xf>
    <xf numFmtId="0" fontId="21" fillId="2" borderId="157" xfId="0" applyFont="1" applyFill="1" applyBorder="1" applyAlignment="1">
      <alignment horizontal="center" vertical="top"/>
    </xf>
    <xf numFmtId="0" fontId="21" fillId="2" borderId="152" xfId="0" applyFont="1" applyFill="1" applyBorder="1" applyAlignment="1">
      <alignment horizontal="center" vertical="top"/>
    </xf>
    <xf numFmtId="0" fontId="21" fillId="2" borderId="152" xfId="0" quotePrefix="1" applyFont="1" applyFill="1" applyBorder="1" applyAlignment="1">
      <alignment horizontal="center" vertical="top"/>
    </xf>
    <xf numFmtId="0" fontId="21" fillId="26" borderId="152" xfId="0" quotePrefix="1" applyFont="1" applyFill="1" applyBorder="1" applyAlignment="1">
      <alignment horizontal="center" vertical="top"/>
    </xf>
    <xf numFmtId="0" fontId="21" fillId="2" borderId="155" xfId="0" quotePrefix="1" applyFont="1" applyFill="1" applyBorder="1" applyAlignment="1">
      <alignment horizontal="center" vertical="top"/>
    </xf>
    <xf numFmtId="0" fontId="34" fillId="0" borderId="51" xfId="0" applyFont="1" applyFill="1" applyBorder="1" applyAlignment="1">
      <alignment vertical="top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2" borderId="38" xfId="0" applyFont="1" applyFill="1" applyBorder="1" applyAlignment="1">
      <alignment vertical="center"/>
    </xf>
    <xf numFmtId="3" fontId="62" fillId="52" borderId="39" xfId="0" applyNumberFormat="1" applyFont="1" applyFill="1" applyBorder="1" applyAlignment="1">
      <alignment vertical="center" wrapText="1"/>
    </xf>
    <xf numFmtId="3" fontId="62" fillId="52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3" fontId="62" fillId="52" borderId="12" xfId="0" applyNumberFormat="1" applyFont="1" applyFill="1" applyBorder="1" applyAlignment="1">
      <alignment vertical="center" wrapText="1"/>
    </xf>
    <xf numFmtId="3" fontId="62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65" fillId="8" borderId="35" xfId="0" applyNumberFormat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3" fontId="62" fillId="2" borderId="0" xfId="0" applyNumberFormat="1" applyFont="1" applyFill="1" applyBorder="1" applyAlignment="1">
      <alignment vertical="center" wrapText="1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3" fontId="62" fillId="13" borderId="57" xfId="0" applyNumberFormat="1" applyFont="1" applyFill="1" applyBorder="1" applyAlignment="1">
      <alignment vertical="center" wrapText="1"/>
    </xf>
    <xf numFmtId="3" fontId="62" fillId="13" borderId="58" xfId="0" applyNumberFormat="1" applyFont="1" applyFill="1" applyBorder="1" applyAlignment="1">
      <alignment horizontal="center"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3" fontId="62" fillId="13" borderId="74" xfId="0" applyNumberFormat="1" applyFont="1" applyFill="1" applyBorder="1" applyAlignment="1">
      <alignment horizontal="center" vertical="center" wrapText="1"/>
    </xf>
    <xf numFmtId="3" fontId="62" fillId="13" borderId="0" xfId="0" applyNumberFormat="1" applyFont="1" applyFill="1" applyBorder="1" applyAlignment="1">
      <alignment vertical="center" wrapText="1"/>
    </xf>
    <xf numFmtId="3" fontId="62" fillId="0" borderId="0" xfId="0" applyNumberFormat="1" applyFont="1" applyFill="1" applyBorder="1" applyAlignment="1">
      <alignment vertical="center" wrapText="1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4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5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0" fontId="7" fillId="6" borderId="37" xfId="0" applyFont="1" applyFill="1" applyBorder="1" applyAlignment="1">
      <alignment vertical="center" wrapText="1"/>
    </xf>
    <xf numFmtId="3" fontId="76" fillId="12" borderId="0" xfId="0" applyNumberFormat="1" applyFont="1" applyFill="1" applyBorder="1" applyAlignment="1">
      <alignment vertical="center"/>
    </xf>
    <xf numFmtId="3" fontId="76" fillId="8" borderId="0" xfId="0" applyNumberFormat="1" applyFont="1" applyFill="1" applyBorder="1"/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35" xfId="0" applyNumberFormat="1" applyFont="1" applyFill="1" applyBorder="1"/>
    <xf numFmtId="3" fontId="36" fillId="6" borderId="12" xfId="0" applyNumberFormat="1" applyFont="1" applyFill="1" applyBorder="1"/>
    <xf numFmtId="3" fontId="76" fillId="12" borderId="0" xfId="0" applyNumberFormat="1" applyFont="1" applyFill="1" applyBorder="1"/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130" xfId="0" applyNumberFormat="1" applyFont="1" applyFill="1" applyBorder="1"/>
    <xf numFmtId="3" fontId="77" fillId="17" borderId="0" xfId="0" applyNumberFormat="1" applyFont="1" applyFill="1" applyBorder="1"/>
    <xf numFmtId="3" fontId="77" fillId="8" borderId="0" xfId="0" applyNumberFormat="1" applyFont="1" applyFill="1" applyBorder="1"/>
    <xf numFmtId="3" fontId="19" fillId="8" borderId="0" xfId="0" applyNumberFormat="1" applyFont="1" applyFill="1" applyBorder="1"/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0" xfId="0" applyNumberFormat="1" applyFont="1" applyFill="1" applyBorder="1"/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3" fontId="6" fillId="11" borderId="0" xfId="0" applyNumberFormat="1" applyFont="1" applyFill="1" applyBorder="1"/>
    <xf numFmtId="0" fontId="7" fillId="11" borderId="37" xfId="0" applyFont="1" applyFill="1" applyBorder="1" applyAlignment="1">
      <alignment vertical="center" wrapText="1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3" fontId="76" fillId="2" borderId="0" xfId="0" applyNumberFormat="1" applyFont="1" applyFill="1" applyBorder="1" applyAlignment="1">
      <alignment vertical="top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43" fontId="8" fillId="11" borderId="0" xfId="1" applyFont="1" applyFill="1" applyBorder="1"/>
    <xf numFmtId="3" fontId="8" fillId="18" borderId="24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61" xfId="4" applyNumberFormat="1" applyFont="1" applyFill="1" applyBorder="1" applyAlignment="1">
      <alignment vertical="center" wrapText="1"/>
    </xf>
    <xf numFmtId="0" fontId="7" fillId="0" borderId="161" xfId="4" applyFont="1" applyFill="1" applyBorder="1" applyAlignment="1">
      <alignment vertical="center"/>
    </xf>
    <xf numFmtId="0" fontId="29" fillId="2" borderId="161" xfId="4" applyFont="1" applyFill="1" applyBorder="1" applyAlignment="1">
      <alignment vertical="center"/>
    </xf>
    <xf numFmtId="0" fontId="7" fillId="0" borderId="159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27" fillId="50" borderId="9" xfId="1" applyFont="1" applyFill="1" applyBorder="1" applyAlignment="1">
      <alignment horizontal="right" vertical="center"/>
    </xf>
    <xf numFmtId="0" fontId="27" fillId="50" borderId="117" xfId="0" applyFont="1" applyFill="1" applyBorder="1" applyAlignment="1">
      <alignment horizontal="left" vertical="top"/>
    </xf>
    <xf numFmtId="0" fontId="7" fillId="8" borderId="117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3" fontId="7" fillId="0" borderId="12" xfId="4" applyNumberFormat="1" applyFont="1" applyFill="1" applyBorder="1" applyAlignment="1">
      <alignment vertical="top"/>
    </xf>
    <xf numFmtId="3" fontId="7" fillId="0" borderId="72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30" xfId="1" applyFont="1" applyFill="1" applyBorder="1" applyAlignment="1">
      <alignment vertical="top"/>
    </xf>
    <xf numFmtId="3" fontId="7" fillId="0" borderId="130" xfId="4" applyNumberFormat="1" applyFont="1" applyFill="1" applyBorder="1" applyAlignment="1">
      <alignment vertical="top"/>
    </xf>
    <xf numFmtId="3" fontId="27" fillId="0" borderId="154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8" fillId="54" borderId="123" xfId="0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3" fontId="7" fillId="0" borderId="63" xfId="0" applyNumberFormat="1" applyFont="1" applyFill="1" applyBorder="1" applyAlignment="1">
      <alignment horizontal="right" vertical="center"/>
    </xf>
    <xf numFmtId="3" fontId="31" fillId="50" borderId="35" xfId="0" applyNumberFormat="1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vertical="top"/>
    </xf>
    <xf numFmtId="3" fontId="28" fillId="55" borderId="35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horizontal="right" vertical="center"/>
    </xf>
    <xf numFmtId="3" fontId="28" fillId="54" borderId="9" xfId="0" applyNumberFormat="1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 vertical="center"/>
    </xf>
    <xf numFmtId="3" fontId="28" fillId="0" borderId="114" xfId="0" applyNumberFormat="1" applyFont="1" applyFill="1" applyBorder="1" applyAlignment="1">
      <alignment vertical="center"/>
    </xf>
    <xf numFmtId="0" fontId="26" fillId="0" borderId="41" xfId="0" applyFont="1" applyBorder="1" applyAlignment="1"/>
    <xf numFmtId="0" fontId="27" fillId="50" borderId="8" xfId="4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right" vertical="center"/>
    </xf>
    <xf numFmtId="0" fontId="27" fillId="50" borderId="0" xfId="4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right" vertical="center"/>
    </xf>
    <xf numFmtId="0" fontId="27" fillId="50" borderId="66" xfId="0" applyFont="1" applyFill="1" applyBorder="1" applyAlignment="1">
      <alignment horizontal="left" vertical="center"/>
    </xf>
    <xf numFmtId="3" fontId="27" fillId="50" borderId="22" xfId="0" quotePrefix="1" applyNumberFormat="1" applyFont="1" applyFill="1" applyBorder="1" applyAlignment="1">
      <alignment horizontal="right" vertical="center"/>
    </xf>
    <xf numFmtId="0" fontId="29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4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43" fontId="7" fillId="0" borderId="154" xfId="1" applyFont="1" applyFill="1" applyBorder="1" applyAlignment="1">
      <alignment horizontal="right" vertical="center"/>
    </xf>
    <xf numFmtId="43" fontId="27" fillId="8" borderId="119" xfId="1" applyFont="1" applyFill="1" applyBorder="1" applyAlignment="1">
      <alignment vertical="center"/>
    </xf>
    <xf numFmtId="43" fontId="31" fillId="28" borderId="119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top"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37" fillId="0" borderId="168" xfId="0" applyNumberFormat="1" applyFont="1" applyBorder="1" applyAlignment="1">
      <alignment vertical="center"/>
    </xf>
    <xf numFmtId="0" fontId="39" fillId="0" borderId="168" xfId="0" applyFont="1" applyBorder="1" applyAlignment="1">
      <alignment vertical="center"/>
    </xf>
    <xf numFmtId="3" fontId="39" fillId="0" borderId="168" xfId="0" applyNumberFormat="1" applyFont="1" applyBorder="1" applyAlignment="1">
      <alignment vertical="center"/>
    </xf>
    <xf numFmtId="0" fontId="18" fillId="0" borderId="168" xfId="0" applyFont="1" applyBorder="1" applyAlignment="1">
      <alignment vertical="top"/>
    </xf>
    <xf numFmtId="3" fontId="37" fillId="0" borderId="168" xfId="0" applyNumberFormat="1" applyFont="1" applyBorder="1"/>
    <xf numFmtId="3" fontId="8" fillId="0" borderId="168" xfId="0" applyNumberFormat="1" applyFont="1" applyBorder="1" applyAlignment="1">
      <alignment vertical="top"/>
    </xf>
    <xf numFmtId="0" fontId="37" fillId="0" borderId="168" xfId="0" applyFont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3" fontId="74" fillId="2" borderId="0" xfId="0" applyNumberFormat="1" applyFont="1" applyFill="1" applyBorder="1" applyAlignment="1">
      <alignment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6" xfId="4" applyFont="1" applyFill="1" applyBorder="1" applyAlignment="1">
      <alignment vertical="center" wrapText="1"/>
    </xf>
    <xf numFmtId="0" fontId="24" fillId="8" borderId="68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21" xfId="0" applyNumberFormat="1" applyFont="1" applyFill="1" applyBorder="1" applyAlignment="1">
      <alignment vertical="top"/>
    </xf>
    <xf numFmtId="0" fontId="31" fillId="0" borderId="117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7" fillId="8" borderId="153" xfId="4" applyFont="1" applyFill="1" applyBorder="1" applyAlignment="1">
      <alignment horizontal="left" vertical="center"/>
    </xf>
    <xf numFmtId="0" fontId="7" fillId="8" borderId="153" xfId="4" applyFont="1" applyFill="1" applyBorder="1" applyAlignment="1">
      <alignment vertical="top"/>
    </xf>
    <xf numFmtId="3" fontId="32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53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53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63" fillId="53" borderId="117" xfId="0" applyFont="1" applyFill="1" applyBorder="1"/>
    <xf numFmtId="0" fontId="31" fillId="50" borderId="117" xfId="4" applyFont="1" applyFill="1" applyBorder="1" applyAlignment="1">
      <alignment horizontal="left" vertical="center"/>
    </xf>
    <xf numFmtId="0" fontId="63" fillId="51" borderId="117" xfId="0" applyFont="1" applyFill="1" applyBorder="1" applyAlignment="1">
      <alignment vertical="center"/>
    </xf>
    <xf numFmtId="3" fontId="31" fillId="0" borderId="168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117" xfId="4" applyFont="1" applyFill="1" applyBorder="1" applyAlignment="1">
      <alignment horizontal="left" vertical="center"/>
    </xf>
    <xf numFmtId="0" fontId="31" fillId="6" borderId="100" xfId="0" applyFont="1" applyFill="1" applyBorder="1" applyAlignment="1">
      <alignment vertical="top"/>
    </xf>
    <xf numFmtId="0" fontId="31" fillId="0" borderId="102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3" fontId="27" fillId="2" borderId="107" xfId="4" applyNumberFormat="1" applyFont="1" applyFill="1" applyBorder="1" applyAlignment="1">
      <alignment vertical="center" wrapText="1"/>
    </xf>
    <xf numFmtId="0" fontId="27" fillId="2" borderId="103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31" fillId="8" borderId="114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3" fontId="27" fillId="25" borderId="119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18" fillId="8" borderId="76" xfId="0" applyFont="1" applyFill="1" applyBorder="1" applyAlignment="1">
      <alignment vertical="center"/>
    </xf>
    <xf numFmtId="3" fontId="18" fillId="23" borderId="68" xfId="0" applyNumberFormat="1" applyFont="1" applyFill="1" applyBorder="1" applyAlignment="1">
      <alignment vertical="center"/>
    </xf>
    <xf numFmtId="43" fontId="27" fillId="0" borderId="153" xfId="1" applyFont="1" applyFill="1" applyBorder="1" applyAlignment="1">
      <alignment vertical="center"/>
    </xf>
    <xf numFmtId="0" fontId="30" fillId="8" borderId="5" xfId="0" applyFont="1" applyFill="1" applyBorder="1" applyAlignment="1">
      <alignment vertical="top"/>
    </xf>
    <xf numFmtId="3" fontId="27" fillId="50" borderId="18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52" xfId="0" applyNumberFormat="1" applyFont="1" applyFill="1" applyBorder="1" applyAlignment="1">
      <alignment vertical="center"/>
    </xf>
    <xf numFmtId="3" fontId="31" fillId="25" borderId="155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55" xfId="0" applyNumberFormat="1" applyFont="1" applyFill="1" applyBorder="1" applyAlignment="1">
      <alignment vertical="top"/>
    </xf>
    <xf numFmtId="0" fontId="57" fillId="8" borderId="65" xfId="0" applyFont="1" applyFill="1" applyBorder="1" applyAlignment="1">
      <alignment horizontal="center" vertical="top" wrapText="1"/>
    </xf>
    <xf numFmtId="0" fontId="31" fillId="8" borderId="117" xfId="0" applyFont="1" applyFill="1" applyBorder="1" applyAlignment="1">
      <alignment vertical="center" wrapText="1"/>
    </xf>
    <xf numFmtId="0" fontId="57" fillId="8" borderId="65" xfId="0" applyFont="1" applyFill="1" applyBorder="1" applyAlignment="1">
      <alignment horizontal="center" vertical="center" wrapText="1"/>
    </xf>
    <xf numFmtId="3" fontId="7" fillId="23" borderId="155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27" xfId="4" applyFont="1" applyFill="1" applyBorder="1" applyAlignment="1">
      <alignment vertical="top" wrapText="1"/>
    </xf>
    <xf numFmtId="0" fontId="31" fillId="8" borderId="157" xfId="0" applyFont="1" applyFill="1" applyBorder="1" applyAlignment="1">
      <alignment vertical="top" wrapText="1"/>
    </xf>
    <xf numFmtId="3" fontId="31" fillId="8" borderId="120" xfId="0" applyNumberFormat="1" applyFont="1" applyFill="1" applyBorder="1" applyAlignment="1">
      <alignment vertical="top"/>
    </xf>
    <xf numFmtId="0" fontId="18" fillId="8" borderId="65" xfId="0" applyFont="1" applyFill="1" applyBorder="1" applyAlignment="1">
      <alignment horizontal="center" vertical="top" wrapText="1"/>
    </xf>
    <xf numFmtId="0" fontId="18" fillId="8" borderId="65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43" fontId="25" fillId="6" borderId="152" xfId="1" applyFont="1" applyFill="1" applyBorder="1" applyAlignment="1"/>
    <xf numFmtId="3" fontId="25" fillId="22" borderId="155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3" fontId="31" fillId="25" borderId="155" xfId="0" applyNumberFormat="1" applyFont="1" applyFill="1" applyBorder="1" applyAlignment="1">
      <alignment vertical="top"/>
    </xf>
    <xf numFmtId="3" fontId="31" fillId="0" borderId="121" xfId="4" applyNumberFormat="1" applyFont="1" applyFill="1" applyBorder="1" applyAlignment="1"/>
    <xf numFmtId="3" fontId="27" fillId="2" borderId="152" xfId="0" applyNumberFormat="1" applyFont="1" applyFill="1" applyBorder="1" applyAlignment="1">
      <alignment vertical="center"/>
    </xf>
    <xf numFmtId="3" fontId="31" fillId="0" borderId="154" xfId="0" applyNumberFormat="1" applyFont="1" applyFill="1" applyBorder="1" applyAlignment="1">
      <alignment vertical="center"/>
    </xf>
    <xf numFmtId="43" fontId="27" fillId="2" borderId="152" xfId="1" applyFont="1" applyFill="1" applyBorder="1" applyAlignment="1">
      <alignment vertical="center"/>
    </xf>
    <xf numFmtId="3" fontId="27" fillId="2" borderId="163" xfId="0" applyNumberFormat="1" applyFont="1" applyFill="1" applyBorder="1" applyAlignment="1">
      <alignment vertical="center"/>
    </xf>
    <xf numFmtId="3" fontId="31" fillId="0" borderId="16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52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52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3" fontId="25" fillId="8" borderId="15" xfId="0" applyNumberFormat="1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3" fontId="34" fillId="2" borderId="51" xfId="0" applyNumberFormat="1" applyFont="1" applyFill="1" applyBorder="1" applyAlignment="1">
      <alignment vertical="top"/>
    </xf>
    <xf numFmtId="43" fontId="7" fillId="8" borderId="76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69" xfId="4" applyNumberFormat="1" applyFont="1" applyFill="1" applyBorder="1" applyAlignment="1">
      <alignment vertical="center"/>
    </xf>
    <xf numFmtId="3" fontId="24" fillId="6" borderId="172" xfId="4" applyNumberFormat="1" applyFont="1" applyFill="1" applyBorder="1" applyAlignment="1">
      <alignment horizontal="right" vertical="center"/>
    </xf>
    <xf numFmtId="3" fontId="25" fillId="6" borderId="172" xfId="4" applyNumberFormat="1" applyFont="1" applyFill="1" applyBorder="1" applyAlignment="1">
      <alignment horizontal="right" vertical="center"/>
    </xf>
    <xf numFmtId="3" fontId="25" fillId="22" borderId="172" xfId="4" applyNumberFormat="1" applyFont="1" applyFill="1" applyBorder="1" applyAlignment="1">
      <alignment horizontal="right" vertical="center"/>
    </xf>
    <xf numFmtId="3" fontId="27" fillId="0" borderId="172" xfId="4" applyNumberFormat="1" applyFont="1" applyFill="1" applyBorder="1" applyAlignment="1">
      <alignment horizontal="right" vertical="center"/>
    </xf>
    <xf numFmtId="3" fontId="31" fillId="0" borderId="172" xfId="4" applyNumberFormat="1" applyFont="1" applyFill="1" applyBorder="1" applyAlignment="1">
      <alignment horizontal="right" vertical="center"/>
    </xf>
    <xf numFmtId="3" fontId="32" fillId="0" borderId="172" xfId="6" applyNumberFormat="1" applyFont="1" applyFill="1" applyBorder="1" applyAlignment="1">
      <alignment vertical="center"/>
    </xf>
    <xf numFmtId="3" fontId="33" fillId="0" borderId="172" xfId="6" applyNumberFormat="1" applyFont="1" applyFill="1" applyBorder="1" applyAlignment="1">
      <alignment vertical="center"/>
    </xf>
    <xf numFmtId="0" fontId="31" fillId="6" borderId="170" xfId="0" applyFont="1" applyFill="1" applyBorder="1" applyAlignment="1">
      <alignment vertical="top"/>
    </xf>
    <xf numFmtId="3" fontId="27" fillId="2" borderId="177" xfId="0" applyNumberFormat="1" applyFont="1" applyFill="1" applyBorder="1" applyAlignment="1">
      <alignment vertical="top"/>
    </xf>
    <xf numFmtId="3" fontId="25" fillId="25" borderId="178" xfId="0" applyNumberFormat="1" applyFont="1" applyFill="1" applyBorder="1" applyAlignment="1">
      <alignment vertical="top"/>
    </xf>
    <xf numFmtId="3" fontId="28" fillId="2" borderId="177" xfId="0" applyNumberFormat="1" applyFont="1" applyFill="1" applyBorder="1" applyAlignment="1">
      <alignment vertical="top"/>
    </xf>
    <xf numFmtId="3" fontId="31" fillId="0" borderId="177" xfId="0" applyNumberFormat="1" applyFont="1" applyFill="1" applyBorder="1" applyAlignment="1">
      <alignment vertical="top"/>
    </xf>
    <xf numFmtId="3" fontId="31" fillId="25" borderId="178" xfId="0" applyNumberFormat="1" applyFont="1" applyFill="1" applyBorder="1" applyAlignment="1">
      <alignment vertical="top"/>
    </xf>
    <xf numFmtId="3" fontId="27" fillId="0" borderId="177" xfId="0" applyNumberFormat="1" applyFont="1" applyFill="1" applyBorder="1" applyAlignment="1">
      <alignment vertical="top"/>
    </xf>
    <xf numFmtId="43" fontId="27" fillId="0" borderId="177" xfId="1" applyFont="1" applyFill="1" applyBorder="1" applyAlignment="1">
      <alignment vertical="top"/>
    </xf>
    <xf numFmtId="3" fontId="31" fillId="0" borderId="177" xfId="0" applyNumberFormat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horizontal="right" vertical="center"/>
    </xf>
    <xf numFmtId="0" fontId="7" fillId="6" borderId="179" xfId="0" applyFont="1" applyFill="1" applyBorder="1" applyAlignment="1">
      <alignment horizontal="left" vertical="center" wrapText="1"/>
    </xf>
    <xf numFmtId="3" fontId="25" fillId="6" borderId="177" xfId="0" applyNumberFormat="1" applyFont="1" applyFill="1" applyBorder="1" applyAlignment="1">
      <alignment vertical="top"/>
    </xf>
    <xf numFmtId="3" fontId="27" fillId="2" borderId="180" xfId="4" applyNumberFormat="1" applyFont="1" applyFill="1" applyBorder="1" applyAlignment="1">
      <alignment vertical="center" wrapText="1"/>
    </xf>
    <xf numFmtId="3" fontId="31" fillId="0" borderId="178" xfId="0" applyNumberFormat="1" applyFont="1" applyFill="1" applyBorder="1" applyAlignment="1">
      <alignment vertical="top"/>
    </xf>
    <xf numFmtId="0" fontId="27" fillId="2" borderId="181" xfId="4" applyFont="1" applyFill="1" applyBorder="1" applyAlignment="1">
      <alignment vertical="top"/>
    </xf>
    <xf numFmtId="3" fontId="28" fillId="2" borderId="129" xfId="0" applyNumberFormat="1" applyFont="1" applyFill="1" applyBorder="1" applyAlignment="1">
      <alignment vertical="top"/>
    </xf>
    <xf numFmtId="0" fontId="31" fillId="6" borderId="179" xfId="0" applyFont="1" applyFill="1" applyBorder="1" applyAlignment="1">
      <alignment vertical="top"/>
    </xf>
    <xf numFmtId="3" fontId="25" fillId="6" borderId="177" xfId="0" applyNumberFormat="1" applyFont="1" applyFill="1" applyBorder="1" applyAlignment="1">
      <alignment vertical="center"/>
    </xf>
    <xf numFmtId="3" fontId="25" fillId="22" borderId="178" xfId="0" applyNumberFormat="1" applyFont="1" applyFill="1" applyBorder="1" applyAlignment="1">
      <alignment vertical="center"/>
    </xf>
    <xf numFmtId="3" fontId="27" fillId="32" borderId="177" xfId="0" applyNumberFormat="1" applyFont="1" applyFill="1" applyBorder="1" applyAlignment="1">
      <alignment vertical="center"/>
    </xf>
    <xf numFmtId="3" fontId="27" fillId="25" borderId="178" xfId="0" applyNumberFormat="1" applyFont="1" applyFill="1" applyBorder="1" applyAlignment="1">
      <alignment vertical="center"/>
    </xf>
    <xf numFmtId="3" fontId="31" fillId="2" borderId="177" xfId="0" applyNumberFormat="1" applyFont="1" applyFill="1" applyBorder="1" applyAlignment="1">
      <alignment vertical="top"/>
    </xf>
    <xf numFmtId="3" fontId="25" fillId="32" borderId="177" xfId="0" applyNumberFormat="1" applyFont="1" applyFill="1" applyBorder="1" applyAlignment="1">
      <alignment vertical="top"/>
    </xf>
    <xf numFmtId="3" fontId="27" fillId="25" borderId="178" xfId="0" applyNumberFormat="1" applyFont="1" applyFill="1" applyBorder="1" applyAlignment="1">
      <alignment vertical="top"/>
    </xf>
    <xf numFmtId="3" fontId="28" fillId="52" borderId="177" xfId="0" applyNumberFormat="1" applyFont="1" applyFill="1" applyBorder="1" applyAlignment="1">
      <alignment vertical="top"/>
    </xf>
    <xf numFmtId="3" fontId="28" fillId="53" borderId="177" xfId="0" applyNumberFormat="1" applyFont="1" applyFill="1" applyBorder="1" applyAlignment="1">
      <alignment vertical="top"/>
    </xf>
    <xf numFmtId="3" fontId="31" fillId="0" borderId="177" xfId="4" applyNumberFormat="1" applyFont="1" applyFill="1" applyBorder="1" applyAlignment="1">
      <alignment vertical="center"/>
    </xf>
    <xf numFmtId="3" fontId="28" fillId="54" borderId="177" xfId="0" applyNumberFormat="1" applyFont="1" applyFill="1" applyBorder="1" applyAlignment="1">
      <alignment vertical="top"/>
    </xf>
    <xf numFmtId="3" fontId="28" fillId="50" borderId="177" xfId="0" applyNumberFormat="1" applyFont="1" applyFill="1" applyBorder="1" applyAlignment="1">
      <alignment vertical="top"/>
    </xf>
    <xf numFmtId="43" fontId="28" fillId="25" borderId="178" xfId="1" applyFont="1" applyFill="1" applyBorder="1" applyAlignment="1">
      <alignment vertical="center"/>
    </xf>
    <xf numFmtId="3" fontId="27" fillId="0" borderId="178" xfId="0" applyNumberFormat="1" applyFont="1" applyFill="1" applyBorder="1" applyAlignment="1">
      <alignment vertical="top"/>
    </xf>
    <xf numFmtId="3" fontId="31" fillId="0" borderId="178" xfId="4" applyNumberFormat="1" applyFont="1" applyFill="1" applyBorder="1" applyAlignment="1">
      <alignment vertical="center"/>
    </xf>
    <xf numFmtId="3" fontId="31" fillId="23" borderId="178" xfId="0" applyNumberFormat="1" applyFont="1" applyFill="1" applyBorder="1" applyAlignment="1">
      <alignment vertical="center"/>
    </xf>
    <xf numFmtId="0" fontId="28" fillId="53" borderId="179" xfId="0" applyFont="1" applyFill="1" applyBorder="1" applyAlignment="1">
      <alignment vertical="top"/>
    </xf>
    <xf numFmtId="0" fontId="28" fillId="51" borderId="176" xfId="0" applyFont="1" applyFill="1" applyBorder="1" applyAlignment="1">
      <alignment vertical="center"/>
    </xf>
    <xf numFmtId="3" fontId="28" fillId="51" borderId="177" xfId="0" applyNumberFormat="1" applyFont="1" applyFill="1" applyBorder="1" applyAlignment="1">
      <alignment vertical="center"/>
    </xf>
    <xf numFmtId="0" fontId="28" fillId="54" borderId="179" xfId="0" applyFont="1" applyFill="1" applyBorder="1" applyAlignment="1">
      <alignment vertical="top"/>
    </xf>
    <xf numFmtId="0" fontId="28" fillId="54" borderId="176" xfId="0" applyFont="1" applyFill="1" applyBorder="1" applyAlignment="1">
      <alignment vertical="top"/>
    </xf>
    <xf numFmtId="0" fontId="31" fillId="50" borderId="176" xfId="0" applyFont="1" applyFill="1" applyBorder="1" applyAlignment="1">
      <alignment vertical="top"/>
    </xf>
    <xf numFmtId="0" fontId="31" fillId="50" borderId="179" xfId="0" applyFont="1" applyFill="1" applyBorder="1" applyAlignment="1">
      <alignment vertical="top"/>
    </xf>
    <xf numFmtId="3" fontId="25" fillId="6" borderId="178" xfId="0" applyNumberFormat="1" applyFont="1" applyFill="1" applyBorder="1" applyAlignment="1">
      <alignment vertical="center"/>
    </xf>
    <xf numFmtId="0" fontId="27" fillId="2" borderId="182" xfId="4" applyFont="1" applyFill="1" applyBorder="1" applyAlignment="1">
      <alignment vertical="top"/>
    </xf>
    <xf numFmtId="0" fontId="31" fillId="6" borderId="179" xfId="0" applyFont="1" applyFill="1" applyBorder="1" applyAlignment="1">
      <alignment vertical="center"/>
    </xf>
    <xf numFmtId="3" fontId="25" fillId="22" borderId="177" xfId="0" applyNumberFormat="1" applyFont="1" applyFill="1" applyBorder="1" applyAlignment="1">
      <alignment vertical="center"/>
    </xf>
    <xf numFmtId="0" fontId="31" fillId="0" borderId="183" xfId="0" applyFont="1" applyFill="1" applyBorder="1" applyAlignment="1">
      <alignment horizontal="left" vertical="center" wrapText="1"/>
    </xf>
    <xf numFmtId="3" fontId="25" fillId="6" borderId="178" xfId="0" applyNumberFormat="1" applyFont="1" applyFill="1" applyBorder="1" applyAlignment="1">
      <alignment vertical="top"/>
    </xf>
    <xf numFmtId="3" fontId="27" fillId="2" borderId="178" xfId="0" applyNumberFormat="1" applyFont="1" applyFill="1" applyBorder="1" applyAlignment="1">
      <alignment vertical="top"/>
    </xf>
    <xf numFmtId="0" fontId="25" fillId="6" borderId="182" xfId="4" applyFont="1" applyFill="1" applyBorder="1" applyAlignment="1">
      <alignment horizontal="left" vertical="center"/>
    </xf>
    <xf numFmtId="0" fontId="25" fillId="6" borderId="179" xfId="4" applyFont="1" applyFill="1" applyBorder="1" applyAlignment="1">
      <alignment horizontal="left" vertical="center"/>
    </xf>
    <xf numFmtId="3" fontId="24" fillId="6" borderId="177" xfId="4" applyNumberFormat="1" applyFont="1" applyFill="1" applyBorder="1" applyAlignment="1">
      <alignment vertical="center"/>
    </xf>
    <xf numFmtId="3" fontId="25" fillId="22" borderId="178" xfId="4" applyNumberFormat="1" applyFont="1" applyFill="1" applyBorder="1" applyAlignment="1">
      <alignment horizontal="right" vertical="center"/>
    </xf>
    <xf numFmtId="3" fontId="27" fillId="2" borderId="181" xfId="4" applyNumberFormat="1" applyFont="1" applyFill="1" applyBorder="1" applyAlignment="1">
      <alignment vertical="center" wrapText="1"/>
    </xf>
    <xf numFmtId="3" fontId="33" fillId="0" borderId="177" xfId="6" applyNumberFormat="1" applyFont="1" applyFill="1" applyBorder="1" applyAlignment="1">
      <alignment vertical="center"/>
    </xf>
    <xf numFmtId="3" fontId="27" fillId="25" borderId="177" xfId="4" applyNumberFormat="1" applyFont="1" applyFill="1" applyBorder="1" applyAlignment="1">
      <alignment horizontal="right" vertical="center"/>
    </xf>
    <xf numFmtId="0" fontId="7" fillId="0" borderId="181" xfId="4" applyFont="1" applyFill="1" applyBorder="1" applyAlignment="1">
      <alignment vertical="center"/>
    </xf>
    <xf numFmtId="3" fontId="7" fillId="0" borderId="169" xfId="4" applyNumberFormat="1" applyFont="1" applyFill="1" applyBorder="1" applyAlignment="1">
      <alignment horizontal="right" vertical="center"/>
    </xf>
    <xf numFmtId="3" fontId="27" fillId="2" borderId="182" xfId="4" applyNumberFormat="1" applyFont="1" applyFill="1" applyBorder="1" applyAlignment="1">
      <alignment vertical="center" wrapText="1"/>
    </xf>
    <xf numFmtId="3" fontId="27" fillId="0" borderId="169" xfId="4" applyNumberFormat="1" applyFont="1" applyFill="1" applyBorder="1" applyAlignment="1">
      <alignment horizontal="right" vertical="center"/>
    </xf>
    <xf numFmtId="3" fontId="33" fillId="0" borderId="178" xfId="6" applyNumberFormat="1" applyFont="1" applyFill="1" applyBorder="1" applyAlignment="1">
      <alignment vertical="center"/>
    </xf>
    <xf numFmtId="43" fontId="24" fillId="6" borderId="177" xfId="4" applyNumberFormat="1" applyFont="1" applyFill="1" applyBorder="1" applyAlignment="1">
      <alignment vertical="center"/>
    </xf>
    <xf numFmtId="43" fontId="33" fillId="0" borderId="177" xfId="6" applyNumberFormat="1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horizontal="right" vertical="center"/>
    </xf>
    <xf numFmtId="3" fontId="25" fillId="6" borderId="177" xfId="4" applyNumberFormat="1" applyFont="1" applyFill="1" applyBorder="1" applyAlignment="1">
      <alignment horizontal="right" vertical="center"/>
    </xf>
    <xf numFmtId="3" fontId="27" fillId="0" borderId="177" xfId="4" applyNumberFormat="1" applyFont="1" applyFill="1" applyBorder="1" applyAlignment="1">
      <alignment horizontal="right" vertical="center"/>
    </xf>
    <xf numFmtId="3" fontId="31" fillId="0" borderId="177" xfId="4" applyNumberFormat="1" applyFont="1" applyFill="1" applyBorder="1" applyAlignment="1">
      <alignment horizontal="right" vertical="center"/>
    </xf>
    <xf numFmtId="3" fontId="7" fillId="0" borderId="177" xfId="4" applyNumberFormat="1" applyFont="1" applyFill="1" applyBorder="1" applyAlignment="1">
      <alignment horizontal="right" vertical="center"/>
    </xf>
    <xf numFmtId="3" fontId="31" fillId="25" borderId="177" xfId="4" applyNumberFormat="1" applyFont="1" applyFill="1" applyBorder="1" applyAlignment="1">
      <alignment horizontal="right" vertical="center"/>
    </xf>
    <xf numFmtId="3" fontId="29" fillId="2" borderId="182" xfId="4" applyNumberFormat="1" applyFont="1" applyFill="1" applyBorder="1" applyAlignment="1">
      <alignment vertical="center" wrapText="1"/>
    </xf>
    <xf numFmtId="3" fontId="32" fillId="0" borderId="178" xfId="6" applyNumberFormat="1" applyFont="1" applyFill="1" applyBorder="1" applyAlignment="1">
      <alignment vertical="center"/>
    </xf>
    <xf numFmtId="3" fontId="27" fillId="2" borderId="177" xfId="4" applyNumberFormat="1" applyFont="1" applyFill="1" applyBorder="1" applyAlignment="1">
      <alignment vertical="center"/>
    </xf>
    <xf numFmtId="0" fontId="25" fillId="6" borderId="170" xfId="4" applyFont="1" applyFill="1" applyBorder="1" applyAlignment="1">
      <alignment horizontal="left" vertical="center"/>
    </xf>
    <xf numFmtId="3" fontId="23" fillId="6" borderId="177" xfId="6" applyNumberFormat="1" applyFont="1" applyFill="1" applyBorder="1" applyAlignment="1">
      <alignment horizontal="right" vertical="center"/>
    </xf>
    <xf numFmtId="3" fontId="33" fillId="0" borderId="177" xfId="6" applyNumberFormat="1" applyFont="1" applyFill="1" applyBorder="1" applyAlignment="1">
      <alignment horizontal="right" vertical="center"/>
    </xf>
    <xf numFmtId="43" fontId="31" fillId="0" borderId="169" xfId="1" applyFont="1" applyFill="1" applyBorder="1" applyAlignment="1">
      <alignment horizontal="right" vertical="center"/>
    </xf>
    <xf numFmtId="43" fontId="33" fillId="0" borderId="177" xfId="1" applyFont="1" applyFill="1" applyBorder="1" applyAlignment="1">
      <alignment horizontal="right" vertical="center"/>
    </xf>
    <xf numFmtId="3" fontId="29" fillId="2" borderId="177" xfId="4" applyNumberFormat="1" applyFont="1" applyFill="1" applyBorder="1" applyAlignment="1">
      <alignment vertical="center"/>
    </xf>
    <xf numFmtId="43" fontId="23" fillId="6" borderId="177" xfId="1" applyFont="1" applyFill="1" applyBorder="1" applyAlignment="1">
      <alignment horizontal="right" vertical="center"/>
    </xf>
    <xf numFmtId="0" fontId="7" fillId="0" borderId="182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43" fontId="7" fillId="0" borderId="174" xfId="1" applyFont="1" applyFill="1" applyBorder="1" applyAlignment="1">
      <alignment horizontal="right" vertical="center"/>
    </xf>
    <xf numFmtId="3" fontId="7" fillId="0" borderId="174" xfId="4" applyNumberFormat="1" applyFont="1" applyFill="1" applyBorder="1" applyAlignment="1">
      <alignment horizontal="right" vertical="center"/>
    </xf>
    <xf numFmtId="3" fontId="31" fillId="0" borderId="172" xfId="4" applyNumberFormat="1" applyFont="1" applyFill="1" applyBorder="1" applyAlignment="1">
      <alignment vertical="center"/>
    </xf>
    <xf numFmtId="0" fontId="27" fillId="2" borderId="182" xfId="4" applyFont="1" applyFill="1" applyBorder="1" applyAlignment="1">
      <alignment vertical="center"/>
    </xf>
    <xf numFmtId="3" fontId="24" fillId="6" borderId="177" xfId="4" applyNumberFormat="1" applyFont="1" applyFill="1" applyBorder="1" applyAlignment="1">
      <alignment horizontal="right" vertical="center"/>
    </xf>
    <xf numFmtId="3" fontId="29" fillId="0" borderId="177" xfId="4" applyNumberFormat="1" applyFont="1" applyFill="1" applyBorder="1" applyAlignment="1">
      <alignment horizontal="right" vertical="center"/>
    </xf>
    <xf numFmtId="43" fontId="7" fillId="0" borderId="177" xfId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3" fontId="65" fillId="17" borderId="35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25" fillId="6" borderId="178" xfId="4" applyNumberFormat="1" applyFont="1" applyFill="1" applyBorder="1" applyAlignment="1">
      <alignment horizontal="right" vertical="center"/>
    </xf>
    <xf numFmtId="3" fontId="24" fillId="22" borderId="178" xfId="4" applyNumberFormat="1" applyFont="1" applyFill="1" applyBorder="1" applyAlignment="1">
      <alignment horizontal="right" vertical="center"/>
    </xf>
    <xf numFmtId="3" fontId="25" fillId="6" borderId="178" xfId="4" applyNumberFormat="1" applyFont="1" applyFill="1" applyBorder="1" applyAlignment="1">
      <alignment vertical="center"/>
    </xf>
    <xf numFmtId="43" fontId="25" fillId="6" borderId="178" xfId="1" applyFont="1" applyFill="1" applyBorder="1" applyAlignment="1">
      <alignment vertical="center"/>
    </xf>
    <xf numFmtId="43" fontId="31" fillId="0" borderId="154" xfId="1" applyFont="1" applyFill="1" applyBorder="1" applyAlignment="1">
      <alignment horizontal="right" vertical="center"/>
    </xf>
    <xf numFmtId="43" fontId="33" fillId="0" borderId="178" xfId="1" applyFont="1" applyFill="1" applyBorder="1" applyAlignment="1">
      <alignment vertical="center"/>
    </xf>
    <xf numFmtId="3" fontId="24" fillId="6" borderId="178" xfId="4" applyNumberFormat="1" applyFont="1" applyFill="1" applyBorder="1" applyAlignment="1">
      <alignment vertical="center"/>
    </xf>
    <xf numFmtId="3" fontId="25" fillId="22" borderId="177" xfId="4" applyNumberFormat="1" applyFont="1" applyFill="1" applyBorder="1" applyAlignment="1">
      <alignment horizontal="right" vertical="center"/>
    </xf>
    <xf numFmtId="3" fontId="32" fillId="0" borderId="177" xfId="6" applyNumberFormat="1" applyFont="1" applyFill="1" applyBorder="1" applyAlignment="1">
      <alignment vertical="center"/>
    </xf>
    <xf numFmtId="43" fontId="31" fillId="0" borderId="114" xfId="1" applyFont="1" applyFill="1" applyBorder="1" applyAlignment="1">
      <alignment horizontal="right" vertical="center"/>
    </xf>
    <xf numFmtId="43" fontId="25" fillId="6" borderId="177" xfId="1" applyFont="1" applyFill="1" applyBorder="1" applyAlignment="1">
      <alignment vertical="top"/>
    </xf>
    <xf numFmtId="3" fontId="25" fillId="22" borderId="177" xfId="0" applyNumberFormat="1" applyFont="1" applyFill="1" applyBorder="1" applyAlignment="1">
      <alignment vertical="top"/>
    </xf>
    <xf numFmtId="3" fontId="27" fillId="2" borderId="185" xfId="4" applyNumberFormat="1" applyFont="1" applyFill="1" applyBorder="1" applyAlignment="1">
      <alignment vertical="center" wrapText="1"/>
    </xf>
    <xf numFmtId="43" fontId="27" fillId="25" borderId="178" xfId="1" applyFont="1" applyFill="1" applyBorder="1" applyAlignment="1">
      <alignment horizontal="center" vertical="top"/>
    </xf>
    <xf numFmtId="43" fontId="31" fillId="25" borderId="178" xfId="1" applyFont="1" applyFill="1" applyBorder="1" applyAlignment="1">
      <alignment horizontal="center" vertical="top"/>
    </xf>
    <xf numFmtId="0" fontId="23" fillId="0" borderId="170" xfId="0" applyFont="1" applyBorder="1" applyAlignment="1">
      <alignment horizontal="center" vertical="center" wrapText="1"/>
    </xf>
    <xf numFmtId="0" fontId="28" fillId="53" borderId="170" xfId="0" applyFont="1" applyFill="1" applyBorder="1" applyAlignment="1">
      <alignment vertical="top"/>
    </xf>
    <xf numFmtId="0" fontId="28" fillId="51" borderId="123" xfId="0" applyFont="1" applyFill="1" applyBorder="1" applyAlignment="1">
      <alignment vertical="center"/>
    </xf>
    <xf numFmtId="0" fontId="39" fillId="54" borderId="185" xfId="0" applyFont="1" applyFill="1" applyBorder="1"/>
    <xf numFmtId="0" fontId="28" fillId="54" borderId="170" xfId="0" applyFont="1" applyFill="1" applyBorder="1" applyAlignment="1">
      <alignment vertical="top"/>
    </xf>
    <xf numFmtId="0" fontId="31" fillId="50" borderId="123" xfId="0" applyFont="1" applyFill="1" applyBorder="1" applyAlignment="1">
      <alignment vertical="top"/>
    </xf>
    <xf numFmtId="0" fontId="31" fillId="50" borderId="170" xfId="0" applyFont="1" applyFill="1" applyBorder="1" applyAlignment="1">
      <alignment vertical="top"/>
    </xf>
    <xf numFmtId="3" fontId="27" fillId="0" borderId="178" xfId="0" applyNumberFormat="1" applyFont="1" applyFill="1" applyBorder="1" applyAlignment="1">
      <alignment vertical="center"/>
    </xf>
    <xf numFmtId="3" fontId="27" fillId="8" borderId="178" xfId="0" applyNumberFormat="1" applyFont="1" applyFill="1" applyBorder="1" applyAlignment="1">
      <alignment vertical="center"/>
    </xf>
    <xf numFmtId="3" fontId="27" fillId="23" borderId="178" xfId="0" applyNumberFormat="1" applyFont="1" applyFill="1" applyBorder="1" applyAlignment="1">
      <alignment vertical="center"/>
    </xf>
    <xf numFmtId="3" fontId="31" fillId="28" borderId="178" xfId="0" applyNumberFormat="1" applyFont="1" applyFill="1" applyBorder="1" applyAlignment="1">
      <alignment vertical="center"/>
    </xf>
    <xf numFmtId="3" fontId="7" fillId="23" borderId="178" xfId="0" applyNumberFormat="1" applyFont="1" applyFill="1" applyBorder="1" applyAlignment="1">
      <alignment vertical="center"/>
    </xf>
    <xf numFmtId="3" fontId="27" fillId="25" borderId="177" xfId="0" applyNumberFormat="1" applyFont="1" applyFill="1" applyBorder="1" applyAlignment="1">
      <alignment vertical="top"/>
    </xf>
    <xf numFmtId="3" fontId="27" fillId="2" borderId="178" xfId="0" applyNumberFormat="1" applyFont="1" applyFill="1" applyBorder="1" applyAlignment="1">
      <alignment vertical="center"/>
    </xf>
    <xf numFmtId="3" fontId="7" fillId="8" borderId="178" xfId="4" applyNumberFormat="1" applyFont="1" applyFill="1" applyBorder="1" applyAlignment="1">
      <alignment horizontal="right" vertical="center"/>
    </xf>
    <xf numFmtId="3" fontId="29" fillId="0" borderId="178" xfId="4" applyNumberFormat="1" applyFont="1" applyFill="1" applyBorder="1" applyAlignment="1">
      <alignment horizontal="right" vertical="center"/>
    </xf>
    <xf numFmtId="3" fontId="7" fillId="0" borderId="178" xfId="4" applyNumberFormat="1" applyFont="1" applyFill="1" applyBorder="1" applyAlignment="1">
      <alignment vertical="top"/>
    </xf>
    <xf numFmtId="3" fontId="7" fillId="25" borderId="178" xfId="4" applyNumberFormat="1" applyFont="1" applyFill="1" applyBorder="1" applyAlignment="1">
      <alignment vertical="center"/>
    </xf>
    <xf numFmtId="0" fontId="31" fillId="0" borderId="182" xfId="4" applyFont="1" applyFill="1" applyBorder="1" applyAlignment="1">
      <alignment vertical="center"/>
    </xf>
    <xf numFmtId="3" fontId="33" fillId="25" borderId="178" xfId="6" applyNumberFormat="1" applyFont="1" applyFill="1" applyBorder="1" applyAlignment="1">
      <alignment vertical="center"/>
    </xf>
    <xf numFmtId="3" fontId="63" fillId="0" borderId="169" xfId="6" applyNumberFormat="1" applyFont="1" applyFill="1" applyBorder="1" applyAlignment="1">
      <alignment vertical="center"/>
    </xf>
    <xf numFmtId="3" fontId="38" fillId="0" borderId="169" xfId="4" applyNumberFormat="1" applyFont="1" applyFill="1" applyBorder="1" applyAlignment="1">
      <alignment horizontal="right" vertical="center"/>
    </xf>
    <xf numFmtId="0" fontId="25" fillId="6" borderId="178" xfId="4" applyFont="1" applyFill="1" applyBorder="1" applyAlignment="1">
      <alignment horizontal="left" vertical="center"/>
    </xf>
    <xf numFmtId="3" fontId="25" fillId="22" borderId="178" xfId="0" applyNumberFormat="1" applyFont="1" applyFill="1" applyBorder="1" applyAlignment="1">
      <alignment vertical="top"/>
    </xf>
    <xf numFmtId="3" fontId="31" fillId="23" borderId="178" xfId="0" applyNumberFormat="1" applyFont="1" applyFill="1" applyBorder="1" applyAlignment="1">
      <alignment vertical="top"/>
    </xf>
    <xf numFmtId="3" fontId="31" fillId="0" borderId="178" xfId="0" applyNumberFormat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 wrapText="1"/>
    </xf>
    <xf numFmtId="0" fontId="32" fillId="0" borderId="188" xfId="0" applyFont="1" applyBorder="1" applyAlignment="1">
      <alignment vertical="center"/>
    </xf>
    <xf numFmtId="3" fontId="31" fillId="0" borderId="189" xfId="4" applyNumberFormat="1" applyFont="1" applyFill="1" applyBorder="1" applyAlignment="1">
      <alignment vertical="center"/>
    </xf>
    <xf numFmtId="3" fontId="31" fillId="0" borderId="188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17" fillId="8" borderId="11" xfId="0" applyNumberFormat="1" applyFont="1" applyFill="1" applyBorder="1" applyAlignment="1">
      <alignment vertical="center"/>
    </xf>
    <xf numFmtId="2" fontId="27" fillId="50" borderId="36" xfId="4" applyNumberFormat="1" applyFont="1" applyFill="1" applyBorder="1" applyAlignment="1">
      <alignment horizontal="left" vertical="center"/>
    </xf>
    <xf numFmtId="2" fontId="27" fillId="50" borderId="20" xfId="4" applyNumberFormat="1" applyFont="1" applyFill="1" applyBorder="1" applyAlignment="1">
      <alignment horizontal="lef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7" fillId="50" borderId="65" xfId="4" applyNumberFormat="1" applyFont="1" applyFill="1" applyBorder="1" applyAlignment="1">
      <alignment horizontal="left" vertical="center"/>
    </xf>
    <xf numFmtId="2" fontId="27" fillId="50" borderId="6" xfId="4" applyNumberFormat="1" applyFont="1" applyFill="1" applyBorder="1" applyAlignment="1">
      <alignment horizontal="left" vertical="center"/>
    </xf>
    <xf numFmtId="2" fontId="27" fillId="50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18" fillId="8" borderId="65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17" fillId="8" borderId="11" xfId="0" applyNumberFormat="1" applyFont="1" applyFill="1" applyBorder="1" applyAlignment="1">
      <alignment vertical="top"/>
    </xf>
    <xf numFmtId="2" fontId="7" fillId="8" borderId="183" xfId="0" applyNumberFormat="1" applyFont="1" applyFill="1" applyBorder="1" applyAlignment="1">
      <alignment vertical="top" wrapText="1"/>
    </xf>
    <xf numFmtId="2" fontId="7" fillId="8" borderId="176" xfId="0" applyNumberFormat="1" applyFont="1" applyFill="1" applyBorder="1" applyAlignment="1">
      <alignment vertical="top" wrapText="1"/>
    </xf>
    <xf numFmtId="2" fontId="18" fillId="8" borderId="65" xfId="0" applyNumberFormat="1" applyFont="1" applyFill="1" applyBorder="1" applyAlignment="1">
      <alignment horizontal="center" vertical="top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31" fillId="0" borderId="21" xfId="0" applyNumberFormat="1" applyFont="1" applyFill="1" applyBorder="1" applyAlignment="1">
      <alignment vertical="top"/>
    </xf>
    <xf numFmtId="2" fontId="31" fillId="0" borderId="177" xfId="0" applyNumberFormat="1" applyFont="1" applyFill="1" applyBorder="1" applyAlignment="1">
      <alignment vertical="top"/>
    </xf>
    <xf numFmtId="2" fontId="31" fillId="0" borderId="183" xfId="0" applyNumberFormat="1" applyFont="1" applyFill="1" applyBorder="1" applyAlignment="1">
      <alignment horizontal="left" vertical="center" wrapText="1"/>
    </xf>
    <xf numFmtId="2" fontId="27" fillId="2" borderId="185" xfId="4" applyNumberFormat="1" applyFont="1" applyFill="1" applyBorder="1" applyAlignment="1">
      <alignment vertical="center" wrapText="1"/>
    </xf>
    <xf numFmtId="2" fontId="31" fillId="0" borderId="82" xfId="0" applyNumberFormat="1" applyFont="1" applyFill="1" applyBorder="1" applyAlignment="1">
      <alignment vertical="top"/>
    </xf>
    <xf numFmtId="2" fontId="31" fillId="0" borderId="178" xfId="0" applyNumberFormat="1" applyFont="1" applyFill="1" applyBorder="1" applyAlignment="1">
      <alignment vertical="top"/>
    </xf>
    <xf numFmtId="2" fontId="27" fillId="2" borderId="181" xfId="4" applyNumberFormat="1" applyFont="1" applyFill="1" applyBorder="1" applyAlignment="1">
      <alignment vertical="top"/>
    </xf>
    <xf numFmtId="2" fontId="31" fillId="0" borderId="74" xfId="0" applyNumberFormat="1" applyFont="1" applyFill="1" applyBorder="1" applyAlignment="1">
      <alignment horizontal="left" vertical="center" wrapText="1"/>
    </xf>
    <xf numFmtId="2" fontId="27" fillId="2" borderId="185" xfId="4" applyNumberFormat="1" applyFont="1" applyFill="1" applyBorder="1" applyAlignment="1">
      <alignment vertical="top"/>
    </xf>
    <xf numFmtId="2" fontId="31" fillId="0" borderId="190" xfId="0" applyNumberFormat="1" applyFont="1" applyFill="1" applyBorder="1" applyAlignment="1">
      <alignment horizontal="left" vertical="center" wrapText="1"/>
    </xf>
    <xf numFmtId="2" fontId="25" fillId="6" borderId="185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191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31" fillId="8" borderId="177" xfId="0" applyNumberFormat="1" applyFont="1" applyFill="1" applyBorder="1" applyAlignment="1">
      <alignment vertical="top"/>
    </xf>
    <xf numFmtId="2" fontId="7" fillId="23" borderId="174" xfId="0" applyNumberFormat="1" applyFont="1" applyFill="1" applyBorder="1" applyAlignment="1">
      <alignment vertical="top"/>
    </xf>
    <xf numFmtId="2" fontId="31" fillId="8" borderId="177" xfId="0" applyNumberFormat="1" applyFont="1" applyFill="1" applyBorder="1" applyAlignment="1">
      <alignment vertical="center"/>
    </xf>
    <xf numFmtId="2" fontId="25" fillId="23" borderId="177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77" xfId="0" applyNumberFormat="1" applyFont="1" applyFill="1" applyBorder="1" applyAlignment="1">
      <alignment horizontal="right" vertical="center"/>
    </xf>
    <xf numFmtId="2" fontId="27" fillId="8" borderId="178" xfId="0" applyNumberFormat="1" applyFont="1" applyFill="1" applyBorder="1" applyAlignment="1">
      <alignment horizontal="right" vertical="center"/>
    </xf>
    <xf numFmtId="2" fontId="25" fillId="23" borderId="177" xfId="0" applyNumberFormat="1" applyFont="1" applyFill="1" applyBorder="1" applyAlignment="1">
      <alignment horizontal="center" vertical="center"/>
    </xf>
    <xf numFmtId="2" fontId="20" fillId="8" borderId="65" xfId="0" applyNumberFormat="1" applyFont="1" applyFill="1" applyBorder="1" applyAlignment="1">
      <alignment horizontal="center" vertical="center" wrapText="1"/>
    </xf>
    <xf numFmtId="2" fontId="31" fillId="8" borderId="178" xfId="0" applyNumberFormat="1" applyFont="1" applyFill="1" applyBorder="1" applyAlignment="1">
      <alignment vertical="top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78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77" xfId="0" applyNumberFormat="1" applyFont="1" applyFill="1" applyBorder="1" applyAlignment="1">
      <alignment vertical="center"/>
    </xf>
    <xf numFmtId="2" fontId="27" fillId="8" borderId="177" xfId="0" applyNumberFormat="1" applyFont="1" applyFill="1" applyBorder="1" applyAlignment="1">
      <alignment vertical="center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6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77" xfId="0" applyNumberFormat="1" applyFont="1" applyFill="1" applyBorder="1" applyAlignment="1">
      <alignment vertical="center"/>
    </xf>
    <xf numFmtId="2" fontId="25" fillId="0" borderId="177" xfId="0" applyNumberFormat="1" applyFont="1" applyFill="1" applyBorder="1" applyAlignment="1">
      <alignment vertical="center"/>
    </xf>
    <xf numFmtId="2" fontId="31" fillId="32" borderId="177" xfId="0" applyNumberFormat="1" applyFont="1" applyFill="1" applyBorder="1" applyAlignment="1">
      <alignment vertical="center"/>
    </xf>
    <xf numFmtId="2" fontId="32" fillId="0" borderId="0" xfId="0" applyNumberFormat="1" applyFont="1" applyBorder="1"/>
    <xf numFmtId="2" fontId="25" fillId="6" borderId="177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5" fillId="6" borderId="178" xfId="0" applyNumberFormat="1" applyFont="1" applyFill="1" applyBorder="1" applyAlignment="1"/>
    <xf numFmtId="2" fontId="27" fillId="2" borderId="178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31" fillId="0" borderId="174" xfId="0" applyNumberFormat="1" applyFont="1" applyFill="1" applyBorder="1" applyAlignment="1">
      <alignment vertical="top"/>
    </xf>
    <xf numFmtId="2" fontId="7" fillId="23" borderId="178" xfId="0" applyNumberFormat="1" applyFont="1" applyFill="1" applyBorder="1" applyAlignment="1">
      <alignment horizontal="center" vertical="top"/>
    </xf>
    <xf numFmtId="2" fontId="25" fillId="2" borderId="178" xfId="0" applyNumberFormat="1" applyFont="1" applyFill="1" applyBorder="1" applyAlignment="1"/>
    <xf numFmtId="2" fontId="28" fillId="2" borderId="178" xfId="0" applyNumberFormat="1" applyFont="1" applyFill="1" applyBorder="1" applyAlignment="1"/>
    <xf numFmtId="2" fontId="31" fillId="2" borderId="178" xfId="0" applyNumberFormat="1" applyFont="1" applyFill="1" applyBorder="1" applyAlignment="1"/>
    <xf numFmtId="2" fontId="31" fillId="2" borderId="74" xfId="4" applyNumberFormat="1" applyFont="1" applyFill="1" applyBorder="1" applyAlignment="1">
      <alignment vertical="center" wrapText="1"/>
    </xf>
    <xf numFmtId="2" fontId="24" fillId="8" borderId="83" xfId="0" applyNumberFormat="1" applyFont="1" applyFill="1" applyBorder="1" applyAlignment="1">
      <alignment vertical="center" wrapText="1"/>
    </xf>
    <xf numFmtId="2" fontId="24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2" xfId="4" applyNumberFormat="1" applyFont="1" applyFill="1" applyBorder="1" applyAlignment="1">
      <alignment horizontal="left" vertical="center"/>
    </xf>
    <xf numFmtId="2" fontId="25" fillId="6" borderId="178" xfId="0" applyNumberFormat="1" applyFont="1" applyFill="1" applyBorder="1" applyAlignment="1">
      <alignment vertical="center"/>
    </xf>
    <xf numFmtId="2" fontId="25" fillId="22" borderId="178" xfId="0" applyNumberFormat="1" applyFont="1" applyFill="1" applyBorder="1" applyAlignment="1">
      <alignment vertical="center"/>
    </xf>
    <xf numFmtId="2" fontId="29" fillId="0" borderId="82" xfId="0" applyNumberFormat="1" applyFont="1" applyFill="1" applyBorder="1" applyAlignment="1">
      <alignment vertical="center"/>
    </xf>
    <xf numFmtId="2" fontId="25" fillId="25" borderId="178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191" xfId="0" applyNumberFormat="1" applyFont="1" applyFill="1" applyBorder="1" applyAlignment="1">
      <alignment vertical="center" wrapText="1"/>
    </xf>
    <xf numFmtId="2" fontId="31" fillId="2" borderId="188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39" fillId="0" borderId="178" xfId="0" applyNumberFormat="1" applyFont="1" applyBorder="1" applyAlignment="1">
      <alignment vertical="center"/>
    </xf>
    <xf numFmtId="2" fontId="18" fillId="0" borderId="178" xfId="0" applyNumberFormat="1" applyFont="1" applyBorder="1" applyAlignment="1">
      <alignment vertical="top"/>
    </xf>
    <xf numFmtId="3" fontId="29" fillId="8" borderId="178" xfId="0" applyNumberFormat="1" applyFont="1" applyFill="1" applyBorder="1" applyAlignment="1">
      <alignment vertical="center"/>
    </xf>
    <xf numFmtId="3" fontId="7" fillId="28" borderId="178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horizontal="right" vertical="center"/>
    </xf>
    <xf numFmtId="3" fontId="25" fillId="6" borderId="174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188" xfId="0" applyNumberFormat="1" applyFont="1" applyFill="1" applyBorder="1" applyAlignment="1">
      <alignment vertical="top"/>
    </xf>
    <xf numFmtId="3" fontId="31" fillId="0" borderId="188" xfId="0" applyNumberFormat="1" applyFont="1" applyFill="1" applyBorder="1" applyAlignment="1">
      <alignment horizontal="right" vertical="center"/>
    </xf>
    <xf numFmtId="3" fontId="31" fillId="0" borderId="177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73" xfId="0" quotePrefix="1" applyNumberFormat="1" applyFont="1" applyFill="1" applyBorder="1" applyAlignment="1">
      <alignment horizontal="center" vertical="top"/>
    </xf>
    <xf numFmtId="1" fontId="21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181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4" fillId="8" borderId="181" xfId="0" applyNumberFormat="1" applyFont="1" applyFill="1" applyBorder="1" applyAlignment="1">
      <alignment vertical="center" wrapText="1"/>
    </xf>
    <xf numFmtId="3" fontId="62" fillId="6" borderId="181" xfId="0" applyNumberFormat="1" applyFont="1" applyFill="1" applyBorder="1" applyAlignment="1">
      <alignment wrapText="1"/>
    </xf>
    <xf numFmtId="3" fontId="65" fillId="8" borderId="181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2" borderId="51" xfId="0" applyNumberFormat="1" applyFont="1" applyFill="1" applyBorder="1" applyAlignment="1">
      <alignment vertical="center" wrapText="1"/>
    </xf>
    <xf numFmtId="3" fontId="62" fillId="52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4" borderId="76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30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181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30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3" fontId="31" fillId="0" borderId="188" xfId="4" applyNumberFormat="1" applyFont="1" applyFill="1" applyBorder="1" applyAlignment="1">
      <alignment vertical="center"/>
    </xf>
    <xf numFmtId="3" fontId="31" fillId="0" borderId="189" xfId="4" applyNumberFormat="1" applyFont="1" applyFill="1" applyBorder="1" applyAlignment="1"/>
    <xf numFmtId="3" fontId="27" fillId="50" borderId="174" xfId="4" applyNumberFormat="1" applyFont="1" applyFill="1" applyBorder="1" applyAlignment="1">
      <alignment horizontal="right" vertical="center"/>
    </xf>
    <xf numFmtId="3" fontId="27" fillId="50" borderId="154" xfId="4" applyNumberFormat="1" applyFont="1" applyFill="1" applyBorder="1" applyAlignment="1">
      <alignment horizontal="right" vertical="center"/>
    </xf>
    <xf numFmtId="3" fontId="27" fillId="50" borderId="12" xfId="0" quotePrefix="1" applyNumberFormat="1" applyFont="1" applyFill="1" applyBorder="1" applyAlignment="1">
      <alignment horizontal="right" vertical="top"/>
    </xf>
    <xf numFmtId="3" fontId="27" fillId="21" borderId="174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0" borderId="178" xfId="4" applyNumberFormat="1" applyFont="1" applyFill="1" applyBorder="1" applyAlignment="1">
      <alignment horizontal="right" vertical="center"/>
    </xf>
    <xf numFmtId="43" fontId="25" fillId="6" borderId="177" xfId="1" applyFont="1" applyFill="1" applyBorder="1" applyAlignment="1">
      <alignment horizontal="right" vertical="center"/>
    </xf>
    <xf numFmtId="43" fontId="27" fillId="0" borderId="177" xfId="1" applyFont="1" applyFill="1" applyBorder="1" applyAlignment="1">
      <alignment horizontal="right" vertical="center"/>
    </xf>
    <xf numFmtId="43" fontId="33" fillId="0" borderId="177" xfId="1" applyFont="1" applyFill="1" applyBorder="1" applyAlignment="1">
      <alignment vertical="center"/>
    </xf>
    <xf numFmtId="0" fontId="31" fillId="0" borderId="192" xfId="4" applyFont="1" applyFill="1" applyBorder="1" applyAlignment="1">
      <alignment vertical="center"/>
    </xf>
    <xf numFmtId="43" fontId="24" fillId="6" borderId="177" xfId="1" applyFont="1" applyFill="1" applyBorder="1" applyAlignment="1">
      <alignment vertical="center"/>
    </xf>
    <xf numFmtId="43" fontId="27" fillId="2" borderId="177" xfId="1" applyFont="1" applyFill="1" applyBorder="1" applyAlignment="1">
      <alignment vertical="center"/>
    </xf>
    <xf numFmtId="3" fontId="24" fillId="6" borderId="169" xfId="4" applyNumberFormat="1" applyFont="1" applyFill="1" applyBorder="1" applyAlignment="1">
      <alignment vertical="center"/>
    </xf>
    <xf numFmtId="3" fontId="27" fillId="2" borderId="178" xfId="4" applyNumberFormat="1" applyFont="1" applyFill="1" applyBorder="1" applyAlignment="1">
      <alignment vertical="center"/>
    </xf>
    <xf numFmtId="3" fontId="32" fillId="0" borderId="188" xfId="6" applyNumberFormat="1" applyFont="1" applyFill="1" applyBorder="1" applyAlignment="1">
      <alignment vertical="center"/>
    </xf>
    <xf numFmtId="3" fontId="27" fillId="25" borderId="178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horizontal="right" vertical="center"/>
    </xf>
    <xf numFmtId="43" fontId="7" fillId="0" borderId="188" xfId="1" applyFont="1" applyFill="1" applyBorder="1" applyAlignment="1">
      <alignment horizontal="right" vertical="center"/>
    </xf>
    <xf numFmtId="3" fontId="24" fillId="6" borderId="178" xfId="0" applyNumberFormat="1" applyFont="1" applyFill="1" applyBorder="1" applyAlignment="1">
      <alignment horizontal="right" vertical="center"/>
    </xf>
    <xf numFmtId="3" fontId="29" fillId="0" borderId="178" xfId="0" applyNumberFormat="1" applyFont="1" applyFill="1" applyBorder="1" applyAlignment="1">
      <alignment horizontal="right" vertical="center"/>
    </xf>
    <xf numFmtId="3" fontId="7" fillId="0" borderId="178" xfId="0" applyNumberFormat="1" applyFont="1" applyFill="1" applyBorder="1" applyAlignment="1">
      <alignment horizontal="right" vertical="center"/>
    </xf>
    <xf numFmtId="43" fontId="31" fillId="0" borderId="178" xfId="1" applyFont="1" applyFill="1" applyBorder="1" applyAlignment="1">
      <alignment vertical="center"/>
    </xf>
    <xf numFmtId="43" fontId="31" fillId="0" borderId="188" xfId="1" applyFont="1" applyFill="1" applyBorder="1" applyAlignment="1">
      <alignment vertical="center"/>
    </xf>
    <xf numFmtId="3" fontId="31" fillId="0" borderId="189" xfId="4" applyNumberFormat="1" applyFont="1" applyFill="1" applyBorder="1" applyAlignment="1">
      <alignment horizontal="right" vertical="center"/>
    </xf>
    <xf numFmtId="3" fontId="28" fillId="23" borderId="178" xfId="4" applyNumberFormat="1" applyFont="1" applyFill="1" applyBorder="1" applyAlignment="1">
      <alignment horizontal="right" vertical="center"/>
    </xf>
    <xf numFmtId="3" fontId="24" fillId="6" borderId="178" xfId="4" applyNumberFormat="1" applyFont="1" applyFill="1" applyBorder="1" applyAlignment="1"/>
    <xf numFmtId="3" fontId="33" fillId="23" borderId="178" xfId="6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vertical="center"/>
    </xf>
    <xf numFmtId="0" fontId="28" fillId="50" borderId="179" xfId="0" quotePrefix="1" applyFont="1" applyFill="1" applyBorder="1" applyAlignment="1">
      <alignment horizontal="center" vertical="top"/>
    </xf>
    <xf numFmtId="3" fontId="27" fillId="50" borderId="177" xfId="0" quotePrefix="1" applyNumberFormat="1" applyFont="1" applyFill="1" applyBorder="1" applyAlignment="1">
      <alignment horizontal="right" vertical="top"/>
    </xf>
    <xf numFmtId="43" fontId="27" fillId="50" borderId="177" xfId="1" quotePrefix="1" applyFont="1" applyFill="1" applyBorder="1" applyAlignment="1">
      <alignment horizontal="right" vertical="top"/>
    </xf>
    <xf numFmtId="0" fontId="25" fillId="6" borderId="177" xfId="0" applyFont="1" applyFill="1" applyBorder="1" applyAlignment="1">
      <alignment vertical="center"/>
    </xf>
    <xf numFmtId="3" fontId="25" fillId="6" borderId="181" xfId="0" applyNumberFormat="1" applyFont="1" applyFill="1" applyBorder="1" applyAlignment="1">
      <alignment vertical="center"/>
    </xf>
    <xf numFmtId="43" fontId="25" fillId="6" borderId="186" xfId="1" applyFont="1" applyFill="1" applyBorder="1" applyAlignment="1">
      <alignment vertical="center"/>
    </xf>
    <xf numFmtId="3" fontId="25" fillId="6" borderId="186" xfId="0" applyNumberFormat="1" applyFont="1" applyFill="1" applyBorder="1" applyAlignment="1">
      <alignment vertical="center"/>
    </xf>
    <xf numFmtId="0" fontId="27" fillId="8" borderId="177" xfId="4" applyFont="1" applyFill="1" applyBorder="1" applyAlignment="1">
      <alignment horizontal="left" vertical="center"/>
    </xf>
    <xf numFmtId="3" fontId="27" fillId="8" borderId="178" xfId="4" applyNumberFormat="1" applyFont="1" applyFill="1" applyBorder="1" applyAlignment="1">
      <alignment vertical="top"/>
    </xf>
    <xf numFmtId="43" fontId="27" fillId="8" borderId="178" xfId="1" applyFont="1" applyFill="1" applyBorder="1" applyAlignment="1">
      <alignment vertical="top"/>
    </xf>
    <xf numFmtId="0" fontId="7" fillId="8" borderId="177" xfId="4" applyFont="1" applyFill="1" applyBorder="1" applyAlignment="1">
      <alignment vertical="top"/>
    </xf>
    <xf numFmtId="3" fontId="7" fillId="8" borderId="178" xfId="4" applyNumberFormat="1" applyFont="1" applyFill="1" applyBorder="1" applyAlignment="1">
      <alignment vertical="top"/>
    </xf>
    <xf numFmtId="43" fontId="7" fillId="8" borderId="178" xfId="1" applyFont="1" applyFill="1" applyBorder="1" applyAlignment="1">
      <alignment vertical="top"/>
    </xf>
    <xf numFmtId="3" fontId="7" fillId="25" borderId="178" xfId="4" applyNumberFormat="1" applyFont="1" applyFill="1" applyBorder="1" applyAlignment="1">
      <alignment vertical="top"/>
    </xf>
    <xf numFmtId="0" fontId="7" fillId="8" borderId="177" xfId="4" applyFont="1" applyFill="1" applyBorder="1" applyAlignment="1">
      <alignment vertical="center"/>
    </xf>
    <xf numFmtId="3" fontId="7" fillId="8" borderId="178" xfId="4" applyNumberFormat="1" applyFont="1" applyFill="1" applyBorder="1" applyAlignment="1">
      <alignment vertical="center"/>
    </xf>
    <xf numFmtId="43" fontId="31" fillId="8" borderId="178" xfId="1" applyFont="1" applyFill="1" applyBorder="1" applyAlignment="1">
      <alignment vertical="center"/>
    </xf>
    <xf numFmtId="43" fontId="7" fillId="8" borderId="178" xfId="1" applyFont="1" applyFill="1" applyBorder="1" applyAlignment="1">
      <alignment vertical="center"/>
    </xf>
    <xf numFmtId="0" fontId="7" fillId="8" borderId="179" xfId="4" applyFont="1" applyFill="1" applyBorder="1" applyAlignment="1">
      <alignment vertical="top"/>
    </xf>
    <xf numFmtId="3" fontId="31" fillId="8" borderId="178" xfId="4" applyNumberFormat="1" applyFont="1" applyFill="1" applyBorder="1" applyAlignment="1">
      <alignment vertical="top"/>
    </xf>
    <xf numFmtId="43" fontId="31" fillId="8" borderId="178" xfId="1" applyFont="1" applyFill="1" applyBorder="1" applyAlignment="1">
      <alignment vertical="top"/>
    </xf>
    <xf numFmtId="0" fontId="7" fillId="8" borderId="189" xfId="4" applyFont="1" applyFill="1" applyBorder="1" applyAlignment="1">
      <alignment vertical="top"/>
    </xf>
    <xf numFmtId="3" fontId="31" fillId="8" borderId="188" xfId="4" applyNumberFormat="1" applyFont="1" applyFill="1" applyBorder="1" applyAlignment="1">
      <alignment vertical="top"/>
    </xf>
    <xf numFmtId="3" fontId="25" fillId="6" borderId="179" xfId="4" applyNumberFormat="1" applyFont="1" applyFill="1" applyBorder="1" applyAlignment="1">
      <alignment vertical="center"/>
    </xf>
    <xf numFmtId="3" fontId="25" fillId="22" borderId="178" xfId="4" applyNumberFormat="1" applyFont="1" applyFill="1" applyBorder="1" applyAlignment="1">
      <alignment vertical="center"/>
    </xf>
    <xf numFmtId="3" fontId="31" fillId="0" borderId="178" xfId="4" applyNumberFormat="1" applyFont="1" applyFill="1" applyBorder="1" applyAlignment="1">
      <alignment horizontal="right" vertical="center"/>
    </xf>
    <xf numFmtId="43" fontId="7" fillId="0" borderId="178" xfId="1" applyFont="1" applyFill="1" applyBorder="1" applyAlignment="1">
      <alignment vertical="top"/>
    </xf>
    <xf numFmtId="3" fontId="31" fillId="0" borderId="188" xfId="4" applyNumberFormat="1" applyFont="1" applyFill="1" applyBorder="1" applyAlignment="1"/>
    <xf numFmtId="3" fontId="31" fillId="0" borderId="188" xfId="4" applyNumberFormat="1" applyFont="1" applyFill="1" applyBorder="1" applyAlignment="1">
      <alignment horizontal="right" vertical="center"/>
    </xf>
    <xf numFmtId="3" fontId="29" fillId="0" borderId="188" xfId="4" applyNumberFormat="1" applyFont="1" applyFill="1" applyBorder="1" applyAlignment="1">
      <alignment horizontal="right" vertical="center"/>
    </xf>
    <xf numFmtId="43" fontId="33" fillId="0" borderId="172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1" borderId="0" xfId="0" applyNumberFormat="1" applyFont="1" applyFill="1" applyBorder="1" applyAlignment="1">
      <alignment vertical="top"/>
    </xf>
    <xf numFmtId="0" fontId="29" fillId="0" borderId="117" xfId="4" applyFont="1" applyFill="1" applyBorder="1" applyAlignment="1">
      <alignment vertical="center"/>
    </xf>
    <xf numFmtId="3" fontId="31" fillId="0" borderId="178" xfId="4" applyNumberFormat="1" applyFont="1" applyFill="1" applyBorder="1" applyAlignment="1">
      <alignment vertical="top"/>
    </xf>
    <xf numFmtId="3" fontId="7" fillId="8" borderId="181" xfId="4" applyNumberFormat="1" applyFont="1" applyFill="1" applyBorder="1" applyAlignment="1">
      <alignment vertical="center" wrapText="1"/>
    </xf>
    <xf numFmtId="3" fontId="7" fillId="8" borderId="178" xfId="0" applyNumberFormat="1" applyFont="1" applyFill="1" applyBorder="1" applyAlignment="1">
      <alignment vertical="center"/>
    </xf>
    <xf numFmtId="3" fontId="32" fillId="8" borderId="177" xfId="6" applyNumberFormat="1" applyFont="1" applyFill="1" applyBorder="1" applyAlignment="1">
      <alignment vertical="center"/>
    </xf>
    <xf numFmtId="3" fontId="27" fillId="0" borderId="174" xfId="4" applyNumberFormat="1" applyFont="1" applyFill="1" applyBorder="1" applyAlignment="1">
      <alignment horizontal="right" vertical="center"/>
    </xf>
    <xf numFmtId="43" fontId="7" fillId="0" borderId="169" xfId="1" applyFont="1" applyFill="1" applyBorder="1" applyAlignment="1">
      <alignment horizontal="right" vertical="center"/>
    </xf>
    <xf numFmtId="43" fontId="7" fillId="0" borderId="169" xfId="1" applyNumberFormat="1" applyFont="1" applyFill="1" applyBorder="1" applyAlignment="1">
      <alignment horizontal="right" vertical="center"/>
    </xf>
    <xf numFmtId="3" fontId="31" fillId="23" borderId="177" xfId="4" applyNumberFormat="1" applyFont="1" applyFill="1" applyBorder="1" applyAlignment="1">
      <alignment vertical="center"/>
    </xf>
    <xf numFmtId="43" fontId="27" fillId="0" borderId="169" xfId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3" fontId="27" fillId="21" borderId="72" xfId="4" applyNumberFormat="1" applyFont="1" applyFill="1" applyBorder="1" applyAlignment="1">
      <alignment horizontal="right" vertical="center"/>
    </xf>
    <xf numFmtId="3" fontId="27" fillId="21" borderId="187" xfId="4" applyNumberFormat="1" applyFont="1" applyFill="1" applyBorder="1" applyAlignment="1">
      <alignment horizontal="right" vertical="center"/>
    </xf>
    <xf numFmtId="3" fontId="31" fillId="0" borderId="193" xfId="4" applyNumberFormat="1" applyFont="1" applyFill="1" applyBorder="1" applyAlignment="1">
      <alignment vertical="center"/>
    </xf>
    <xf numFmtId="43" fontId="38" fillId="57" borderId="178" xfId="1" applyFont="1" applyFill="1" applyBorder="1" applyAlignment="1">
      <alignment horizontal="right" vertical="center"/>
    </xf>
    <xf numFmtId="43" fontId="38" fillId="56" borderId="178" xfId="1" applyFont="1" applyFill="1" applyBorder="1" applyAlignment="1">
      <alignment horizontal="right" vertical="center"/>
    </xf>
    <xf numFmtId="43" fontId="7" fillId="57" borderId="178" xfId="1" applyFont="1" applyFill="1" applyBorder="1" applyAlignment="1">
      <alignment horizontal="right" vertical="center"/>
    </xf>
    <xf numFmtId="43" fontId="7" fillId="56" borderId="178" xfId="1" applyFont="1" applyFill="1" applyBorder="1" applyAlignment="1">
      <alignment horizontal="right" vertical="center"/>
    </xf>
    <xf numFmtId="0" fontId="39" fillId="0" borderId="178" xfId="0" applyFont="1" applyBorder="1"/>
    <xf numFmtId="43" fontId="24" fillId="32" borderId="178" xfId="1" applyFont="1" applyFill="1" applyBorder="1" applyAlignment="1"/>
    <xf numFmtId="3" fontId="31" fillId="32" borderId="178" xfId="4" applyNumberFormat="1" applyFont="1" applyFill="1" applyBorder="1" applyAlignment="1"/>
    <xf numFmtId="43" fontId="31" fillId="32" borderId="178" xfId="1" applyFont="1" applyFill="1" applyBorder="1" applyAlignment="1"/>
    <xf numFmtId="41" fontId="24" fillId="6" borderId="177" xfId="4" applyNumberFormat="1" applyFont="1" applyFill="1" applyBorder="1" applyAlignment="1">
      <alignment vertical="center"/>
    </xf>
    <xf numFmtId="41" fontId="33" fillId="0" borderId="178" xfId="6" applyNumberFormat="1" applyFont="1" applyFill="1" applyBorder="1" applyAlignment="1">
      <alignment vertical="center"/>
    </xf>
    <xf numFmtId="41" fontId="7" fillId="0" borderId="188" xfId="4" applyNumberFormat="1" applyFont="1" applyFill="1" applyBorder="1" applyAlignment="1">
      <alignment horizontal="right" vertical="center"/>
    </xf>
    <xf numFmtId="43" fontId="24" fillId="6" borderId="177" xfId="1" applyNumberFormat="1" applyFont="1" applyFill="1" applyBorder="1" applyAlignment="1">
      <alignment vertical="center"/>
    </xf>
    <xf numFmtId="43" fontId="7" fillId="0" borderId="169" xfId="4" applyNumberFormat="1" applyFont="1" applyFill="1" applyBorder="1" applyAlignment="1">
      <alignment horizontal="right" vertical="center"/>
    </xf>
    <xf numFmtId="166" fontId="31" fillId="0" borderId="169" xfId="4" applyNumberFormat="1" applyFont="1" applyFill="1" applyBorder="1" applyAlignment="1">
      <alignment vertical="center"/>
    </xf>
    <xf numFmtId="166" fontId="7" fillId="0" borderId="169" xfId="1" applyNumberFormat="1" applyFont="1" applyFill="1" applyBorder="1" applyAlignment="1">
      <alignment horizontal="right" vertical="center"/>
    </xf>
    <xf numFmtId="43" fontId="27" fillId="0" borderId="169" xfId="1" applyNumberFormat="1" applyFont="1" applyFill="1" applyBorder="1" applyAlignment="1">
      <alignment horizontal="right" vertical="center"/>
    </xf>
    <xf numFmtId="43" fontId="27" fillId="0" borderId="169" xfId="4" applyNumberFormat="1" applyFont="1" applyFill="1" applyBorder="1" applyAlignment="1">
      <alignment horizontal="right" vertical="center"/>
    </xf>
    <xf numFmtId="3" fontId="24" fillId="6" borderId="177" xfId="1" applyNumberFormat="1" applyFont="1" applyFill="1" applyBorder="1" applyAlignment="1">
      <alignment vertical="center"/>
    </xf>
    <xf numFmtId="166" fontId="27" fillId="0" borderId="169" xfId="1" applyNumberFormat="1" applyFont="1" applyFill="1" applyBorder="1" applyAlignment="1">
      <alignment horizontal="right" vertical="center"/>
    </xf>
    <xf numFmtId="43" fontId="33" fillId="0" borderId="178" xfId="1" applyNumberFormat="1" applyFont="1" applyFill="1" applyBorder="1" applyAlignment="1">
      <alignment vertical="center"/>
    </xf>
    <xf numFmtId="166" fontId="7" fillId="0" borderId="177" xfId="1" applyNumberFormat="1" applyFont="1" applyFill="1" applyBorder="1" applyAlignment="1">
      <alignment horizontal="right" vertical="center"/>
    </xf>
    <xf numFmtId="43" fontId="7" fillId="0" borderId="178" xfId="1" applyNumberFormat="1" applyFont="1" applyFill="1" applyBorder="1" applyAlignment="1">
      <alignment horizontal="right" vertical="center"/>
    </xf>
    <xf numFmtId="43" fontId="7" fillId="0" borderId="177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188" xfId="1" applyNumberFormat="1" applyFont="1" applyFill="1" applyBorder="1" applyAlignment="1">
      <alignment horizontal="right" vertical="center"/>
    </xf>
    <xf numFmtId="43" fontId="7" fillId="0" borderId="188" xfId="4" applyNumberFormat="1" applyFont="1" applyFill="1" applyBorder="1" applyAlignment="1">
      <alignment horizontal="right" vertical="center"/>
    </xf>
    <xf numFmtId="3" fontId="8" fillId="6" borderId="177" xfId="0" applyNumberFormat="1" applyFont="1" applyFill="1" applyBorder="1"/>
    <xf numFmtId="3" fontId="8" fillId="8" borderId="177" xfId="0" applyNumberFormat="1" applyFont="1" applyFill="1" applyBorder="1"/>
    <xf numFmtId="3" fontId="65" fillId="17" borderId="9" xfId="0" applyNumberFormat="1" applyFont="1" applyFill="1" applyBorder="1"/>
    <xf numFmtId="3" fontId="6" fillId="11" borderId="177" xfId="0" applyNumberFormat="1" applyFont="1" applyFill="1" applyBorder="1"/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6" fillId="6" borderId="74" xfId="0" applyNumberFormat="1" applyFont="1" applyFill="1" applyBorder="1"/>
    <xf numFmtId="3" fontId="76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74" xfId="0" applyNumberFormat="1" applyFont="1" applyFill="1" applyBorder="1"/>
    <xf numFmtId="3" fontId="76" fillId="12" borderId="11" xfId="0" applyNumberFormat="1" applyFont="1" applyFill="1" applyBorder="1"/>
    <xf numFmtId="3" fontId="76" fillId="12" borderId="21" xfId="0" applyNumberFormat="1" applyFont="1" applyFill="1" applyBorder="1"/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74" xfId="0" applyNumberFormat="1" applyFont="1" applyFill="1" applyBorder="1"/>
    <xf numFmtId="3" fontId="77" fillId="17" borderId="11" xfId="0" applyNumberFormat="1" applyFont="1" applyFill="1" applyBorder="1"/>
    <xf numFmtId="3" fontId="77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65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6" fillId="11" borderId="74" xfId="0" applyNumberFormat="1" applyFont="1" applyFill="1" applyBorder="1"/>
    <xf numFmtId="3" fontId="76" fillId="18" borderId="52" xfId="0" applyNumberFormat="1" applyFont="1" applyFill="1" applyBorder="1" applyAlignment="1">
      <alignment vertical="top"/>
    </xf>
    <xf numFmtId="3" fontId="76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8" fillId="18" borderId="25" xfId="0" applyNumberFormat="1" applyFont="1" applyFill="1" applyBorder="1"/>
    <xf numFmtId="3" fontId="38" fillId="0" borderId="178" xfId="4" applyNumberFormat="1" applyFont="1" applyFill="1" applyBorder="1" applyAlignment="1">
      <alignment horizontal="right" vertical="center"/>
    </xf>
    <xf numFmtId="0" fontId="39" fillId="0" borderId="168" xfId="0" applyFont="1" applyBorder="1"/>
    <xf numFmtId="3" fontId="37" fillId="0" borderId="178" xfId="0" applyNumberFormat="1" applyFont="1" applyBorder="1"/>
    <xf numFmtId="3" fontId="8" fillId="0" borderId="178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23" fillId="6" borderId="153" xfId="6" applyNumberFormat="1" applyFont="1" applyFill="1" applyBorder="1" applyAlignment="1">
      <alignment horizontal="right" vertical="center"/>
    </xf>
    <xf numFmtId="43" fontId="23" fillId="6" borderId="153" xfId="1" applyFont="1" applyFill="1" applyBorder="1" applyAlignment="1">
      <alignment horizontal="right" vertical="center"/>
    </xf>
    <xf numFmtId="3" fontId="25" fillId="22" borderId="163" xfId="4" applyNumberFormat="1" applyFont="1" applyFill="1" applyBorder="1" applyAlignment="1">
      <alignment horizontal="right" vertical="center"/>
    </xf>
    <xf numFmtId="3" fontId="33" fillId="0" borderId="153" xfId="6" applyNumberFormat="1" applyFont="1" applyFill="1" applyBorder="1" applyAlignment="1">
      <alignment horizontal="right" vertical="center"/>
    </xf>
    <xf numFmtId="43" fontId="33" fillId="0" borderId="153" xfId="1" applyFont="1" applyFill="1" applyBorder="1" applyAlignment="1">
      <alignment horizontal="right" vertical="center"/>
    </xf>
    <xf numFmtId="43" fontId="31" fillId="0" borderId="153" xfId="1" applyFont="1" applyFill="1" applyBorder="1" applyAlignment="1">
      <alignment horizontal="right" vertical="center"/>
    </xf>
    <xf numFmtId="3" fontId="33" fillId="0" borderId="163" xfId="6" applyNumberFormat="1" applyFont="1" applyFill="1" applyBorder="1" applyAlignment="1">
      <alignment vertical="center"/>
    </xf>
    <xf numFmtId="3" fontId="7" fillId="0" borderId="163" xfId="4" applyNumberFormat="1" applyFont="1" applyFill="1" applyBorder="1" applyAlignment="1">
      <alignment horizontal="right" vertical="center"/>
    </xf>
    <xf numFmtId="3" fontId="7" fillId="0" borderId="153" xfId="0" applyNumberFormat="1" applyFont="1" applyFill="1" applyBorder="1" applyAlignment="1">
      <alignment vertical="top"/>
    </xf>
    <xf numFmtId="3" fontId="27" fillId="0" borderId="163" xfId="4" applyNumberFormat="1" applyFont="1" applyFill="1" applyBorder="1" applyAlignment="1">
      <alignment horizontal="right" vertical="center"/>
    </xf>
    <xf numFmtId="3" fontId="31" fillId="0" borderId="163" xfId="4" applyNumberFormat="1" applyFont="1" applyFill="1" applyBorder="1" applyAlignment="1">
      <alignment vertical="center"/>
    </xf>
    <xf numFmtId="3" fontId="31" fillId="23" borderId="188" xfId="4" applyNumberFormat="1" applyFont="1" applyFill="1" applyBorder="1" applyAlignment="1">
      <alignment vertical="center"/>
    </xf>
    <xf numFmtId="3" fontId="31" fillId="0" borderId="153" xfId="4" applyNumberFormat="1" applyFont="1" applyFill="1" applyBorder="1" applyAlignment="1">
      <alignment horizontal="right" vertical="center"/>
    </xf>
    <xf numFmtId="0" fontId="7" fillId="0" borderId="158" xfId="4" applyFont="1" applyFill="1" applyBorder="1" applyAlignment="1">
      <alignment vertical="center"/>
    </xf>
    <xf numFmtId="0" fontId="27" fillId="2" borderId="158" xfId="4" applyFont="1" applyFill="1" applyBorder="1" applyAlignment="1">
      <alignment vertical="center"/>
    </xf>
    <xf numFmtId="43" fontId="7" fillId="0" borderId="72" xfId="1" applyFont="1" applyFill="1" applyBorder="1" applyAlignment="1">
      <alignment horizontal="right" vertical="center"/>
    </xf>
    <xf numFmtId="3" fontId="25" fillId="6" borderId="163" xfId="4" applyNumberFormat="1" applyFont="1" applyFill="1" applyBorder="1" applyAlignment="1">
      <alignment vertical="center"/>
    </xf>
    <xf numFmtId="43" fontId="25" fillId="6" borderId="163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31" fillId="0" borderId="154" xfId="4" applyNumberFormat="1" applyFont="1" applyFill="1" applyBorder="1" applyAlignment="1">
      <alignment horizontal="right" vertical="center"/>
    </xf>
    <xf numFmtId="43" fontId="33" fillId="0" borderId="163" xfId="1" applyFont="1" applyFill="1" applyBorder="1" applyAlignment="1">
      <alignment vertical="center"/>
    </xf>
    <xf numFmtId="43" fontId="24" fillId="6" borderId="163" xfId="1" applyFont="1" applyFill="1" applyBorder="1" applyAlignment="1">
      <alignment vertical="center"/>
    </xf>
    <xf numFmtId="3" fontId="24" fillId="6" borderId="163" xfId="4" applyNumberFormat="1" applyFont="1" applyFill="1" applyBorder="1" applyAlignment="1">
      <alignment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9" fillId="2" borderId="153" xfId="4" applyNumberFormat="1" applyFont="1" applyFill="1" applyBorder="1" applyAlignment="1">
      <alignment vertical="center"/>
    </xf>
    <xf numFmtId="3" fontId="32" fillId="0" borderId="20" xfId="0" applyNumberFormat="1" applyFont="1" applyBorder="1" applyAlignment="1">
      <alignment horizontal="center" vertical="center"/>
    </xf>
    <xf numFmtId="43" fontId="29" fillId="2" borderId="153" xfId="1" applyFont="1" applyFill="1" applyBorder="1" applyAlignment="1">
      <alignment vertical="center"/>
    </xf>
    <xf numFmtId="3" fontId="8" fillId="0" borderId="188" xfId="4" applyNumberFormat="1" applyFont="1" applyFill="1" applyBorder="1" applyAlignment="1">
      <alignment horizontal="right" vertical="center"/>
    </xf>
    <xf numFmtId="3" fontId="8" fillId="0" borderId="130" xfId="4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30" xfId="4" applyNumberFormat="1" applyFont="1" applyFill="1" applyBorder="1" applyAlignment="1">
      <alignment horizontal="right" vertical="center"/>
    </xf>
    <xf numFmtId="0" fontId="24" fillId="8" borderId="178" xfId="4" applyFont="1" applyFill="1" applyBorder="1" applyAlignment="1">
      <alignment vertical="center" wrapText="1"/>
    </xf>
    <xf numFmtId="0" fontId="24" fillId="8" borderId="178" xfId="4" applyFont="1" applyFill="1" applyBorder="1" applyAlignment="1">
      <alignment horizontal="center" vertical="center" wrapText="1"/>
    </xf>
    <xf numFmtId="0" fontId="24" fillId="6" borderId="178" xfId="4" applyFont="1" applyFill="1" applyBorder="1" applyAlignment="1">
      <alignment horizontal="left" vertical="center"/>
    </xf>
    <xf numFmtId="3" fontId="29" fillId="2" borderId="178" xfId="4" applyNumberFormat="1" applyFont="1" applyFill="1" applyBorder="1" applyAlignment="1">
      <alignment vertical="top" wrapText="1"/>
    </xf>
    <xf numFmtId="0" fontId="7" fillId="0" borderId="178" xfId="4" applyFont="1" applyFill="1" applyBorder="1" applyAlignment="1">
      <alignment vertical="top"/>
    </xf>
    <xf numFmtId="0" fontId="29" fillId="2" borderId="178" xfId="4" applyFont="1" applyFill="1" applyBorder="1" applyAlignment="1">
      <alignment vertical="top"/>
    </xf>
    <xf numFmtId="0" fontId="32" fillId="0" borderId="188" xfId="0" applyFont="1" applyBorder="1"/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0" fontId="32" fillId="0" borderId="114" xfId="0" applyFont="1" applyBorder="1" applyAlignment="1">
      <alignment vertical="center"/>
    </xf>
    <xf numFmtId="3" fontId="25" fillId="6" borderId="168" xfId="4" applyNumberFormat="1" applyFont="1" applyFill="1" applyBorder="1" applyAlignment="1">
      <alignment horizontal="right" vertical="center"/>
    </xf>
    <xf numFmtId="3" fontId="24" fillId="6" borderId="178" xfId="4" applyNumberFormat="1" applyFont="1" applyFill="1" applyBorder="1" applyAlignment="1">
      <alignment horizontal="right" vertical="center"/>
    </xf>
    <xf numFmtId="3" fontId="29" fillId="2" borderId="178" xfId="4" applyNumberFormat="1" applyFont="1" applyFill="1" applyBorder="1" applyAlignment="1">
      <alignment vertical="center" wrapText="1"/>
    </xf>
    <xf numFmtId="0" fontId="7" fillId="0" borderId="188" xfId="4" applyFont="1" applyFill="1" applyBorder="1" applyAlignment="1">
      <alignment vertical="center"/>
    </xf>
    <xf numFmtId="0" fontId="27" fillId="2" borderId="92" xfId="4" applyFont="1" applyFill="1" applyBorder="1" applyAlignment="1">
      <alignment vertical="top"/>
    </xf>
    <xf numFmtId="43" fontId="27" fillId="2" borderId="177" xfId="1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0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horizontal="left" vertical="center" wrapText="1"/>
    </xf>
    <xf numFmtId="3" fontId="31" fillId="0" borderId="178" xfId="0" applyNumberFormat="1" applyFont="1" applyFill="1" applyBorder="1" applyAlignment="1">
      <alignment horizontal="right" vertical="center"/>
    </xf>
    <xf numFmtId="3" fontId="25" fillId="25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70" xfId="0" applyFont="1" applyFill="1" applyBorder="1" applyAlignment="1">
      <alignment horizontal="left" vertical="center" wrapText="1"/>
    </xf>
    <xf numFmtId="43" fontId="31" fillId="0" borderId="178" xfId="1" applyFont="1" applyFill="1" applyBorder="1" applyAlignment="1">
      <alignment vertical="top"/>
    </xf>
    <xf numFmtId="0" fontId="27" fillId="2" borderId="161" xfId="4" applyFont="1" applyFill="1" applyBorder="1" applyAlignment="1">
      <alignment vertical="top"/>
    </xf>
    <xf numFmtId="3" fontId="38" fillId="0" borderId="152" xfId="0" applyNumberFormat="1" applyFont="1" applyFill="1" applyBorder="1" applyAlignment="1">
      <alignment vertical="center"/>
    </xf>
    <xf numFmtId="3" fontId="38" fillId="0" borderId="114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117" xfId="0" applyFont="1" applyFill="1" applyBorder="1" applyAlignment="1">
      <alignment vertical="center" wrapText="1"/>
    </xf>
    <xf numFmtId="0" fontId="7" fillId="0" borderId="74" xfId="0" applyFont="1" applyFill="1" applyBorder="1" applyAlignment="1">
      <alignment vertical="center" wrapText="1"/>
    </xf>
    <xf numFmtId="0" fontId="19" fillId="0" borderId="66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3" fontId="31" fillId="8" borderId="7" xfId="0" applyNumberFormat="1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87" xfId="0" applyNumberFormat="1" applyFont="1" applyFill="1" applyBorder="1" applyAlignment="1">
      <alignment vertical="center"/>
    </xf>
    <xf numFmtId="3" fontId="28" fillId="0" borderId="87" xfId="0" applyNumberFormat="1" applyFont="1" applyFill="1" applyBorder="1" applyAlignment="1">
      <alignment vertical="center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89" xfId="0" applyNumberFormat="1" applyFont="1" applyFill="1" applyBorder="1" applyAlignment="1">
      <alignment vertical="top"/>
    </xf>
    <xf numFmtId="0" fontId="31" fillId="0" borderId="93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14" xfId="0" applyNumberFormat="1" applyFont="1" applyFill="1" applyBorder="1" applyAlignment="1">
      <alignment horizontal="right" vertical="center"/>
    </xf>
    <xf numFmtId="3" fontId="24" fillId="22" borderId="177" xfId="0" applyNumberFormat="1" applyFont="1" applyFill="1" applyBorder="1" applyAlignment="1">
      <alignment vertical="top"/>
    </xf>
    <xf numFmtId="3" fontId="25" fillId="2" borderId="177" xfId="0" applyNumberFormat="1" applyFont="1" applyFill="1" applyBorder="1" applyAlignment="1">
      <alignment vertical="center"/>
    </xf>
    <xf numFmtId="3" fontId="27" fillId="2" borderId="177" xfId="0" applyNumberFormat="1" applyFont="1" applyFill="1" applyBorder="1" applyAlignment="1">
      <alignment vertical="center"/>
    </xf>
    <xf numFmtId="3" fontId="29" fillId="26" borderId="177" xfId="0" applyNumberFormat="1" applyFont="1" applyFill="1" applyBorder="1" applyAlignment="1">
      <alignment vertical="center"/>
    </xf>
    <xf numFmtId="3" fontId="27" fillId="0" borderId="119" xfId="4" applyNumberFormat="1" applyFont="1" applyFill="1" applyBorder="1" applyAlignment="1">
      <alignment vertical="center" wrapText="1"/>
    </xf>
    <xf numFmtId="0" fontId="32" fillId="0" borderId="119" xfId="0" applyFont="1" applyBorder="1" applyAlignment="1">
      <alignment vertical="center"/>
    </xf>
    <xf numFmtId="0" fontId="25" fillId="6" borderId="163" xfId="4" applyFont="1" applyFill="1" applyBorder="1" applyAlignment="1">
      <alignment horizontal="left" vertical="center"/>
    </xf>
    <xf numFmtId="0" fontId="31" fillId="6" borderId="163" xfId="0" applyFont="1" applyFill="1" applyBorder="1" applyAlignment="1">
      <alignment vertical="top"/>
    </xf>
    <xf numFmtId="3" fontId="25" fillId="6" borderId="163" xfId="0" applyNumberFormat="1" applyFont="1" applyFill="1" applyBorder="1" applyAlignment="1">
      <alignment vertical="top"/>
    </xf>
    <xf numFmtId="3" fontId="25" fillId="22" borderId="163" xfId="0" applyNumberFormat="1" applyFont="1" applyFill="1" applyBorder="1" applyAlignment="1">
      <alignment vertical="top"/>
    </xf>
    <xf numFmtId="3" fontId="27" fillId="0" borderId="163" xfId="4" applyNumberFormat="1" applyFont="1" applyFill="1" applyBorder="1" applyAlignment="1">
      <alignment vertical="top" wrapText="1"/>
    </xf>
    <xf numFmtId="3" fontId="27" fillId="0" borderId="163" xfId="0" applyNumberFormat="1" applyFont="1" applyFill="1" applyBorder="1" applyAlignment="1">
      <alignment vertical="top"/>
    </xf>
    <xf numFmtId="3" fontId="25" fillId="25" borderId="163" xfId="0" applyNumberFormat="1" applyFont="1" applyFill="1" applyBorder="1" applyAlignment="1">
      <alignment vertical="top"/>
    </xf>
    <xf numFmtId="0" fontId="32" fillId="0" borderId="163" xfId="0" applyFont="1" applyBorder="1"/>
    <xf numFmtId="3" fontId="31" fillId="2" borderId="163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0" fontId="32" fillId="0" borderId="163" xfId="0" applyFont="1" applyBorder="1" applyAlignment="1">
      <alignment vertical="center"/>
    </xf>
    <xf numFmtId="3" fontId="31" fillId="2" borderId="163" xfId="0" applyNumberFormat="1" applyFont="1" applyFill="1" applyBorder="1" applyAlignment="1">
      <alignment vertical="center"/>
    </xf>
    <xf numFmtId="0" fontId="33" fillId="0" borderId="163" xfId="0" applyFont="1" applyBorder="1" applyAlignment="1">
      <alignment vertical="center"/>
    </xf>
    <xf numFmtId="3" fontId="27" fillId="0" borderId="163" xfId="0" applyNumberFormat="1" applyFont="1" applyFill="1" applyBorder="1" applyAlignment="1">
      <alignment vertical="center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1" fillId="6" borderId="163" xfId="0" applyFont="1" applyFill="1" applyBorder="1" applyAlignment="1">
      <alignment vertical="center"/>
    </xf>
    <xf numFmtId="3" fontId="25" fillId="6" borderId="163" xfId="0" applyNumberFormat="1" applyFont="1" applyFill="1" applyBorder="1" applyAlignment="1">
      <alignment vertical="center"/>
    </xf>
    <xf numFmtId="3" fontId="27" fillId="0" borderId="163" xfId="4" applyNumberFormat="1" applyFont="1" applyFill="1" applyBorder="1" applyAlignment="1">
      <alignment vertical="center" wrapText="1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19" xfId="4" applyNumberFormat="1" applyFont="1" applyFill="1" applyBorder="1" applyAlignment="1">
      <alignment vertical="center" wrapText="1"/>
    </xf>
    <xf numFmtId="0" fontId="31" fillId="6" borderId="178" xfId="0" applyFont="1" applyFill="1" applyBorder="1" applyAlignment="1">
      <alignment vertical="top"/>
    </xf>
    <xf numFmtId="3" fontId="27" fillId="0" borderId="178" xfId="4" applyNumberFormat="1" applyFont="1" applyFill="1" applyBorder="1" applyAlignment="1">
      <alignment vertical="top" wrapText="1"/>
    </xf>
    <xf numFmtId="0" fontId="32" fillId="0" borderId="178" xfId="0" applyFont="1" applyBorder="1"/>
    <xf numFmtId="3" fontId="31" fillId="2" borderId="178" xfId="0" applyNumberFormat="1" applyFont="1" applyFill="1" applyBorder="1" applyAlignment="1">
      <alignment vertical="top"/>
    </xf>
    <xf numFmtId="0" fontId="32" fillId="0" borderId="178" xfId="0" applyFont="1" applyBorder="1" applyAlignment="1">
      <alignment vertical="center"/>
    </xf>
    <xf numFmtId="3" fontId="31" fillId="2" borderId="178" xfId="0" applyNumberFormat="1" applyFont="1" applyFill="1" applyBorder="1" applyAlignment="1">
      <alignment vertical="center"/>
    </xf>
    <xf numFmtId="0" fontId="33" fillId="0" borderId="178" xfId="0" applyFont="1" applyBorder="1" applyAlignment="1">
      <alignment vertical="center"/>
    </xf>
    <xf numFmtId="0" fontId="31" fillId="6" borderId="178" xfId="0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194" xfId="4" applyNumberFormat="1" applyFont="1" applyFill="1" applyBorder="1" applyAlignment="1">
      <alignment vertical="center"/>
    </xf>
    <xf numFmtId="43" fontId="31" fillId="0" borderId="194" xfId="1" applyFont="1" applyFill="1" applyBorder="1" applyAlignment="1"/>
    <xf numFmtId="3" fontId="31" fillId="2" borderId="35" xfId="0" applyNumberFormat="1" applyFont="1" applyFill="1" applyBorder="1" applyAlignment="1">
      <alignment vertical="center"/>
    </xf>
    <xf numFmtId="3" fontId="31" fillId="23" borderId="35" xfId="0" applyNumberFormat="1" applyFont="1" applyFill="1" applyBorder="1" applyAlignment="1">
      <alignment vertical="top"/>
    </xf>
    <xf numFmtId="0" fontId="24" fillId="8" borderId="19" xfId="4" applyFont="1" applyFill="1" applyBorder="1" applyAlignment="1">
      <alignment horizontal="left" vertical="center" wrapText="1"/>
    </xf>
    <xf numFmtId="3" fontId="31" fillId="0" borderId="130" xfId="4" applyNumberFormat="1" applyFont="1" applyFill="1" applyBorder="1" applyAlignment="1">
      <alignment vertical="top"/>
    </xf>
    <xf numFmtId="3" fontId="7" fillId="0" borderId="154" xfId="4" applyNumberFormat="1" applyFont="1" applyFill="1" applyBorder="1" applyAlignment="1">
      <alignment vertical="center"/>
    </xf>
    <xf numFmtId="0" fontId="7" fillId="32" borderId="74" xfId="4" applyFont="1" applyFill="1" applyBorder="1" applyAlignment="1">
      <alignment vertical="top"/>
    </xf>
    <xf numFmtId="3" fontId="27" fillId="23" borderId="178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3" fontId="24" fillId="6" borderId="177" xfId="1" applyNumberFormat="1" applyFont="1" applyFill="1" applyBorder="1" applyAlignment="1">
      <alignment horizontal="right" vertical="center"/>
    </xf>
    <xf numFmtId="3" fontId="27" fillId="0" borderId="174" xfId="1" applyNumberFormat="1" applyFont="1" applyFill="1" applyBorder="1" applyAlignment="1">
      <alignment horizontal="right" vertical="center"/>
    </xf>
    <xf numFmtId="43" fontId="27" fillId="0" borderId="174" xfId="1" applyFont="1" applyFill="1" applyBorder="1" applyAlignment="1">
      <alignment horizontal="right" vertical="center"/>
    </xf>
    <xf numFmtId="43" fontId="31" fillId="0" borderId="177" xfId="1" applyFont="1" applyFill="1" applyBorder="1" applyAlignment="1"/>
    <xf numFmtId="3" fontId="31" fillId="0" borderId="177" xfId="1" applyNumberFormat="1" applyFont="1" applyFill="1" applyBorder="1" applyAlignment="1">
      <alignment horizontal="right"/>
    </xf>
    <xf numFmtId="3" fontId="33" fillId="0" borderId="178" xfId="1" applyNumberFormat="1" applyFont="1" applyFill="1" applyBorder="1" applyAlignment="1">
      <alignment horizontal="right" vertical="center"/>
    </xf>
    <xf numFmtId="43" fontId="31" fillId="0" borderId="169" xfId="4" applyNumberFormat="1" applyFont="1" applyFill="1" applyBorder="1" applyAlignment="1">
      <alignment vertical="center"/>
    </xf>
    <xf numFmtId="0" fontId="28" fillId="0" borderId="181" xfId="4" applyFont="1" applyFill="1" applyBorder="1" applyAlignment="1">
      <alignment horizontal="right" vertical="center"/>
    </xf>
    <xf numFmtId="3" fontId="28" fillId="0" borderId="169" xfId="4" applyNumberFormat="1" applyFont="1" applyFill="1" applyBorder="1" applyAlignment="1">
      <alignment vertical="center"/>
    </xf>
    <xf numFmtId="43" fontId="33" fillId="0" borderId="178" xfId="6" applyNumberFormat="1" applyFont="1" applyFill="1" applyBorder="1" applyAlignment="1">
      <alignment vertical="center"/>
    </xf>
    <xf numFmtId="3" fontId="32" fillId="0" borderId="169" xfId="6" applyNumberFormat="1" applyFont="1" applyFill="1" applyBorder="1" applyAlignment="1">
      <alignment vertical="center"/>
    </xf>
    <xf numFmtId="43" fontId="32" fillId="0" borderId="169" xfId="6" applyNumberFormat="1" applyFont="1" applyFill="1" applyBorder="1" applyAlignment="1">
      <alignment vertical="center"/>
    </xf>
    <xf numFmtId="43" fontId="33" fillId="0" borderId="169" xfId="6" applyNumberFormat="1" applyFont="1" applyFill="1" applyBorder="1" applyAlignment="1">
      <alignment vertical="center"/>
    </xf>
    <xf numFmtId="3" fontId="28" fillId="0" borderId="169" xfId="4" applyNumberFormat="1" applyFont="1" applyFill="1" applyBorder="1" applyAlignment="1">
      <alignment horizontal="right" vertical="center"/>
    </xf>
    <xf numFmtId="43" fontId="63" fillId="0" borderId="178" xfId="6" applyNumberFormat="1" applyFont="1" applyFill="1" applyBorder="1" applyAlignment="1">
      <alignment vertical="center"/>
    </xf>
    <xf numFmtId="43" fontId="32" fillId="0" borderId="178" xfId="6" applyNumberFormat="1" applyFont="1" applyFill="1" applyBorder="1" applyAlignment="1">
      <alignment vertical="center"/>
    </xf>
    <xf numFmtId="3" fontId="31" fillId="2" borderId="188" xfId="0" applyNumberFormat="1" applyFont="1" applyFill="1" applyBorder="1" applyAlignment="1">
      <alignment vertical="center"/>
    </xf>
    <xf numFmtId="43" fontId="27" fillId="2" borderId="178" xfId="1" applyFont="1" applyFill="1" applyBorder="1" applyAlignment="1">
      <alignment vertical="center"/>
    </xf>
    <xf numFmtId="3" fontId="17" fillId="6" borderId="179" xfId="4" applyNumberFormat="1" applyFont="1" applyFill="1" applyBorder="1" applyAlignment="1">
      <alignment vertical="center"/>
    </xf>
    <xf numFmtId="3" fontId="7" fillId="0" borderId="188" xfId="4" applyNumberFormat="1" applyFont="1" applyFill="1" applyBorder="1" applyAlignment="1"/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8" fillId="6" borderId="35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43" fontId="29" fillId="0" borderId="178" xfId="1" applyFont="1" applyFill="1" applyBorder="1" applyAlignment="1">
      <alignment horizontal="right" vertical="center"/>
    </xf>
    <xf numFmtId="3" fontId="7" fillId="0" borderId="188" xfId="0" applyNumberFormat="1" applyFont="1" applyFill="1" applyBorder="1" applyAlignment="1">
      <alignment vertical="top"/>
    </xf>
    <xf numFmtId="43" fontId="7" fillId="0" borderId="188" xfId="1" applyFont="1" applyFill="1" applyBorder="1" applyAlignment="1">
      <alignment vertical="top"/>
    </xf>
    <xf numFmtId="3" fontId="7" fillId="25" borderId="188" xfId="4" applyNumberFormat="1" applyFont="1" applyFill="1" applyBorder="1" applyAlignment="1">
      <alignment vertical="top"/>
    </xf>
    <xf numFmtId="3" fontId="7" fillId="0" borderId="178" xfId="0" applyNumberFormat="1" applyFont="1" applyFill="1" applyBorder="1" applyAlignment="1">
      <alignment vertical="top"/>
    </xf>
    <xf numFmtId="3" fontId="24" fillId="34" borderId="178" xfId="4" applyNumberFormat="1" applyFont="1" applyFill="1" applyBorder="1" applyAlignment="1">
      <alignment horizontal="center" vertical="center"/>
    </xf>
    <xf numFmtId="3" fontId="7" fillId="0" borderId="186" xfId="4" applyNumberFormat="1" applyFont="1" applyFill="1" applyBorder="1" applyAlignment="1">
      <alignment vertical="top"/>
    </xf>
    <xf numFmtId="0" fontId="37" fillId="0" borderId="178" xfId="0" applyFont="1" applyBorder="1" applyAlignment="1">
      <alignment vertical="center"/>
    </xf>
    <xf numFmtId="0" fontId="39" fillId="0" borderId="178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2" fontId="31" fillId="0" borderId="194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7" fillId="0" borderId="188" xfId="4" applyFont="1" applyFill="1" applyBorder="1" applyAlignment="1">
      <alignment vertical="top"/>
    </xf>
    <xf numFmtId="3" fontId="27" fillId="23" borderId="178" xfId="4" applyNumberFormat="1" applyFont="1" applyFill="1" applyBorder="1" applyAlignment="1">
      <alignment horizontal="right" vertical="center"/>
    </xf>
    <xf numFmtId="0" fontId="7" fillId="54" borderId="178" xfId="4" applyFont="1" applyFill="1" applyBorder="1" applyAlignment="1">
      <alignment vertical="top"/>
    </xf>
    <xf numFmtId="3" fontId="32" fillId="54" borderId="178" xfId="6" applyNumberFormat="1" applyFont="1" applyFill="1" applyBorder="1" applyAlignment="1">
      <alignment vertical="center"/>
    </xf>
    <xf numFmtId="3" fontId="7" fillId="54" borderId="178" xfId="4" applyNumberFormat="1" applyFont="1" applyFill="1" applyBorder="1" applyAlignment="1">
      <alignment horizontal="right" vertical="center"/>
    </xf>
    <xf numFmtId="3" fontId="31" fillId="54" borderId="178" xfId="4" applyNumberFormat="1" applyFont="1" applyFill="1" applyBorder="1" applyAlignment="1">
      <alignment horizontal="right" vertical="center"/>
    </xf>
    <xf numFmtId="3" fontId="7" fillId="25" borderId="178" xfId="4" applyNumberFormat="1" applyFont="1" applyFill="1" applyBorder="1" applyAlignment="1">
      <alignment horizontal="right" vertical="center"/>
    </xf>
    <xf numFmtId="0" fontId="7" fillId="57" borderId="178" xfId="4" applyFont="1" applyFill="1" applyBorder="1" applyAlignment="1">
      <alignment vertical="top"/>
    </xf>
    <xf numFmtId="3" fontId="32" fillId="57" borderId="178" xfId="6" applyNumberFormat="1" applyFont="1" applyFill="1" applyBorder="1" applyAlignment="1">
      <alignment vertical="center"/>
    </xf>
    <xf numFmtId="3" fontId="7" fillId="57" borderId="178" xfId="4" applyNumberFormat="1" applyFont="1" applyFill="1" applyBorder="1" applyAlignment="1">
      <alignment horizontal="right" vertical="center"/>
    </xf>
    <xf numFmtId="3" fontId="31" fillId="57" borderId="178" xfId="4" applyNumberFormat="1" applyFont="1" applyFill="1" applyBorder="1" applyAlignment="1">
      <alignment horizontal="right" vertical="center"/>
    </xf>
    <xf numFmtId="0" fontId="32" fillId="57" borderId="178" xfId="0" applyFont="1" applyFill="1" applyBorder="1" applyAlignment="1">
      <alignment horizontal="center" vertical="center" wrapText="1"/>
    </xf>
    <xf numFmtId="3" fontId="32" fillId="0" borderId="194" xfId="6" applyNumberFormat="1" applyFont="1" applyFill="1" applyBorder="1" applyAlignment="1">
      <alignment vertical="center"/>
    </xf>
    <xf numFmtId="0" fontId="65" fillId="0" borderId="186" xfId="0" applyFont="1" applyBorder="1" applyAlignment="1">
      <alignment horizontal="center" vertical="center"/>
    </xf>
    <xf numFmtId="0" fontId="65" fillId="0" borderId="174" xfId="0" applyFont="1" applyBorder="1" applyAlignment="1">
      <alignment horizontal="center" vertical="center"/>
    </xf>
    <xf numFmtId="0" fontId="65" fillId="0" borderId="174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78" xfId="0" applyNumberFormat="1" applyFont="1" applyFill="1" applyBorder="1"/>
    <xf numFmtId="3" fontId="6" fillId="6" borderId="178" xfId="0" applyNumberFormat="1" applyFont="1" applyFill="1" applyBorder="1"/>
    <xf numFmtId="0" fontId="6" fillId="0" borderId="196" xfId="0" applyFont="1" applyFill="1" applyBorder="1" applyAlignment="1">
      <alignment vertical="center" wrapText="1"/>
    </xf>
    <xf numFmtId="0" fontId="31" fillId="50" borderId="196" xfId="4" applyFont="1" applyFill="1" applyBorder="1" applyAlignment="1">
      <alignment horizontal="left" vertical="center"/>
    </xf>
    <xf numFmtId="0" fontId="27" fillId="2" borderId="196" xfId="4" applyFont="1" applyFill="1" applyBorder="1" applyAlignment="1">
      <alignment vertical="top"/>
    </xf>
    <xf numFmtId="3" fontId="27" fillId="0" borderId="153" xfId="0" applyNumberFormat="1" applyFont="1" applyFill="1" applyBorder="1" applyAlignment="1">
      <alignment vertical="top"/>
    </xf>
    <xf numFmtId="3" fontId="27" fillId="25" borderId="163" xfId="0" applyNumberFormat="1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78" xfId="0" applyFont="1" applyBorder="1" applyAlignment="1">
      <alignment vertical="center"/>
    </xf>
    <xf numFmtId="3" fontId="8" fillId="0" borderId="178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196" xfId="4" applyFont="1" applyFill="1" applyBorder="1" applyAlignment="1">
      <alignment vertical="top"/>
    </xf>
    <xf numFmtId="3" fontId="27" fillId="8" borderId="163" xfId="4" applyNumberFormat="1" applyFont="1" applyFill="1" applyBorder="1" applyAlignment="1">
      <alignment vertical="top"/>
    </xf>
    <xf numFmtId="0" fontId="7" fillId="8" borderId="196" xfId="4" applyFont="1" applyFill="1" applyBorder="1" applyAlignment="1">
      <alignment vertical="top" wrapText="1"/>
    </xf>
    <xf numFmtId="3" fontId="7" fillId="8" borderId="163" xfId="4" applyNumberFormat="1" applyFont="1" applyFill="1" applyBorder="1" applyAlignment="1">
      <alignment vertical="top"/>
    </xf>
    <xf numFmtId="0" fontId="7" fillId="8" borderId="196" xfId="4" applyFont="1" applyFill="1" applyBorder="1" applyAlignment="1">
      <alignment vertical="top"/>
    </xf>
    <xf numFmtId="0" fontId="31" fillId="8" borderId="194" xfId="4" applyFont="1" applyFill="1" applyBorder="1" applyAlignment="1">
      <alignment horizontal="left" vertical="center"/>
    </xf>
    <xf numFmtId="3" fontId="7" fillId="8" borderId="188" xfId="4" applyNumberFormat="1" applyFont="1" applyFill="1" applyBorder="1" applyAlignment="1">
      <alignment vertical="top"/>
    </xf>
    <xf numFmtId="0" fontId="24" fillId="6" borderId="196" xfId="4" applyFont="1" applyFill="1" applyBorder="1" applyAlignment="1">
      <alignment horizontal="left" vertical="center"/>
    </xf>
    <xf numFmtId="3" fontId="24" fillId="22" borderId="163" xfId="4" applyNumberFormat="1" applyFont="1" applyFill="1" applyBorder="1" applyAlignment="1">
      <alignment vertical="center"/>
    </xf>
    <xf numFmtId="0" fontId="29" fillId="0" borderId="196" xfId="4" applyFont="1" applyFill="1" applyBorder="1" applyAlignment="1">
      <alignment vertical="top"/>
    </xf>
    <xf numFmtId="3" fontId="29" fillId="0" borderId="163" xfId="4" applyNumberFormat="1" applyFont="1" applyFill="1" applyBorder="1" applyAlignment="1">
      <alignment horizontal="right" vertical="center"/>
    </xf>
    <xf numFmtId="3" fontId="29" fillId="25" borderId="163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vertical="top"/>
    </xf>
    <xf numFmtId="3" fontId="7" fillId="0" borderId="163" xfId="4" applyNumberFormat="1" applyFont="1" applyFill="1" applyBorder="1" applyAlignment="1"/>
    <xf numFmtId="3" fontId="7" fillId="0" borderId="163" xfId="4" applyNumberFormat="1" applyFont="1" applyFill="1" applyBorder="1" applyAlignment="1">
      <alignment vertical="top"/>
    </xf>
    <xf numFmtId="3" fontId="7" fillId="25" borderId="163" xfId="4" applyNumberFormat="1" applyFont="1" applyFill="1" applyBorder="1" applyAlignment="1">
      <alignment vertical="center"/>
    </xf>
    <xf numFmtId="0" fontId="7" fillId="32" borderId="196" xfId="4" applyFont="1" applyFill="1" applyBorder="1" applyAlignment="1">
      <alignment vertical="top"/>
    </xf>
    <xf numFmtId="0" fontId="29" fillId="0" borderId="196" xfId="4" applyFont="1" applyFill="1" applyBorder="1" applyAlignment="1">
      <alignment horizontal="left" vertical="center"/>
    </xf>
    <xf numFmtId="0" fontId="29" fillId="8" borderId="179" xfId="4" applyFont="1" applyFill="1" applyBorder="1" applyAlignment="1">
      <alignment vertical="center"/>
    </xf>
    <xf numFmtId="3" fontId="29" fillId="23" borderId="163" xfId="4" applyNumberFormat="1" applyFont="1" applyFill="1" applyBorder="1" applyAlignment="1">
      <alignment vertical="center"/>
    </xf>
    <xf numFmtId="3" fontId="7" fillId="8" borderId="179" xfId="4" applyNumberFormat="1" applyFont="1" applyFill="1" applyBorder="1" applyAlignment="1">
      <alignment vertical="center" wrapText="1"/>
    </xf>
    <xf numFmtId="3" fontId="27" fillId="23" borderId="163" xfId="4" applyNumberFormat="1" applyFont="1" applyFill="1" applyBorder="1" applyAlignment="1">
      <alignment vertical="center"/>
    </xf>
    <xf numFmtId="0" fontId="7" fillId="8" borderId="179" xfId="4" applyFont="1" applyFill="1" applyBorder="1" applyAlignment="1">
      <alignment vertical="center" wrapText="1"/>
    </xf>
    <xf numFmtId="0" fontId="7" fillId="8" borderId="196" xfId="4" applyFont="1" applyFill="1" applyBorder="1" applyAlignment="1">
      <alignment vertical="center" wrapText="1"/>
    </xf>
    <xf numFmtId="0" fontId="25" fillId="6" borderId="196" xfId="4" applyFont="1" applyFill="1" applyBorder="1" applyAlignment="1">
      <alignment horizontal="left" vertical="center"/>
    </xf>
    <xf numFmtId="3" fontId="27" fillId="8" borderId="196" xfId="4" applyNumberFormat="1" applyFont="1" applyFill="1" applyBorder="1" applyAlignment="1">
      <alignment vertical="center" wrapText="1"/>
    </xf>
    <xf numFmtId="3" fontId="27" fillId="8" borderId="179" xfId="4" applyNumberFormat="1" applyFont="1" applyFill="1" applyBorder="1" applyAlignment="1">
      <alignment vertical="center" wrapText="1"/>
    </xf>
    <xf numFmtId="0" fontId="27" fillId="8" borderId="196" xfId="4" applyFont="1" applyFill="1" applyBorder="1" applyAlignment="1">
      <alignment vertical="center"/>
    </xf>
    <xf numFmtId="0" fontId="27" fillId="8" borderId="179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0" fontId="27" fillId="13" borderId="179" xfId="4" applyFont="1" applyFill="1" applyBorder="1" applyAlignment="1">
      <alignment vertical="center"/>
    </xf>
    <xf numFmtId="3" fontId="32" fillId="13" borderId="194" xfId="6" applyNumberFormat="1" applyFont="1" applyFill="1" applyBorder="1" applyAlignment="1">
      <alignment vertical="center"/>
    </xf>
    <xf numFmtId="2" fontId="22" fillId="0" borderId="0" xfId="0" applyNumberFormat="1" applyFont="1" applyBorder="1" applyAlignment="1">
      <alignment horizontal="center" vertical="center" wrapText="1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7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31" fillId="8" borderId="188" xfId="0" applyNumberFormat="1" applyFont="1" applyFill="1" applyBorder="1" applyAlignment="1">
      <alignment vertical="center"/>
    </xf>
    <xf numFmtId="3" fontId="31" fillId="8" borderId="194" xfId="0" applyNumberFormat="1" applyFont="1" applyFill="1" applyBorder="1" applyAlignment="1">
      <alignment vertical="center"/>
    </xf>
    <xf numFmtId="3" fontId="27" fillId="2" borderId="196" xfId="4" applyNumberFormat="1" applyFont="1" applyFill="1" applyBorder="1" applyAlignment="1">
      <alignment vertical="center" wrapText="1"/>
    </xf>
    <xf numFmtId="0" fontId="31" fillId="0" borderId="196" xfId="4" applyFont="1" applyFill="1" applyBorder="1" applyAlignment="1">
      <alignment vertical="center"/>
    </xf>
    <xf numFmtId="0" fontId="27" fillId="2" borderId="196" xfId="4" applyFont="1" applyFill="1" applyBorder="1" applyAlignment="1">
      <alignment vertical="center"/>
    </xf>
    <xf numFmtId="43" fontId="31" fillId="0" borderId="194" xfId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horizontal="left" vertical="center"/>
    </xf>
    <xf numFmtId="0" fontId="7" fillId="0" borderId="127" xfId="4" applyFont="1" applyFill="1" applyBorder="1" applyAlignment="1">
      <alignment horizontal="left" vertical="center"/>
    </xf>
    <xf numFmtId="3" fontId="31" fillId="0" borderId="194" xfId="4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79" xfId="0" applyFont="1" applyFill="1" applyBorder="1" applyAlignment="1">
      <alignment horizontal="center" vertical="top"/>
    </xf>
    <xf numFmtId="0" fontId="21" fillId="2" borderId="163" xfId="0" applyFont="1" applyFill="1" applyBorder="1" applyAlignment="1">
      <alignment horizontal="center" vertical="top"/>
    </xf>
    <xf numFmtId="0" fontId="21" fillId="2" borderId="163" xfId="0" quotePrefix="1" applyFont="1" applyFill="1" applyBorder="1" applyAlignment="1">
      <alignment horizontal="center" vertical="top"/>
    </xf>
    <xf numFmtId="0" fontId="21" fillId="26" borderId="163" xfId="0" quotePrefix="1" applyFont="1" applyFill="1" applyBorder="1" applyAlignment="1">
      <alignment horizontal="center" vertical="top"/>
    </xf>
    <xf numFmtId="0" fontId="21" fillId="2" borderId="173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63" xfId="4" applyNumberFormat="1" applyFont="1" applyFill="1" applyBorder="1" applyAlignment="1">
      <alignment vertical="top"/>
    </xf>
    <xf numFmtId="3" fontId="7" fillId="23" borderId="163" xfId="4" applyNumberFormat="1" applyFont="1" applyFill="1" applyBorder="1" applyAlignment="1">
      <alignment vertical="top"/>
    </xf>
    <xf numFmtId="0" fontId="18" fillId="0" borderId="122" xfId="4" applyFont="1" applyFill="1" applyBorder="1" applyAlignment="1">
      <alignment horizontal="center" vertical="center" wrapText="1"/>
    </xf>
    <xf numFmtId="3" fontId="24" fillId="6" borderId="179" xfId="4" applyNumberFormat="1" applyFont="1" applyFill="1" applyBorder="1" applyAlignment="1">
      <alignment vertical="center"/>
    </xf>
    <xf numFmtId="3" fontId="25" fillId="6" borderId="161" xfId="4" applyNumberFormat="1" applyFont="1" applyFill="1" applyBorder="1" applyAlignment="1">
      <alignment vertical="center"/>
    </xf>
    <xf numFmtId="3" fontId="25" fillId="22" borderId="163" xfId="4" applyNumberFormat="1" applyFont="1" applyFill="1" applyBorder="1" applyAlignment="1">
      <alignment vertical="center"/>
    </xf>
    <xf numFmtId="3" fontId="29" fillId="0" borderId="156" xfId="4" applyNumberFormat="1" applyFont="1" applyFill="1" applyBorder="1" applyAlignment="1">
      <alignment horizontal="right" vertical="center"/>
    </xf>
    <xf numFmtId="3" fontId="27" fillId="25" borderId="163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/>
    <xf numFmtId="3" fontId="31" fillId="0" borderId="156" xfId="4" applyNumberFormat="1" applyFont="1" applyFill="1" applyBorder="1" applyAlignment="1"/>
    <xf numFmtId="3" fontId="31" fillId="0" borderId="163" xfId="4" applyNumberFormat="1" applyFont="1" applyFill="1" applyBorder="1" applyAlignment="1"/>
    <xf numFmtId="3" fontId="29" fillId="0" borderId="161" xfId="4" applyNumberFormat="1" applyFont="1" applyFill="1" applyBorder="1" applyAlignment="1">
      <alignment horizontal="right" vertical="center"/>
    </xf>
    <xf numFmtId="3" fontId="31" fillId="0" borderId="156" xfId="4" applyNumberFormat="1" applyFont="1" applyFill="1" applyBorder="1" applyAlignment="1">
      <alignment horizontal="right" vertical="center"/>
    </xf>
    <xf numFmtId="3" fontId="7" fillId="0" borderId="156" xfId="4" applyNumberFormat="1" applyFont="1" applyFill="1" applyBorder="1" applyAlignment="1">
      <alignment horizontal="right" vertical="center"/>
    </xf>
    <xf numFmtId="3" fontId="24" fillId="6" borderId="161" xfId="4" applyNumberFormat="1" applyFont="1" applyFill="1" applyBorder="1" applyAlignment="1">
      <alignment vertical="center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98" xfId="1" applyFont="1" applyFill="1" applyBorder="1" applyAlignment="1">
      <alignment horizontal="center" vertical="center"/>
    </xf>
    <xf numFmtId="3" fontId="8" fillId="0" borderId="188" xfId="0" applyNumberFormat="1" applyFont="1" applyFill="1" applyBorder="1" applyAlignment="1">
      <alignment vertical="center" wrapText="1"/>
    </xf>
    <xf numFmtId="0" fontId="23" fillId="0" borderId="43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0" fontId="38" fillId="0" borderId="178" xfId="4" applyFont="1" applyFill="1" applyBorder="1" applyAlignment="1">
      <alignment vertical="top"/>
    </xf>
    <xf numFmtId="3" fontId="63" fillId="0" borderId="178" xfId="6" applyNumberFormat="1" applyFont="1" applyFill="1" applyBorder="1" applyAlignment="1">
      <alignment vertical="center"/>
    </xf>
    <xf numFmtId="0" fontId="29" fillId="2" borderId="182" xfId="4" applyFont="1" applyFill="1" applyBorder="1" applyAlignment="1">
      <alignment vertical="center"/>
    </xf>
    <xf numFmtId="0" fontId="31" fillId="0" borderId="127" xfId="4" applyFont="1" applyFill="1" applyBorder="1" applyAlignment="1">
      <alignment vertical="center"/>
    </xf>
    <xf numFmtId="3" fontId="24" fillId="32" borderId="153" xfId="4" applyNumberFormat="1" applyFont="1" applyFill="1" applyBorder="1" applyAlignment="1">
      <alignment vertical="center"/>
    </xf>
    <xf numFmtId="3" fontId="25" fillId="6" borderId="177" xfId="1" applyNumberFormat="1" applyFont="1" applyFill="1" applyBorder="1" applyAlignment="1">
      <alignment vertical="top"/>
    </xf>
    <xf numFmtId="3" fontId="27" fillId="2" borderId="177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77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188" xfId="1" applyNumberFormat="1" applyFont="1" applyFill="1" applyBorder="1" applyAlignment="1">
      <alignment horizontal="right" vertical="center"/>
    </xf>
    <xf numFmtId="3" fontId="25" fillId="32" borderId="9" xfId="0" applyNumberFormat="1" applyFont="1" applyFill="1" applyBorder="1" applyAlignment="1">
      <alignment vertical="top"/>
    </xf>
    <xf numFmtId="3" fontId="31" fillId="32" borderId="194" xfId="4" applyNumberFormat="1" applyFont="1" applyFill="1" applyBorder="1" applyAlignment="1"/>
    <xf numFmtId="3" fontId="31" fillId="32" borderId="188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3" fontId="7" fillId="23" borderId="156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vertical="center"/>
    </xf>
    <xf numFmtId="3" fontId="29" fillId="0" borderId="120" xfId="4" applyNumberFormat="1" applyFont="1" applyFill="1" applyBorder="1" applyAlignment="1">
      <alignment horizontal="right" vertical="center"/>
    </xf>
    <xf numFmtId="3" fontId="29" fillId="0" borderId="119" xfId="4" applyNumberFormat="1" applyFont="1" applyFill="1" applyBorder="1" applyAlignment="1">
      <alignment horizontal="right" vertical="center"/>
    </xf>
    <xf numFmtId="3" fontId="29" fillId="25" borderId="119" xfId="4" applyNumberFormat="1" applyFont="1" applyFill="1" applyBorder="1" applyAlignment="1">
      <alignment horizontal="right" vertical="center"/>
    </xf>
    <xf numFmtId="3" fontId="31" fillId="0" borderId="118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9" fillId="2" borderId="119" xfId="4" applyNumberFormat="1" applyFont="1" applyFill="1" applyBorder="1" applyAlignment="1">
      <alignment horizontal="right" vertical="center"/>
    </xf>
    <xf numFmtId="3" fontId="29" fillId="0" borderId="121" xfId="4" applyNumberFormat="1" applyFont="1" applyFill="1" applyBorder="1" applyAlignment="1">
      <alignment horizontal="right" vertical="center"/>
    </xf>
    <xf numFmtId="3" fontId="29" fillId="0" borderId="118" xfId="4" applyNumberFormat="1" applyFont="1" applyFill="1" applyBorder="1" applyAlignment="1">
      <alignment horizontal="right" vertical="center"/>
    </xf>
    <xf numFmtId="0" fontId="4" fillId="0" borderId="114" xfId="112" applyFont="1" applyBorder="1" applyAlignment="1">
      <alignment vertical="center"/>
    </xf>
    <xf numFmtId="0" fontId="24" fillId="6" borderId="182" xfId="4" applyFont="1" applyFill="1" applyBorder="1" applyAlignment="1">
      <alignment horizontal="left" vertical="center"/>
    </xf>
    <xf numFmtId="3" fontId="25" fillId="6" borderId="177" xfId="4" applyNumberFormat="1" applyFont="1" applyFill="1" applyBorder="1" applyAlignment="1">
      <alignment vertical="center"/>
    </xf>
    <xf numFmtId="3" fontId="24" fillId="22" borderId="178" xfId="4" applyNumberFormat="1" applyFont="1" applyFill="1" applyBorder="1" applyAlignment="1">
      <alignment vertical="center"/>
    </xf>
    <xf numFmtId="3" fontId="27" fillId="0" borderId="177" xfId="4" applyNumberFormat="1" applyFont="1" applyFill="1" applyBorder="1" applyAlignment="1">
      <alignment vertical="center"/>
    </xf>
    <xf numFmtId="3" fontId="29" fillId="0" borderId="177" xfId="4" applyNumberFormat="1" applyFont="1" applyFill="1" applyBorder="1" applyAlignment="1">
      <alignment vertical="center"/>
    </xf>
    <xf numFmtId="3" fontId="27" fillId="25" borderId="177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vertical="center"/>
    </xf>
    <xf numFmtId="0" fontId="28" fillId="0" borderId="182" xfId="4" applyFont="1" applyFill="1" applyBorder="1" applyAlignment="1">
      <alignment vertical="center"/>
    </xf>
    <xf numFmtId="3" fontId="28" fillId="0" borderId="177" xfId="4" applyNumberFormat="1" applyFont="1" applyFill="1" applyBorder="1" applyAlignment="1">
      <alignment horizontal="right" vertical="center"/>
    </xf>
    <xf numFmtId="3" fontId="28" fillId="25" borderId="177" xfId="4" applyNumberFormat="1" applyFont="1" applyFill="1" applyBorder="1" applyAlignment="1">
      <alignment horizontal="right" vertical="center"/>
    </xf>
    <xf numFmtId="3" fontId="28" fillId="0" borderId="178" xfId="4" applyNumberFormat="1" applyFont="1" applyFill="1" applyBorder="1" applyAlignment="1">
      <alignment horizontal="right" vertical="center"/>
    </xf>
    <xf numFmtId="0" fontId="31" fillId="0" borderId="175" xfId="4" applyFont="1" applyFill="1" applyBorder="1" applyAlignment="1">
      <alignment vertical="center"/>
    </xf>
    <xf numFmtId="3" fontId="31" fillId="0" borderId="174" xfId="4" applyNumberFormat="1" applyFont="1" applyFill="1" applyBorder="1" applyAlignment="1">
      <alignment horizontal="right"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28" fillId="25" borderId="169" xfId="4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3" fontId="33" fillId="0" borderId="177" xfId="114" applyNumberFormat="1" applyFont="1" applyFill="1" applyBorder="1" applyAlignment="1">
      <alignment vertical="center"/>
    </xf>
    <xf numFmtId="3" fontId="33" fillId="0" borderId="178" xfId="114" applyNumberFormat="1" applyFont="1" applyFill="1" applyBorder="1" applyAlignment="1">
      <alignment vertical="center"/>
    </xf>
    <xf numFmtId="0" fontId="4" fillId="0" borderId="178" xfId="112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53" xfId="1" applyFont="1" applyFill="1" applyBorder="1" applyAlignment="1">
      <alignment vertical="center"/>
    </xf>
    <xf numFmtId="3" fontId="24" fillId="22" borderId="152" xfId="4" applyNumberFormat="1" applyFont="1" applyFill="1" applyBorder="1" applyAlignment="1">
      <alignment vertical="center"/>
    </xf>
    <xf numFmtId="3" fontId="29" fillId="0" borderId="153" xfId="4" applyNumberFormat="1" applyFont="1" applyFill="1" applyBorder="1" applyAlignment="1">
      <alignment vertical="center"/>
    </xf>
    <xf numFmtId="43" fontId="29" fillId="0" borderId="153" xfId="1" applyFont="1" applyFill="1" applyBorder="1" applyAlignment="1">
      <alignment vertical="center"/>
    </xf>
    <xf numFmtId="3" fontId="27" fillId="25" borderId="153" xfId="4" applyNumberFormat="1" applyFont="1" applyFill="1" applyBorder="1" applyAlignment="1">
      <alignment vertical="center"/>
    </xf>
    <xf numFmtId="43" fontId="29" fillId="0" borderId="153" xfId="1" applyFont="1" applyFill="1" applyBorder="1" applyAlignment="1">
      <alignment horizontal="right" vertical="center"/>
    </xf>
    <xf numFmtId="3" fontId="31" fillId="0" borderId="162" xfId="4" applyNumberFormat="1" applyFont="1" applyFill="1" applyBorder="1" applyAlignment="1">
      <alignment horizontal="right" vertical="center"/>
    </xf>
    <xf numFmtId="43" fontId="28" fillId="0" borderId="153" xfId="1" applyFont="1" applyFill="1" applyBorder="1" applyAlignment="1">
      <alignment horizontal="right" vertical="center"/>
    </xf>
    <xf numFmtId="43" fontId="27" fillId="0" borderId="153" xfId="1" applyFont="1" applyFill="1" applyBorder="1" applyAlignment="1">
      <alignment horizontal="right" vertical="center"/>
    </xf>
    <xf numFmtId="43" fontId="31" fillId="0" borderId="162" xfId="1" applyFont="1" applyFill="1" applyBorder="1" applyAlignment="1">
      <alignment horizontal="right" vertical="center"/>
    </xf>
    <xf numFmtId="3" fontId="71" fillId="2" borderId="0" xfId="0" applyNumberFormat="1" applyFont="1" applyFill="1" applyBorder="1" applyAlignment="1">
      <alignment horizontal="center" vertical="center"/>
    </xf>
    <xf numFmtId="1" fontId="62" fillId="13" borderId="0" xfId="0" applyNumberFormat="1" applyFont="1" applyFill="1" applyBorder="1" applyAlignment="1">
      <alignment horizontal="center" vertical="center" wrapText="1"/>
    </xf>
    <xf numFmtId="3" fontId="7" fillId="13" borderId="177" xfId="4" applyNumberFormat="1" applyFont="1" applyFill="1" applyBorder="1" applyAlignment="1">
      <alignment horizontal="right" vertical="center"/>
    </xf>
    <xf numFmtId="0" fontId="27" fillId="13" borderId="196" xfId="4" applyFont="1" applyFill="1" applyBorder="1" applyAlignment="1">
      <alignment vertical="center"/>
    </xf>
    <xf numFmtId="3" fontId="27" fillId="13" borderId="177" xfId="4" applyNumberFormat="1" applyFont="1" applyFill="1" applyBorder="1" applyAlignment="1">
      <alignment horizontal="right" vertical="center"/>
    </xf>
    <xf numFmtId="3" fontId="7" fillId="13" borderId="9" xfId="4" applyNumberFormat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vertical="center"/>
    </xf>
    <xf numFmtId="0" fontId="7" fillId="8" borderId="43" xfId="4" applyFont="1" applyFill="1" applyBorder="1" applyAlignment="1">
      <alignment horizontal="center" vertical="center"/>
    </xf>
    <xf numFmtId="3" fontId="23" fillId="6" borderId="99" xfId="6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horizontal="right" vertical="center"/>
    </xf>
    <xf numFmtId="3" fontId="31" fillId="0" borderId="99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vertical="center"/>
    </xf>
    <xf numFmtId="0" fontId="31" fillId="0" borderId="106" xfId="4" applyFont="1" applyFill="1" applyBorder="1" applyAlignment="1">
      <alignment vertical="center"/>
    </xf>
    <xf numFmtId="3" fontId="24" fillId="6" borderId="99" xfId="4" applyNumberFormat="1" applyFont="1" applyFill="1" applyBorder="1" applyAlignment="1">
      <alignment vertical="center"/>
    </xf>
    <xf numFmtId="3" fontId="27" fillId="2" borderId="99" xfId="4" applyNumberFormat="1" applyFont="1" applyFill="1" applyBorder="1" applyAlignment="1">
      <alignment vertical="center"/>
    </xf>
    <xf numFmtId="3" fontId="29" fillId="2" borderId="99" xfId="4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7" fillId="8" borderId="178" xfId="4" applyFont="1" applyFill="1" applyBorder="1" applyAlignment="1">
      <alignment vertical="top" wrapText="1"/>
    </xf>
    <xf numFmtId="3" fontId="7" fillId="8" borderId="178" xfId="4" applyNumberFormat="1" applyFont="1" applyFill="1" applyBorder="1" applyAlignment="1">
      <alignment vertical="top" wrapText="1"/>
    </xf>
    <xf numFmtId="0" fontId="18" fillId="8" borderId="173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3" fontId="18" fillId="8" borderId="115" xfId="4" applyNumberFormat="1" applyFont="1" applyFill="1" applyBorder="1" applyAlignment="1">
      <alignment horizontal="center" vertical="top"/>
    </xf>
    <xf numFmtId="0" fontId="37" fillId="0" borderId="98" xfId="0" applyFont="1" applyBorder="1" applyAlignment="1">
      <alignment wrapText="1"/>
    </xf>
    <xf numFmtId="0" fontId="7" fillId="6" borderId="121" xfId="0" applyFont="1" applyFill="1" applyBorder="1" applyAlignment="1">
      <alignment vertical="top"/>
    </xf>
    <xf numFmtId="43" fontId="25" fillId="6" borderId="121" xfId="1" applyFont="1" applyFill="1" applyBorder="1" applyAlignment="1"/>
    <xf numFmtId="3" fontId="29" fillId="2" borderId="117" xfId="4" applyNumberFormat="1" applyFont="1" applyFill="1" applyBorder="1" applyAlignment="1">
      <alignment vertical="top" wrapText="1"/>
    </xf>
    <xf numFmtId="3" fontId="27" fillId="2" borderId="152" xfId="0" applyNumberFormat="1" applyFont="1" applyFill="1" applyBorder="1" applyAlignment="1"/>
    <xf numFmtId="43" fontId="27" fillId="2" borderId="152" xfId="1" applyFont="1" applyFill="1" applyBorder="1" applyAlignment="1"/>
    <xf numFmtId="43" fontId="27" fillId="2" borderId="121" xfId="1" applyFont="1" applyFill="1" applyBorder="1" applyAlignment="1"/>
    <xf numFmtId="3" fontId="27" fillId="25" borderId="155" xfId="0" applyNumberFormat="1" applyFont="1" applyFill="1" applyBorder="1" applyAlignment="1"/>
    <xf numFmtId="43" fontId="31" fillId="0" borderId="152" xfId="1" applyFont="1" applyFill="1" applyBorder="1" applyAlignment="1">
      <alignment vertical="top"/>
    </xf>
    <xf numFmtId="43" fontId="31" fillId="0" borderId="121" xfId="1" applyFont="1" applyFill="1" applyBorder="1" applyAlignment="1">
      <alignment vertical="top"/>
    </xf>
    <xf numFmtId="0" fontId="7" fillId="0" borderId="117" xfId="0" applyFont="1" applyFill="1" applyBorder="1" applyAlignment="1">
      <alignment vertical="top" wrapText="1"/>
    </xf>
    <xf numFmtId="43" fontId="31" fillId="0" borderId="120" xfId="1" applyFont="1" applyFill="1" applyBorder="1" applyAlignment="1">
      <alignment vertical="top"/>
    </xf>
    <xf numFmtId="43" fontId="31" fillId="0" borderId="154" xfId="1" applyFont="1" applyFill="1" applyBorder="1" applyAlignment="1">
      <alignment vertical="top"/>
    </xf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3" fontId="31" fillId="25" borderId="43" xfId="0" applyNumberFormat="1" applyFont="1" applyFill="1" applyBorder="1" applyAlignment="1">
      <alignment horizontal="center" vertical="top"/>
    </xf>
    <xf numFmtId="0" fontId="7" fillId="6" borderId="20" xfId="0" applyFont="1" applyFill="1" applyBorder="1" applyAlignment="1">
      <alignment vertical="top"/>
    </xf>
    <xf numFmtId="43" fontId="25" fillId="22" borderId="46" xfId="1" applyFont="1" applyFill="1" applyBorder="1" applyAlignment="1">
      <alignment horizontal="center" vertical="center"/>
    </xf>
    <xf numFmtId="43" fontId="27" fillId="2" borderId="121" xfId="1" applyFont="1" applyFill="1" applyBorder="1" applyAlignment="1">
      <alignment vertical="center"/>
    </xf>
    <xf numFmtId="43" fontId="31" fillId="0" borderId="129" xfId="1" applyFont="1" applyFill="1" applyBorder="1" applyAlignment="1">
      <alignment vertical="top"/>
    </xf>
    <xf numFmtId="3" fontId="7" fillId="8" borderId="17" xfId="0" applyNumberFormat="1" applyFont="1" applyFill="1" applyBorder="1" applyAlignment="1">
      <alignment vertical="top"/>
    </xf>
    <xf numFmtId="0" fontId="7" fillId="0" borderId="116" xfId="4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7" fillId="50" borderId="11" xfId="0" applyFont="1" applyFill="1" applyBorder="1" applyAlignment="1">
      <alignment horizontal="left" vertical="center"/>
    </xf>
    <xf numFmtId="0" fontId="29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4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88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3" fontId="23" fillId="0" borderId="179" xfId="0" applyNumberFormat="1" applyFont="1" applyBorder="1" applyAlignment="1">
      <alignment horizontal="center" vertical="center" wrapText="1"/>
    </xf>
    <xf numFmtId="3" fontId="31" fillId="51" borderId="178" xfId="0" applyNumberFormat="1" applyFont="1" applyFill="1" applyBorder="1" applyAlignment="1">
      <alignment vertical="top"/>
    </xf>
    <xf numFmtId="3" fontId="31" fillId="51" borderId="177" xfId="0" applyNumberFormat="1" applyFont="1" applyFill="1" applyBorder="1" applyAlignment="1">
      <alignment vertical="top"/>
    </xf>
    <xf numFmtId="0" fontId="31" fillId="6" borderId="174" xfId="0" applyFont="1" applyFill="1" applyBorder="1" applyAlignment="1">
      <alignment vertical="center"/>
    </xf>
    <xf numFmtId="3" fontId="25" fillId="6" borderId="174" xfId="0" applyNumberFormat="1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31" fillId="28" borderId="39" xfId="0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3" fontId="31" fillId="23" borderId="39" xfId="4" applyNumberFormat="1" applyFont="1" applyFill="1" applyBorder="1" applyAlignment="1">
      <alignment vertical="center"/>
    </xf>
    <xf numFmtId="0" fontId="25" fillId="6" borderId="84" xfId="4" applyFont="1" applyFill="1" applyBorder="1" applyAlignment="1">
      <alignment horizontal="left" vertical="center"/>
    </xf>
    <xf numFmtId="0" fontId="25" fillId="6" borderId="38" xfId="4" applyFont="1" applyFill="1" applyBorder="1" applyAlignment="1">
      <alignment horizontal="left" vertical="center"/>
    </xf>
    <xf numFmtId="3" fontId="24" fillId="6" borderId="39" xfId="4" applyNumberFormat="1" applyFont="1" applyFill="1" applyBorder="1" applyAlignment="1">
      <alignment vertical="center"/>
    </xf>
    <xf numFmtId="3" fontId="29" fillId="8" borderId="84" xfId="4" applyNumberFormat="1" applyFont="1" applyFill="1" applyBorder="1" applyAlignment="1">
      <alignment vertical="center" wrapText="1"/>
    </xf>
    <xf numFmtId="3" fontId="32" fillId="8" borderId="38" xfId="6" applyNumberFormat="1" applyFont="1" applyFill="1" applyBorder="1" applyAlignment="1">
      <alignment vertical="center"/>
    </xf>
    <xf numFmtId="3" fontId="33" fillId="8" borderId="50" xfId="6" applyNumberFormat="1" applyFont="1" applyFill="1" applyBorder="1" applyAlignment="1">
      <alignment vertical="center"/>
    </xf>
    <xf numFmtId="3" fontId="7" fillId="8" borderId="84" xfId="4" applyNumberFormat="1" applyFont="1" applyFill="1" applyBorder="1" applyAlignment="1">
      <alignment vertical="center" wrapText="1"/>
    </xf>
    <xf numFmtId="0" fontId="17" fillId="28" borderId="25" xfId="0" applyFont="1" applyFill="1" applyBorder="1" applyAlignment="1">
      <alignment vertical="center"/>
    </xf>
    <xf numFmtId="0" fontId="17" fillId="8" borderId="52" xfId="4" applyFont="1" applyFill="1" applyBorder="1" applyAlignment="1">
      <alignment horizontal="center" vertical="center"/>
    </xf>
    <xf numFmtId="43" fontId="7" fillId="0" borderId="194" xfId="1" applyFont="1" applyFill="1" applyBorder="1" applyAlignment="1">
      <alignment horizontal="right" vertical="center"/>
    </xf>
    <xf numFmtId="0" fontId="7" fillId="8" borderId="196" xfId="4" applyFont="1" applyFill="1" applyBorder="1" applyAlignment="1">
      <alignment vertical="center"/>
    </xf>
    <xf numFmtId="3" fontId="31" fillId="28" borderId="188" xfId="0" applyNumberFormat="1" applyFont="1" applyFill="1" applyBorder="1" applyAlignment="1">
      <alignment vertical="center"/>
    </xf>
    <xf numFmtId="0" fontId="31" fillId="8" borderId="21" xfId="4" applyFont="1" applyFill="1" applyBorder="1" applyAlignment="1">
      <alignment vertical="center"/>
    </xf>
    <xf numFmtId="3" fontId="31" fillId="28" borderId="35" xfId="0" applyNumberFormat="1" applyFont="1" applyFill="1" applyBorder="1" applyAlignment="1">
      <alignment vertical="center"/>
    </xf>
    <xf numFmtId="3" fontId="32" fillId="8" borderId="9" xfId="6" applyNumberFormat="1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center"/>
    </xf>
    <xf numFmtId="3" fontId="27" fillId="25" borderId="9" xfId="4" applyNumberFormat="1" applyFont="1" applyFill="1" applyBorder="1" applyAlignment="1">
      <alignment horizontal="right" vertical="center"/>
    </xf>
    <xf numFmtId="0" fontId="18" fillId="0" borderId="24" xfId="112" applyFont="1" applyBorder="1" applyAlignment="1">
      <alignment horizontal="center" vertical="center" wrapText="1"/>
    </xf>
    <xf numFmtId="0" fontId="18" fillId="0" borderId="51" xfId="112" applyFont="1" applyBorder="1" applyAlignment="1">
      <alignment horizontal="center" vertical="center" wrapText="1"/>
    </xf>
    <xf numFmtId="0" fontId="18" fillId="0" borderId="3" xfId="112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6" fillId="0" borderId="40" xfId="0" applyFont="1" applyBorder="1" applyAlignment="1"/>
    <xf numFmtId="0" fontId="26" fillId="0" borderId="42" xfId="0" applyFont="1" applyBorder="1" applyAlignment="1"/>
    <xf numFmtId="2" fontId="18" fillId="0" borderId="51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0" fontId="8" fillId="0" borderId="51" xfId="0" applyFont="1" applyBorder="1"/>
    <xf numFmtId="0" fontId="18" fillId="0" borderId="24" xfId="112" applyFont="1" applyBorder="1" applyAlignment="1">
      <alignment vertical="center"/>
    </xf>
    <xf numFmtId="0" fontId="18" fillId="0" borderId="51" xfId="112" applyFont="1" applyBorder="1" applyAlignment="1">
      <alignment vertical="center"/>
    </xf>
    <xf numFmtId="0" fontId="18" fillId="0" borderId="3" xfId="112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0" borderId="51" xfId="0" applyFont="1" applyBorder="1" applyAlignment="1">
      <alignment vertical="top"/>
    </xf>
    <xf numFmtId="2" fontId="18" fillId="0" borderId="51" xfId="0" applyNumberFormat="1" applyFont="1" applyBorder="1" applyAlignment="1">
      <alignment vertical="top"/>
    </xf>
    <xf numFmtId="2" fontId="18" fillId="0" borderId="3" xfId="0" applyNumberFormat="1" applyFont="1" applyBorder="1" applyAlignment="1">
      <alignment vertical="top"/>
    </xf>
    <xf numFmtId="0" fontId="18" fillId="0" borderId="2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51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3" fontId="7" fillId="8" borderId="131" xfId="4" applyNumberFormat="1" applyFont="1" applyFill="1" applyBorder="1" applyAlignment="1">
      <alignment vertical="center" wrapText="1"/>
    </xf>
    <xf numFmtId="3" fontId="32" fillId="8" borderId="194" xfId="6" applyNumberFormat="1" applyFont="1" applyFill="1" applyBorder="1" applyAlignment="1">
      <alignment vertical="center"/>
    </xf>
    <xf numFmtId="0" fontId="21" fillId="0" borderId="77" xfId="0" applyFont="1" applyBorder="1" applyAlignment="1">
      <alignment horizontal="center" vertical="top" wrapText="1"/>
    </xf>
    <xf numFmtId="3" fontId="27" fillId="2" borderId="45" xfId="4" applyNumberFormat="1" applyFont="1" applyFill="1" applyBorder="1" applyAlignment="1">
      <alignment vertical="center" wrapText="1"/>
    </xf>
    <xf numFmtId="3" fontId="27" fillId="2" borderId="19" xfId="4" applyNumberFormat="1" applyFont="1" applyFill="1" applyBorder="1" applyAlignment="1">
      <alignment vertical="center" wrapText="1"/>
    </xf>
    <xf numFmtId="43" fontId="31" fillId="0" borderId="194" xfId="1" applyFont="1" applyFill="1" applyBorder="1" applyAlignment="1">
      <alignment vertical="center"/>
    </xf>
    <xf numFmtId="43" fontId="8" fillId="11" borderId="3" xfId="1" applyFont="1" applyFill="1" applyBorder="1"/>
    <xf numFmtId="0" fontId="7" fillId="8" borderId="52" xfId="4" applyFont="1" applyFill="1" applyBorder="1" applyAlignment="1">
      <alignment vertical="top"/>
    </xf>
    <xf numFmtId="0" fontId="24" fillId="8" borderId="52" xfId="4" applyFont="1" applyFill="1" applyBorder="1" applyAlignment="1">
      <alignment horizontal="right" vertical="top"/>
    </xf>
    <xf numFmtId="0" fontId="7" fillId="8" borderId="84" xfId="4" applyFont="1" applyFill="1" applyBorder="1" applyAlignment="1">
      <alignment vertical="top"/>
    </xf>
    <xf numFmtId="0" fontId="7" fillId="8" borderId="84" xfId="4" applyFont="1" applyFill="1" applyBorder="1" applyAlignment="1">
      <alignment vertical="center"/>
    </xf>
    <xf numFmtId="0" fontId="7" fillId="8" borderId="1" xfId="4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center"/>
    </xf>
    <xf numFmtId="2" fontId="35" fillId="8" borderId="5" xfId="0" applyNumberFormat="1" applyFont="1" applyFill="1" applyBorder="1" applyAlignment="1">
      <alignment vertical="top"/>
    </xf>
    <xf numFmtId="0" fontId="57" fillId="0" borderId="51" xfId="0" applyFont="1" applyFill="1" applyBorder="1" applyAlignment="1">
      <alignment vertical="top"/>
    </xf>
    <xf numFmtId="0" fontId="19" fillId="0" borderId="3" xfId="0" applyFont="1" applyBorder="1" applyAlignment="1">
      <alignment horizontal="center" vertical="top"/>
    </xf>
    <xf numFmtId="0" fontId="60" fillId="13" borderId="22" xfId="0" applyFont="1" applyFill="1" applyBorder="1" applyAlignment="1">
      <alignment vertical="center"/>
    </xf>
    <xf numFmtId="0" fontId="66" fillId="0" borderId="38" xfId="4" applyFont="1" applyFill="1" applyBorder="1" applyAlignment="1">
      <alignment horizontal="left" vertical="center"/>
    </xf>
    <xf numFmtId="2" fontId="27" fillId="50" borderId="38" xfId="4" applyNumberFormat="1" applyFont="1" applyFill="1" applyBorder="1" applyAlignment="1">
      <alignment horizontal="left" vertical="center"/>
    </xf>
    <xf numFmtId="3" fontId="72" fillId="2" borderId="24" xfId="0" applyNumberFormat="1" applyFont="1" applyFill="1" applyBorder="1" applyAlignment="1">
      <alignment vertical="center"/>
    </xf>
    <xf numFmtId="3" fontId="27" fillId="25" borderId="7" xfId="0" applyNumberFormat="1" applyFont="1" applyFill="1" applyBorder="1" applyAlignment="1">
      <alignment horizontal="center" vertical="top"/>
    </xf>
    <xf numFmtId="3" fontId="31" fillId="25" borderId="7" xfId="0" applyNumberFormat="1" applyFont="1" applyFill="1" applyBorder="1" applyAlignment="1">
      <alignment horizontal="center" vertical="center"/>
    </xf>
    <xf numFmtId="3" fontId="25" fillId="22" borderId="69" xfId="0" applyNumberFormat="1" applyFont="1" applyFill="1" applyBorder="1" applyAlignment="1">
      <alignment vertical="center"/>
    </xf>
    <xf numFmtId="3" fontId="7" fillId="23" borderId="76" xfId="0" applyNumberFormat="1" applyFont="1" applyFill="1" applyBorder="1" applyAlignment="1">
      <alignment vertical="center"/>
    </xf>
    <xf numFmtId="3" fontId="27" fillId="21" borderId="7" xfId="4" applyNumberFormat="1" applyFont="1" applyFill="1" applyBorder="1" applyAlignment="1">
      <alignment horizontal="right" vertical="center"/>
    </xf>
    <xf numFmtId="3" fontId="27" fillId="21" borderId="69" xfId="4" applyNumberFormat="1" applyFont="1" applyFill="1" applyBorder="1" applyAlignment="1">
      <alignment horizontal="right" vertical="center"/>
    </xf>
    <xf numFmtId="3" fontId="27" fillId="23" borderId="69" xfId="4" applyNumberFormat="1" applyFont="1" applyFill="1" applyBorder="1" applyAlignment="1">
      <alignment vertical="top"/>
    </xf>
    <xf numFmtId="3" fontId="7" fillId="25" borderId="69" xfId="4" applyNumberFormat="1" applyFont="1" applyFill="1" applyBorder="1" applyAlignment="1">
      <alignment vertical="top"/>
    </xf>
    <xf numFmtId="2" fontId="25" fillId="22" borderId="7" xfId="0" applyNumberFormat="1" applyFont="1" applyFill="1" applyBorder="1" applyAlignment="1">
      <alignment vertical="top"/>
    </xf>
    <xf numFmtId="3" fontId="37" fillId="0" borderId="69" xfId="0" applyNumberFormat="1" applyFont="1" applyBorder="1" applyAlignment="1">
      <alignment vertical="top"/>
    </xf>
    <xf numFmtId="3" fontId="24" fillId="22" borderId="7" xfId="4" applyNumberFormat="1" applyFont="1" applyFill="1" applyBorder="1" applyAlignment="1">
      <alignment horizontal="right" vertical="center"/>
    </xf>
    <xf numFmtId="0" fontId="18" fillId="0" borderId="84" xfId="112" applyFont="1" applyBorder="1" applyAlignment="1">
      <alignment horizontal="center" vertical="center" wrapText="1"/>
    </xf>
    <xf numFmtId="0" fontId="18" fillId="0" borderId="1" xfId="112" applyFont="1" applyBorder="1" applyAlignment="1">
      <alignment horizontal="center" vertical="center" wrapText="1"/>
    </xf>
    <xf numFmtId="3" fontId="18" fillId="8" borderId="52" xfId="4" applyNumberFormat="1" applyFont="1" applyFill="1" applyBorder="1" applyAlignment="1">
      <alignment vertical="top" wrapText="1"/>
    </xf>
    <xf numFmtId="3" fontId="18" fillId="8" borderId="52" xfId="4" applyNumberFormat="1" applyFont="1" applyFill="1" applyBorder="1" applyAlignment="1">
      <alignment vertical="center" wrapText="1"/>
    </xf>
    <xf numFmtId="3" fontId="18" fillId="8" borderId="5" xfId="4" applyNumberFormat="1" applyFont="1" applyFill="1" applyBorder="1" applyAlignment="1">
      <alignment vertical="top" wrapText="1"/>
    </xf>
    <xf numFmtId="2" fontId="20" fillId="8" borderId="52" xfId="0" applyNumberFormat="1" applyFont="1" applyFill="1" applyBorder="1" applyAlignment="1">
      <alignment horizontal="center" vertical="center" wrapText="1"/>
    </xf>
    <xf numFmtId="2" fontId="35" fillId="8" borderId="5" xfId="0" applyNumberFormat="1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vertical="top"/>
    </xf>
    <xf numFmtId="0" fontId="39" fillId="0" borderId="52" xfId="0" applyFont="1" applyBorder="1" applyAlignment="1">
      <alignment horizontal="center" vertical="center" wrapText="1"/>
    </xf>
    <xf numFmtId="0" fontId="20" fillId="0" borderId="52" xfId="4" applyFont="1" applyFill="1" applyBorder="1" applyAlignment="1">
      <alignment horizontal="center" vertical="center" wrapText="1"/>
    </xf>
    <xf numFmtId="0" fontId="18" fillId="0" borderId="66" xfId="112" applyFont="1" applyBorder="1" applyAlignment="1">
      <alignment horizontal="center" vertical="center" wrapText="1"/>
    </xf>
    <xf numFmtId="3" fontId="24" fillId="6" borderId="23" xfId="4" applyNumberFormat="1" applyFont="1" applyFill="1" applyBorder="1" applyAlignment="1">
      <alignment vertical="center"/>
    </xf>
    <xf numFmtId="2" fontId="17" fillId="8" borderId="25" xfId="0" applyNumberFormat="1" applyFont="1" applyFill="1" applyBorder="1" applyAlignment="1">
      <alignment vertical="top"/>
    </xf>
    <xf numFmtId="2" fontId="27" fillId="21" borderId="72" xfId="4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/>
    <xf numFmtId="3" fontId="25" fillId="22" borderId="7" xfId="0" applyNumberFormat="1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0" fontId="18" fillId="0" borderId="26" xfId="112" applyFont="1" applyBorder="1" applyAlignment="1">
      <alignment horizontal="center" vertical="center" wrapText="1"/>
    </xf>
    <xf numFmtId="2" fontId="27" fillId="50" borderId="65" xfId="0" applyNumberFormat="1" applyFont="1" applyFill="1" applyBorder="1" applyAlignment="1">
      <alignment horizontal="left" vertical="top"/>
    </xf>
    <xf numFmtId="2" fontId="28" fillId="50" borderId="6" xfId="0" quotePrefix="1" applyNumberFormat="1" applyFont="1" applyFill="1" applyBorder="1" applyAlignment="1">
      <alignment horizontal="center" vertical="top"/>
    </xf>
    <xf numFmtId="2" fontId="27" fillId="50" borderId="27" xfId="0" quotePrefix="1" applyNumberFormat="1" applyFont="1" applyFill="1" applyBorder="1" applyAlignment="1">
      <alignment horizontal="right" vertical="top"/>
    </xf>
    <xf numFmtId="2" fontId="27" fillId="21" borderId="10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3" fontId="75" fillId="0" borderId="13" xfId="0" applyNumberFormat="1" applyFont="1" applyFill="1" applyBorder="1" applyAlignment="1">
      <alignment vertical="center" wrapText="1"/>
    </xf>
    <xf numFmtId="3" fontId="73" fillId="0" borderId="10" xfId="0" applyNumberFormat="1" applyFont="1" applyFill="1" applyBorder="1" applyAlignment="1">
      <alignment vertical="center" wrapText="1"/>
    </xf>
    <xf numFmtId="3" fontId="18" fillId="8" borderId="25" xfId="4" applyNumberFormat="1" applyFont="1" applyFill="1" applyBorder="1" applyAlignment="1">
      <alignment vertical="top" wrapText="1"/>
    </xf>
    <xf numFmtId="3" fontId="25" fillId="25" borderId="35" xfId="0" applyNumberFormat="1" applyFont="1" applyFill="1" applyBorder="1" applyAlignment="1">
      <alignment vertical="top"/>
    </xf>
    <xf numFmtId="2" fontId="31" fillId="8" borderId="21" xfId="0" applyNumberFormat="1" applyFont="1" applyFill="1" applyBorder="1" applyAlignment="1">
      <alignment vertical="top"/>
    </xf>
    <xf numFmtId="2" fontId="31" fillId="8" borderId="9" xfId="0" applyNumberFormat="1" applyFont="1" applyFill="1" applyBorder="1" applyAlignment="1">
      <alignment vertical="top"/>
    </xf>
    <xf numFmtId="0" fontId="37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3" fillId="0" borderId="0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vertical="center"/>
    </xf>
    <xf numFmtId="0" fontId="59" fillId="36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center" vertical="center" wrapText="1"/>
    </xf>
    <xf numFmtId="0" fontId="25" fillId="6" borderId="0" xfId="4" applyFont="1" applyFill="1" applyBorder="1" applyAlignment="1">
      <alignment horizontal="left" vertical="center"/>
    </xf>
    <xf numFmtId="0" fontId="31" fillId="50" borderId="0" xfId="4" applyFont="1" applyFill="1" applyBorder="1" applyAlignment="1">
      <alignment horizontal="left" vertical="center"/>
    </xf>
    <xf numFmtId="3" fontId="31" fillId="50" borderId="0" xfId="0" applyNumberFormat="1" applyFont="1" applyFill="1" applyBorder="1" applyAlignment="1">
      <alignment vertical="top"/>
    </xf>
    <xf numFmtId="2" fontId="25" fillId="6" borderId="0" xfId="4" applyNumberFormat="1" applyFont="1" applyFill="1" applyBorder="1" applyAlignment="1">
      <alignment horizontal="left" vertical="center"/>
    </xf>
    <xf numFmtId="2" fontId="25" fillId="6" borderId="0" xfId="0" applyNumberFormat="1" applyFont="1" applyFill="1" applyBorder="1" applyAlignment="1">
      <alignment vertical="top"/>
    </xf>
    <xf numFmtId="2" fontId="25" fillId="22" borderId="0" xfId="0" applyNumberFormat="1" applyFont="1" applyFill="1" applyBorder="1" applyAlignment="1">
      <alignment vertical="top"/>
    </xf>
    <xf numFmtId="2" fontId="27" fillId="8" borderId="0" xfId="4" applyNumberFormat="1" applyFont="1" applyFill="1" applyBorder="1" applyAlignment="1">
      <alignment vertical="top"/>
    </xf>
    <xf numFmtId="2" fontId="27" fillId="8" borderId="0" xfId="0" applyNumberFormat="1" applyFont="1" applyFill="1" applyBorder="1" applyAlignment="1">
      <alignment vertical="top"/>
    </xf>
    <xf numFmtId="2" fontId="27" fillId="23" borderId="0" xfId="0" applyNumberFormat="1" applyFont="1" applyFill="1" applyBorder="1" applyAlignment="1">
      <alignment vertical="top"/>
    </xf>
    <xf numFmtId="0" fontId="24" fillId="6" borderId="0" xfId="4" applyFont="1" applyFill="1" applyBorder="1" applyAlignment="1">
      <alignment horizontal="left" vertical="center"/>
    </xf>
    <xf numFmtId="0" fontId="24" fillId="8" borderId="0" xfId="4" applyFont="1" applyFill="1" applyBorder="1" applyAlignment="1">
      <alignment vertical="center" wrapText="1"/>
    </xf>
    <xf numFmtId="0" fontId="24" fillId="8" borderId="0" xfId="4" applyFont="1" applyFill="1" applyBorder="1" applyAlignment="1">
      <alignment horizontal="center" vertical="center" wrapText="1"/>
    </xf>
    <xf numFmtId="3" fontId="25" fillId="8" borderId="0" xfId="4" applyNumberFormat="1" applyFont="1" applyFill="1" applyBorder="1" applyAlignment="1">
      <alignment vertical="center"/>
    </xf>
    <xf numFmtId="3" fontId="25" fillId="8" borderId="0" xfId="4" applyNumberFormat="1" applyFont="1" applyFill="1" applyBorder="1" applyAlignment="1">
      <alignment horizontal="right" vertical="center"/>
    </xf>
    <xf numFmtId="3" fontId="25" fillId="6" borderId="0" xfId="4" applyNumberFormat="1" applyFont="1" applyFill="1" applyBorder="1" applyAlignment="1">
      <alignment horizontal="right" vertical="center"/>
    </xf>
    <xf numFmtId="3" fontId="75" fillId="0" borderId="0" xfId="0" applyNumberFormat="1" applyFont="1" applyFill="1" applyBorder="1" applyAlignment="1">
      <alignment vertical="center" wrapText="1"/>
    </xf>
    <xf numFmtId="3" fontId="73" fillId="0" borderId="0" xfId="0" applyNumberFormat="1" applyFont="1" applyFill="1" applyBorder="1" applyAlignment="1">
      <alignment vertical="center" wrapText="1"/>
    </xf>
    <xf numFmtId="0" fontId="31" fillId="6" borderId="197" xfId="0" applyFont="1" applyFill="1" applyBorder="1" applyAlignment="1">
      <alignment vertical="center"/>
    </xf>
    <xf numFmtId="43" fontId="25" fillId="6" borderId="177" xfId="1" applyFont="1" applyFill="1" applyBorder="1" applyAlignment="1">
      <alignment vertical="center"/>
    </xf>
    <xf numFmtId="3" fontId="27" fillId="0" borderId="177" xfId="0" applyNumberFormat="1" applyFont="1" applyFill="1" applyBorder="1" applyAlignment="1">
      <alignment vertical="center"/>
    </xf>
    <xf numFmtId="43" fontId="27" fillId="0" borderId="177" xfId="1" applyFont="1" applyFill="1" applyBorder="1" applyAlignment="1">
      <alignment vertical="center"/>
    </xf>
    <xf numFmtId="0" fontId="63" fillId="53" borderId="196" xfId="0" applyFont="1" applyFill="1" applyBorder="1"/>
    <xf numFmtId="0" fontId="25" fillId="6" borderId="197" xfId="4" applyFont="1" applyFill="1" applyBorder="1" applyAlignment="1">
      <alignment horizontal="left" vertical="center"/>
    </xf>
    <xf numFmtId="0" fontId="33" fillId="0" borderId="23" xfId="0" applyFont="1" applyBorder="1" applyAlignment="1">
      <alignment vertical="center"/>
    </xf>
    <xf numFmtId="2" fontId="27" fillId="50" borderId="67" xfId="4" applyNumberFormat="1" applyFont="1" applyFill="1" applyBorder="1" applyAlignment="1">
      <alignment horizontal="left" vertical="center"/>
    </xf>
    <xf numFmtId="0" fontId="7" fillId="0" borderId="12" xfId="4" applyFont="1" applyFill="1" applyBorder="1" applyAlignment="1">
      <alignment vertical="top"/>
    </xf>
    <xf numFmtId="0" fontId="29" fillId="2" borderId="25" xfId="4" applyFont="1" applyFill="1" applyBorder="1" applyAlignment="1">
      <alignment vertical="center"/>
    </xf>
    <xf numFmtId="3" fontId="62" fillId="0" borderId="12" xfId="0" applyNumberFormat="1" applyFont="1" applyFill="1" applyBorder="1" applyAlignment="1">
      <alignment vertical="center" wrapText="1"/>
    </xf>
    <xf numFmtId="0" fontId="63" fillId="51" borderId="196" xfId="0" applyFont="1" applyFill="1" applyBorder="1" applyAlignment="1">
      <alignment vertical="center"/>
    </xf>
    <xf numFmtId="2" fontId="27" fillId="50" borderId="182" xfId="4" applyNumberFormat="1" applyFont="1" applyFill="1" applyBorder="1" applyAlignment="1">
      <alignment horizontal="left" vertical="center"/>
    </xf>
    <xf numFmtId="3" fontId="62" fillId="0" borderId="8" xfId="0" applyNumberFormat="1" applyFont="1" applyFill="1" applyBorder="1" applyAlignment="1">
      <alignment vertical="center" wrapText="1"/>
    </xf>
    <xf numFmtId="3" fontId="27" fillId="0" borderId="12" xfId="0" applyNumberFormat="1" applyFont="1" applyFill="1" applyBorder="1" applyAlignment="1">
      <alignment vertical="center"/>
    </xf>
    <xf numFmtId="3" fontId="28" fillId="54" borderId="23" xfId="0" applyNumberFormat="1" applyFont="1" applyFill="1" applyBorder="1" applyAlignment="1">
      <alignment vertical="top"/>
    </xf>
    <xf numFmtId="2" fontId="27" fillId="50" borderId="23" xfId="4" applyNumberFormat="1" applyFont="1" applyFill="1" applyBorder="1" applyAlignment="1">
      <alignment horizontal="right" vertical="center"/>
    </xf>
    <xf numFmtId="3" fontId="28" fillId="23" borderId="12" xfId="4" applyNumberFormat="1" applyFont="1" applyFill="1" applyBorder="1" applyAlignment="1">
      <alignment horizontal="right" vertical="center"/>
    </xf>
    <xf numFmtId="3" fontId="27" fillId="2" borderId="23" xfId="4" applyNumberFormat="1" applyFont="1" applyFill="1" applyBorder="1" applyAlignment="1">
      <alignment vertical="center"/>
    </xf>
    <xf numFmtId="3" fontId="62" fillId="0" borderId="72" xfId="0" applyNumberFormat="1" applyFont="1" applyFill="1" applyBorder="1" applyAlignment="1">
      <alignment vertical="center" wrapText="1"/>
    </xf>
    <xf numFmtId="3" fontId="28" fillId="51" borderId="35" xfId="0" applyNumberFormat="1" applyFont="1" applyFill="1" applyBorder="1" applyAlignment="1">
      <alignment vertical="center"/>
    </xf>
    <xf numFmtId="2" fontId="27" fillId="50" borderId="177" xfId="4" applyNumberFormat="1" applyFont="1" applyFill="1" applyBorder="1" applyAlignment="1">
      <alignment horizontal="right" vertical="center"/>
    </xf>
    <xf numFmtId="3" fontId="72" fillId="2" borderId="8" xfId="0" applyNumberFormat="1" applyFont="1" applyFill="1" applyBorder="1" applyAlignment="1">
      <alignment vertical="center"/>
    </xf>
    <xf numFmtId="3" fontId="74" fillId="2" borderId="8" xfId="0" applyNumberFormat="1" applyFont="1" applyFill="1" applyBorder="1" applyAlignment="1">
      <alignment vertical="center"/>
    </xf>
    <xf numFmtId="0" fontId="38" fillId="0" borderId="24" xfId="0" applyFont="1" applyFill="1" applyBorder="1" applyAlignment="1">
      <alignment vertical="top"/>
    </xf>
    <xf numFmtId="3" fontId="37" fillId="0" borderId="35" xfId="0" applyNumberFormat="1" applyFont="1" applyBorder="1"/>
    <xf numFmtId="0" fontId="7" fillId="8" borderId="25" xfId="4" applyFont="1" applyFill="1" applyBorder="1" applyAlignment="1">
      <alignment vertical="top"/>
    </xf>
    <xf numFmtId="3" fontId="31" fillId="0" borderId="35" xfId="4" applyNumberFormat="1" applyFont="1" applyFill="1" applyBorder="1" applyAlignment="1">
      <alignment vertical="center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2" fillId="0" borderId="35" xfId="6" applyNumberFormat="1" applyFont="1" applyFill="1" applyBorder="1" applyAlignment="1">
      <alignment vertical="center"/>
    </xf>
    <xf numFmtId="0" fontId="7" fillId="0" borderId="21" xfId="4" applyFont="1" applyFill="1" applyBorder="1" applyAlignment="1">
      <alignment vertical="center"/>
    </xf>
    <xf numFmtId="0" fontId="29" fillId="8" borderId="0" xfId="0" applyFont="1" applyFill="1" applyBorder="1" applyAlignment="1">
      <alignment vertical="top"/>
    </xf>
    <xf numFmtId="3" fontId="27" fillId="50" borderId="0" xfId="4" applyNumberFormat="1" applyFont="1" applyFill="1" applyBorder="1" applyAlignment="1">
      <alignment horizontal="right" vertical="center"/>
    </xf>
    <xf numFmtId="43" fontId="27" fillId="50" borderId="0" xfId="1" applyFont="1" applyFill="1" applyBorder="1" applyAlignment="1">
      <alignment horizontal="right" vertical="center"/>
    </xf>
    <xf numFmtId="3" fontId="27" fillId="21" borderId="0" xfId="4" applyNumberFormat="1" applyFont="1" applyFill="1" applyBorder="1" applyAlignment="1">
      <alignment horizontal="right" vertical="center"/>
    </xf>
    <xf numFmtId="3" fontId="18" fillId="8" borderId="0" xfId="4" applyNumberFormat="1" applyFont="1" applyFill="1" applyBorder="1" applyAlignment="1">
      <alignment vertical="top" wrapText="1"/>
    </xf>
    <xf numFmtId="2" fontId="31" fillId="8" borderId="0" xfId="0" applyNumberFormat="1" applyFont="1" applyFill="1" applyBorder="1" applyAlignment="1">
      <alignment vertical="top"/>
    </xf>
    <xf numFmtId="2" fontId="25" fillId="23" borderId="0" xfId="0" applyNumberFormat="1" applyFont="1" applyFill="1" applyBorder="1" applyAlignment="1">
      <alignment horizontal="center" vertical="top"/>
    </xf>
    <xf numFmtId="3" fontId="29" fillId="2" borderId="0" xfId="4" applyNumberFormat="1" applyFont="1" applyFill="1" applyBorder="1" applyAlignment="1">
      <alignment vertical="top" wrapText="1"/>
    </xf>
    <xf numFmtId="3" fontId="29" fillId="2" borderId="0" xfId="4" applyNumberFormat="1" applyFont="1" applyFill="1" applyBorder="1" applyAlignment="1">
      <alignment vertical="center" wrapText="1"/>
    </xf>
    <xf numFmtId="3" fontId="25" fillId="22" borderId="181" xfId="0" applyNumberFormat="1" applyFont="1" applyFill="1" applyBorder="1" applyAlignment="1">
      <alignment vertical="center"/>
    </xf>
    <xf numFmtId="3" fontId="27" fillId="25" borderId="181" xfId="4" applyNumberFormat="1" applyFont="1" applyFill="1" applyBorder="1" applyAlignment="1">
      <alignment horizontal="right" vertical="center"/>
    </xf>
    <xf numFmtId="3" fontId="25" fillId="22" borderId="186" xfId="4" applyNumberFormat="1" applyFont="1" applyFill="1" applyBorder="1" applyAlignment="1">
      <alignment horizontal="right" vertical="center"/>
    </xf>
    <xf numFmtId="3" fontId="27" fillId="25" borderId="8" xfId="4" applyNumberFormat="1" applyFont="1" applyFill="1" applyBorder="1" applyAlignment="1">
      <alignment horizontal="right" vertical="center"/>
    </xf>
    <xf numFmtId="2" fontId="24" fillId="2" borderId="8" xfId="0" applyNumberFormat="1" applyFont="1" applyFill="1" applyBorder="1" applyAlignment="1">
      <alignment horizontal="left" vertical="top" wrapText="1"/>
    </xf>
    <xf numFmtId="2" fontId="27" fillId="21" borderId="7" xfId="4" applyNumberFormat="1" applyFont="1" applyFill="1" applyBorder="1" applyAlignment="1">
      <alignment horizontal="right" vertical="center"/>
    </xf>
    <xf numFmtId="0" fontId="74" fillId="2" borderId="8" xfId="0" applyFont="1" applyFill="1" applyBorder="1" applyAlignment="1">
      <alignment vertical="center"/>
    </xf>
    <xf numFmtId="3" fontId="27" fillId="23" borderId="186" xfId="0" applyNumberFormat="1" applyFont="1" applyFill="1" applyBorder="1" applyAlignment="1">
      <alignment vertical="center"/>
    </xf>
    <xf numFmtId="3" fontId="31" fillId="25" borderId="181" xfId="4" applyNumberFormat="1" applyFont="1" applyFill="1" applyBorder="1" applyAlignment="1">
      <alignment horizontal="right" vertical="center"/>
    </xf>
    <xf numFmtId="3" fontId="31" fillId="23" borderId="186" xfId="0" applyNumberFormat="1" applyFont="1" applyFill="1" applyBorder="1" applyAlignment="1">
      <alignment vertical="center"/>
    </xf>
    <xf numFmtId="3" fontId="25" fillId="22" borderId="186" xfId="0" applyNumberFormat="1" applyFont="1" applyFill="1" applyBorder="1" applyAlignment="1">
      <alignment vertical="top"/>
    </xf>
    <xf numFmtId="3" fontId="25" fillId="25" borderId="186" xfId="0" applyNumberFormat="1" applyFont="1" applyFill="1" applyBorder="1" applyAlignment="1">
      <alignment vertical="top"/>
    </xf>
    <xf numFmtId="3" fontId="25" fillId="22" borderId="181" xfId="0" applyNumberFormat="1" applyFont="1" applyFill="1" applyBorder="1" applyAlignment="1">
      <alignment vertical="top"/>
    </xf>
    <xf numFmtId="3" fontId="31" fillId="25" borderId="186" xfId="0" applyNumberFormat="1" applyFont="1" applyFill="1" applyBorder="1" applyAlignment="1">
      <alignment vertical="top"/>
    </xf>
    <xf numFmtId="3" fontId="27" fillId="25" borderId="186" xfId="4" applyNumberFormat="1" applyFont="1" applyFill="1" applyBorder="1" applyAlignment="1">
      <alignment horizontal="right" vertical="center"/>
    </xf>
    <xf numFmtId="3" fontId="28" fillId="23" borderId="186" xfId="4" applyNumberFormat="1" applyFont="1" applyFill="1" applyBorder="1" applyAlignment="1">
      <alignment horizontal="right" vertical="center"/>
    </xf>
    <xf numFmtId="3" fontId="33" fillId="25" borderId="186" xfId="6" applyNumberFormat="1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3" fontId="62" fillId="0" borderId="76" xfId="0" applyNumberFormat="1" applyFont="1" applyFill="1" applyBorder="1" applyAlignment="1">
      <alignment vertical="center" wrapText="1"/>
    </xf>
    <xf numFmtId="3" fontId="31" fillId="0" borderId="169" xfId="0" applyNumberFormat="1" applyFont="1" applyFill="1" applyBorder="1" applyAlignment="1">
      <alignment vertical="center"/>
    </xf>
    <xf numFmtId="0" fontId="32" fillId="0" borderId="177" xfId="0" applyFont="1" applyBorder="1" applyAlignment="1">
      <alignment vertical="center"/>
    </xf>
    <xf numFmtId="3" fontId="31" fillId="2" borderId="174" xfId="0" applyNumberFormat="1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vertical="center"/>
    </xf>
    <xf numFmtId="3" fontId="27" fillId="0" borderId="68" xfId="0" applyNumberFormat="1" applyFont="1" applyFill="1" applyBorder="1" applyAlignment="1">
      <alignment vertical="center"/>
    </xf>
    <xf numFmtId="3" fontId="27" fillId="25" borderId="76" xfId="0" applyNumberFormat="1" applyFont="1" applyFill="1" applyBorder="1" applyAlignment="1">
      <alignment horizontal="center" vertical="center"/>
    </xf>
    <xf numFmtId="3" fontId="33" fillId="0" borderId="68" xfId="6" applyNumberFormat="1" applyFont="1" applyFill="1" applyBorder="1" applyAlignment="1">
      <alignment vertical="center"/>
    </xf>
    <xf numFmtId="3" fontId="25" fillId="22" borderId="169" xfId="4" applyNumberFormat="1" applyFont="1" applyFill="1" applyBorder="1" applyAlignment="1">
      <alignment horizontal="right" vertical="center"/>
    </xf>
    <xf numFmtId="3" fontId="27" fillId="25" borderId="35" xfId="4" applyNumberFormat="1" applyFont="1" applyFill="1" applyBorder="1" applyAlignment="1">
      <alignment horizontal="right" vertical="center"/>
    </xf>
    <xf numFmtId="3" fontId="31" fillId="0" borderId="174" xfId="4" applyNumberFormat="1" applyFont="1" applyFill="1" applyBorder="1" applyAlignment="1">
      <alignment vertical="center"/>
    </xf>
    <xf numFmtId="3" fontId="31" fillId="0" borderId="12" xfId="4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vertical="top"/>
    </xf>
    <xf numFmtId="43" fontId="28" fillId="25" borderId="27" xfId="1" applyFont="1" applyFill="1" applyBorder="1" applyAlignment="1">
      <alignment vertical="center"/>
    </xf>
    <xf numFmtId="0" fontId="31" fillId="0" borderId="196" xfId="0" applyFont="1" applyFill="1" applyBorder="1" applyAlignment="1">
      <alignment vertical="top"/>
    </xf>
    <xf numFmtId="0" fontId="31" fillId="0" borderId="196" xfId="0" applyFont="1" applyFill="1" applyBorder="1" applyAlignment="1">
      <alignment horizontal="left" vertical="center" wrapText="1"/>
    </xf>
    <xf numFmtId="0" fontId="63" fillId="52" borderId="196" xfId="0" applyFont="1" applyFill="1" applyBorder="1"/>
    <xf numFmtId="0" fontId="39" fillId="54" borderId="196" xfId="0" applyFont="1" applyFill="1" applyBorder="1"/>
    <xf numFmtId="0" fontId="8" fillId="0" borderId="196" xfId="0" applyFont="1" applyFill="1" applyBorder="1" applyAlignment="1">
      <alignment vertical="center" wrapText="1"/>
    </xf>
    <xf numFmtId="3" fontId="28" fillId="55" borderId="177" xfId="0" applyNumberFormat="1" applyFont="1" applyFill="1" applyBorder="1" applyAlignment="1">
      <alignment vertical="center"/>
    </xf>
    <xf numFmtId="3" fontId="28" fillId="55" borderId="178" xfId="0" applyNumberFormat="1" applyFont="1" applyFill="1" applyBorder="1" applyAlignment="1">
      <alignment vertical="center"/>
    </xf>
    <xf numFmtId="43" fontId="31" fillId="25" borderId="178" xfId="1" applyFont="1" applyFill="1" applyBorder="1" applyAlignment="1">
      <alignment vertical="top"/>
    </xf>
    <xf numFmtId="3" fontId="31" fillId="0" borderId="7" xfId="4" applyNumberFormat="1" applyFont="1" applyFill="1" applyBorder="1" applyAlignment="1">
      <alignment vertical="center"/>
    </xf>
    <xf numFmtId="3" fontId="28" fillId="50" borderId="10" xfId="0" applyNumberFormat="1" applyFont="1" applyFill="1" applyBorder="1" applyAlignment="1">
      <alignment vertical="top"/>
    </xf>
    <xf numFmtId="3" fontId="25" fillId="32" borderId="178" xfId="0" applyNumberFormat="1" applyFont="1" applyFill="1" applyBorder="1" applyAlignment="1">
      <alignment vertical="top"/>
    </xf>
    <xf numFmtId="3" fontId="28" fillId="52" borderId="178" xfId="0" applyNumberFormat="1" applyFont="1" applyFill="1" applyBorder="1" applyAlignment="1">
      <alignment vertical="top"/>
    </xf>
    <xf numFmtId="3" fontId="28" fillId="53" borderId="178" xfId="0" applyNumberFormat="1" applyFont="1" applyFill="1" applyBorder="1" applyAlignment="1">
      <alignment vertical="top"/>
    </xf>
    <xf numFmtId="3" fontId="28" fillId="54" borderId="178" xfId="0" applyNumberFormat="1" applyFont="1" applyFill="1" applyBorder="1" applyAlignment="1">
      <alignment vertical="top"/>
    </xf>
    <xf numFmtId="0" fontId="23" fillId="6" borderId="177" xfId="0" applyFont="1" applyFill="1" applyBorder="1" applyAlignment="1">
      <alignment horizontal="center" vertical="center"/>
    </xf>
    <xf numFmtId="0" fontId="25" fillId="6" borderId="174" xfId="4" applyFont="1" applyFill="1" applyBorder="1" applyAlignment="1">
      <alignment horizontal="left" vertical="center"/>
    </xf>
    <xf numFmtId="3" fontId="27" fillId="2" borderId="178" xfId="4" applyNumberFormat="1" applyFont="1" applyFill="1" applyBorder="1" applyAlignment="1">
      <alignment vertical="top" wrapText="1"/>
    </xf>
    <xf numFmtId="0" fontId="31" fillId="0" borderId="178" xfId="4" applyFont="1" applyFill="1" applyBorder="1" applyAlignment="1">
      <alignment vertical="center"/>
    </xf>
    <xf numFmtId="3" fontId="25" fillId="25" borderId="177" xfId="0" applyNumberFormat="1" applyFont="1" applyFill="1" applyBorder="1" applyAlignment="1">
      <alignment vertical="top"/>
    </xf>
    <xf numFmtId="0" fontId="23" fillId="6" borderId="8" xfId="0" applyFont="1" applyFill="1" applyBorder="1" applyAlignment="1">
      <alignment horizontal="center" vertical="center"/>
    </xf>
    <xf numFmtId="3" fontId="25" fillId="22" borderId="9" xfId="0" applyNumberFormat="1" applyFont="1" applyFill="1" applyBorder="1" applyAlignment="1">
      <alignment vertical="center"/>
    </xf>
    <xf numFmtId="0" fontId="31" fillId="8" borderId="178" xfId="0" applyFont="1" applyFill="1" applyBorder="1" applyAlignment="1">
      <alignment vertical="top"/>
    </xf>
    <xf numFmtId="3" fontId="31" fillId="8" borderId="178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43" fontId="33" fillId="0" borderId="35" xfId="1" applyFont="1" applyFill="1" applyBorder="1" applyAlignment="1">
      <alignment vertical="center"/>
    </xf>
    <xf numFmtId="0" fontId="32" fillId="0" borderId="174" xfId="0" applyFont="1" applyBorder="1" applyAlignment="1">
      <alignment vertical="center"/>
    </xf>
    <xf numFmtId="0" fontId="33" fillId="0" borderId="68" xfId="0" applyFont="1" applyBorder="1" applyAlignment="1">
      <alignment vertical="center"/>
    </xf>
    <xf numFmtId="0" fontId="7" fillId="8" borderId="65" xfId="4" applyFont="1" applyFill="1" applyBorder="1" applyAlignment="1">
      <alignment vertical="center"/>
    </xf>
    <xf numFmtId="3" fontId="31" fillId="28" borderId="174" xfId="0" applyNumberFormat="1" applyFont="1" applyFill="1" applyBorder="1" applyAlignment="1">
      <alignment vertical="center"/>
    </xf>
    <xf numFmtId="43" fontId="31" fillId="28" borderId="174" xfId="1" applyFont="1" applyFill="1" applyBorder="1" applyAlignment="1">
      <alignment vertical="center"/>
    </xf>
    <xf numFmtId="3" fontId="27" fillId="25" borderId="181" xfId="0" applyNumberFormat="1" applyFont="1" applyFill="1" applyBorder="1" applyAlignment="1">
      <alignment vertical="center"/>
    </xf>
    <xf numFmtId="0" fontId="27" fillId="2" borderId="82" xfId="4" applyFont="1" applyFill="1" applyBorder="1" applyAlignment="1">
      <alignment vertical="top"/>
    </xf>
    <xf numFmtId="0" fontId="7" fillId="0" borderId="178" xfId="4" applyFont="1" applyFill="1" applyBorder="1" applyAlignment="1">
      <alignment vertical="center"/>
    </xf>
    <xf numFmtId="43" fontId="24" fillId="8" borderId="18" xfId="1" applyFont="1" applyFill="1" applyBorder="1" applyAlignment="1">
      <alignment horizontal="right" vertical="center"/>
    </xf>
    <xf numFmtId="3" fontId="24" fillId="8" borderId="18" xfId="4" applyNumberFormat="1" applyFont="1" applyFill="1" applyBorder="1" applyAlignment="1">
      <alignment horizontal="right" vertical="center"/>
    </xf>
    <xf numFmtId="3" fontId="33" fillId="8" borderId="76" xfId="6" applyNumberFormat="1" applyFont="1" applyFill="1" applyBorder="1" applyAlignment="1">
      <alignment horizontal="right" vertical="center"/>
    </xf>
    <xf numFmtId="3" fontId="24" fillId="8" borderId="76" xfId="0" applyNumberFormat="1" applyFont="1" applyFill="1" applyBorder="1" applyAlignment="1">
      <alignment vertical="center"/>
    </xf>
    <xf numFmtId="3" fontId="24" fillId="8" borderId="18" xfId="0" applyNumberFormat="1" applyFont="1" applyFill="1" applyBorder="1" applyAlignment="1">
      <alignment vertical="center"/>
    </xf>
    <xf numFmtId="3" fontId="24" fillId="8" borderId="17" xfId="0" applyNumberFormat="1" applyFont="1" applyFill="1" applyBorder="1" applyAlignment="1">
      <alignment vertical="center"/>
    </xf>
    <xf numFmtId="3" fontId="7" fillId="8" borderId="18" xfId="4" applyNumberFormat="1" applyFont="1" applyFill="1" applyBorder="1" applyAlignment="1">
      <alignment horizontal="right" vertical="center"/>
    </xf>
    <xf numFmtId="43" fontId="23" fillId="6" borderId="9" xfId="1" applyFont="1" applyFill="1" applyBorder="1" applyAlignment="1">
      <alignment horizontal="right" vertical="center"/>
    </xf>
    <xf numFmtId="3" fontId="25" fillId="8" borderId="76" xfId="4" applyNumberFormat="1" applyFont="1" applyFill="1" applyBorder="1" applyAlignment="1">
      <alignment vertical="center"/>
    </xf>
    <xf numFmtId="3" fontId="25" fillId="8" borderId="18" xfId="4" applyNumberFormat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horizontal="right" vertical="center"/>
    </xf>
    <xf numFmtId="3" fontId="32" fillId="0" borderId="174" xfId="6" applyNumberFormat="1" applyFont="1" applyFill="1" applyBorder="1" applyAlignment="1">
      <alignment vertical="center"/>
    </xf>
    <xf numFmtId="0" fontId="25" fillId="8" borderId="76" xfId="0" applyFont="1" applyFill="1" applyBorder="1" applyAlignment="1">
      <alignment horizontal="center" vertical="center" wrapText="1"/>
    </xf>
    <xf numFmtId="3" fontId="25" fillId="8" borderId="18" xfId="0" applyNumberFormat="1" applyFont="1" applyFill="1" applyBorder="1" applyAlignment="1">
      <alignment vertical="top"/>
    </xf>
    <xf numFmtId="3" fontId="31" fillId="0" borderId="15" xfId="4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top"/>
    </xf>
    <xf numFmtId="0" fontId="25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4" fillId="8" borderId="181" xfId="4" applyNumberFormat="1" applyFont="1" applyFill="1" applyBorder="1" applyAlignment="1">
      <alignment horizontal="center" vertical="center"/>
    </xf>
    <xf numFmtId="3" fontId="24" fillId="8" borderId="18" xfId="4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vertical="center"/>
    </xf>
    <xf numFmtId="3" fontId="24" fillId="8" borderId="18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3" fontId="33" fillId="0" borderId="178" xfId="1" applyNumberFormat="1" applyFont="1" applyFill="1" applyBorder="1" applyAlignment="1">
      <alignment vertical="center"/>
    </xf>
    <xf numFmtId="3" fontId="7" fillId="0" borderId="178" xfId="1" applyNumberFormat="1" applyFont="1" applyFill="1" applyBorder="1" applyAlignment="1">
      <alignment horizontal="right" vertical="center"/>
    </xf>
    <xf numFmtId="43" fontId="18" fillId="8" borderId="18" xfId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0" fontId="27" fillId="50" borderId="128" xfId="4" applyFont="1" applyFill="1" applyBorder="1" applyAlignment="1">
      <alignment horizontal="left" vertical="center"/>
    </xf>
    <xf numFmtId="3" fontId="27" fillId="50" borderId="121" xfId="4" applyNumberFormat="1" applyFont="1" applyFill="1" applyBorder="1" applyAlignment="1">
      <alignment horizontal="right" vertical="center"/>
    </xf>
    <xf numFmtId="0" fontId="27" fillId="50" borderId="10" xfId="4" applyFont="1" applyFill="1" applyBorder="1" applyAlignment="1">
      <alignment horizontal="left" vertical="center"/>
    </xf>
    <xf numFmtId="0" fontId="27" fillId="50" borderId="72" xfId="0" applyFont="1" applyFill="1" applyBorder="1" applyAlignment="1">
      <alignment horizontal="left" vertical="top"/>
    </xf>
    <xf numFmtId="0" fontId="28" fillId="50" borderId="12" xfId="0" quotePrefix="1" applyFont="1" applyFill="1" applyBorder="1" applyAlignment="1">
      <alignment horizontal="center" vertical="top"/>
    </xf>
    <xf numFmtId="0" fontId="27" fillId="8" borderId="119" xfId="4" applyFont="1" applyFill="1" applyBorder="1" applyAlignment="1">
      <alignment vertical="center"/>
    </xf>
    <xf numFmtId="3" fontId="27" fillId="8" borderId="119" xfId="0" applyNumberFormat="1" applyFont="1" applyFill="1" applyBorder="1" applyAlignment="1">
      <alignment vertical="top"/>
    </xf>
    <xf numFmtId="3" fontId="27" fillId="23" borderId="119" xfId="0" applyNumberFormat="1" applyFont="1" applyFill="1" applyBorder="1" applyAlignment="1">
      <alignment vertical="top"/>
    </xf>
    <xf numFmtId="0" fontId="31" fillId="8" borderId="119" xfId="0" applyFont="1" applyFill="1" applyBorder="1" applyAlignment="1">
      <alignment vertical="top"/>
    </xf>
    <xf numFmtId="3" fontId="31" fillId="8" borderId="119" xfId="0" applyNumberFormat="1" applyFont="1" applyFill="1" applyBorder="1" applyAlignment="1">
      <alignment vertical="top"/>
    </xf>
    <xf numFmtId="3" fontId="28" fillId="23" borderId="119" xfId="0" applyNumberFormat="1" applyFont="1" applyFill="1" applyBorder="1" applyAlignment="1">
      <alignment horizontal="center" vertical="top"/>
    </xf>
    <xf numFmtId="3" fontId="27" fillId="23" borderId="119" xfId="0" applyNumberFormat="1" applyFont="1" applyFill="1" applyBorder="1" applyAlignment="1">
      <alignment horizontal="center" vertical="top"/>
    </xf>
    <xf numFmtId="0" fontId="31" fillId="8" borderId="119" xfId="4" applyFont="1" applyFill="1" applyBorder="1" applyAlignment="1">
      <alignment vertical="center"/>
    </xf>
    <xf numFmtId="3" fontId="31" fillId="23" borderId="119" xfId="0" applyNumberFormat="1" applyFont="1" applyFill="1" applyBorder="1" applyAlignment="1">
      <alignment horizontal="center" vertical="top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14" xfId="4" applyFont="1" applyFill="1" applyBorder="1" applyAlignment="1">
      <alignment vertical="center"/>
    </xf>
    <xf numFmtId="0" fontId="31" fillId="0" borderId="178" xfId="0" applyFont="1" applyFill="1" applyBorder="1" applyAlignment="1">
      <alignment horizontal="left" vertical="center" wrapText="1"/>
    </xf>
    <xf numFmtId="3" fontId="25" fillId="8" borderId="76" xfId="0" applyNumberFormat="1" applyFont="1" applyFill="1" applyBorder="1" applyAlignment="1">
      <alignment vertical="top"/>
    </xf>
    <xf numFmtId="3" fontId="25" fillId="8" borderId="18" xfId="0" applyNumberFormat="1" applyFont="1" applyFill="1" applyBorder="1" applyAlignment="1">
      <alignment vertical="center"/>
    </xf>
    <xf numFmtId="3" fontId="25" fillId="8" borderId="17" xfId="0" applyNumberFormat="1" applyFont="1" applyFill="1" applyBorder="1" applyAlignment="1">
      <alignment vertical="top"/>
    </xf>
    <xf numFmtId="0" fontId="7" fillId="6" borderId="177" xfId="0" applyFont="1" applyFill="1" applyBorder="1" applyAlignment="1">
      <alignment vertical="top"/>
    </xf>
    <xf numFmtId="3" fontId="25" fillId="6" borderId="178" xfId="0" applyNumberFormat="1" applyFont="1" applyFill="1" applyBorder="1" applyAlignment="1"/>
    <xf numFmtId="43" fontId="25" fillId="6" borderId="178" xfId="1" applyFont="1" applyFill="1" applyBorder="1" applyAlignment="1"/>
    <xf numFmtId="3" fontId="29" fillId="2" borderId="196" xfId="4" applyNumberFormat="1" applyFont="1" applyFill="1" applyBorder="1" applyAlignment="1">
      <alignment vertical="top" wrapText="1"/>
    </xf>
    <xf numFmtId="3" fontId="27" fillId="2" borderId="178" xfId="0" applyNumberFormat="1" applyFont="1" applyFill="1" applyBorder="1" applyAlignment="1"/>
    <xf numFmtId="43" fontId="27" fillId="2" borderId="178" xfId="1" applyFont="1" applyFill="1" applyBorder="1" applyAlignment="1"/>
    <xf numFmtId="3" fontId="27" fillId="2" borderId="35" xfId="0" applyNumberFormat="1" applyFont="1" applyFill="1" applyBorder="1" applyAlignment="1">
      <alignment vertical="center"/>
    </xf>
    <xf numFmtId="0" fontId="7" fillId="0" borderId="196" xfId="0" applyFont="1" applyFill="1" applyBorder="1" applyAlignment="1">
      <alignment vertical="center"/>
    </xf>
    <xf numFmtId="0" fontId="7" fillId="0" borderId="196" xfId="0" applyFont="1" applyFill="1" applyBorder="1" applyAlignment="1">
      <alignment vertical="top"/>
    </xf>
    <xf numFmtId="43" fontId="31" fillId="0" borderId="178" xfId="1" applyFont="1" applyFill="1" applyBorder="1" applyAlignment="1"/>
    <xf numFmtId="0" fontId="7" fillId="0" borderId="196" xfId="0" applyFont="1" applyFill="1" applyBorder="1" applyAlignment="1">
      <alignment horizontal="left" vertical="center"/>
    </xf>
    <xf numFmtId="43" fontId="0" fillId="0" borderId="178" xfId="1" applyFont="1" applyBorder="1"/>
    <xf numFmtId="43" fontId="31" fillId="0" borderId="188" xfId="1" applyFont="1" applyFill="1" applyBorder="1" applyAlignment="1"/>
    <xf numFmtId="0" fontId="23" fillId="0" borderId="43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31" fillId="0" borderId="36" xfId="4" applyFont="1" applyFill="1" applyBorder="1" applyAlignment="1">
      <alignment horizontal="left" vertical="center"/>
    </xf>
    <xf numFmtId="0" fontId="7" fillId="0" borderId="36" xfId="4" applyFont="1" applyFill="1" applyBorder="1" applyAlignment="1">
      <alignment vertical="center"/>
    </xf>
    <xf numFmtId="0" fontId="24" fillId="6" borderId="179" xfId="4" applyFont="1" applyFill="1" applyBorder="1" applyAlignment="1">
      <alignment horizontal="left" vertical="center"/>
    </xf>
    <xf numFmtId="3" fontId="29" fillId="2" borderId="196" xfId="4" applyNumberFormat="1" applyFont="1" applyFill="1" applyBorder="1" applyAlignment="1">
      <alignment vertical="center" wrapText="1"/>
    </xf>
    <xf numFmtId="0" fontId="7" fillId="0" borderId="196" xfId="4" applyFont="1" applyFill="1" applyBorder="1" applyAlignment="1">
      <alignment vertical="center"/>
    </xf>
    <xf numFmtId="0" fontId="7" fillId="0" borderId="192" xfId="4" applyFont="1" applyFill="1" applyBorder="1" applyAlignment="1">
      <alignment vertical="center"/>
    </xf>
    <xf numFmtId="3" fontId="24" fillId="6" borderId="181" xfId="4" applyNumberFormat="1" applyFont="1" applyFill="1" applyBorder="1" applyAlignment="1">
      <alignment horizontal="right" vertical="center"/>
    </xf>
    <xf numFmtId="3" fontId="29" fillId="0" borderId="172" xfId="4" applyNumberFormat="1" applyFont="1" applyFill="1" applyBorder="1" applyAlignment="1">
      <alignment horizontal="right" vertical="center"/>
    </xf>
    <xf numFmtId="43" fontId="7" fillId="0" borderId="163" xfId="1" applyFont="1" applyFill="1" applyBorder="1" applyAlignment="1">
      <alignment horizontal="right" vertical="center"/>
    </xf>
    <xf numFmtId="43" fontId="31" fillId="0" borderId="169" xfId="1" applyFont="1" applyFill="1" applyBorder="1" applyAlignment="1">
      <alignment vertical="center"/>
    </xf>
    <xf numFmtId="3" fontId="29" fillId="0" borderId="169" xfId="4" applyNumberFormat="1" applyFont="1" applyFill="1" applyBorder="1" applyAlignment="1">
      <alignment horizontal="right" vertical="center"/>
    </xf>
    <xf numFmtId="166" fontId="24" fillId="6" borderId="177" xfId="1" applyNumberFormat="1" applyFont="1" applyFill="1" applyBorder="1" applyAlignment="1">
      <alignment vertical="center"/>
    </xf>
    <xf numFmtId="3" fontId="7" fillId="0" borderId="169" xfId="1" applyNumberFormat="1" applyFont="1" applyFill="1" applyBorder="1" applyAlignment="1">
      <alignment horizontal="right" vertical="center"/>
    </xf>
    <xf numFmtId="3" fontId="25" fillId="8" borderId="76" xfId="4" applyNumberFormat="1" applyFont="1" applyFill="1" applyBorder="1" applyAlignment="1">
      <alignment horizontal="center" vertical="center"/>
    </xf>
    <xf numFmtId="3" fontId="27" fillId="25" borderId="119" xfId="0" applyNumberFormat="1" applyFont="1" applyFill="1" applyBorder="1" applyAlignment="1">
      <alignment vertical="top"/>
    </xf>
    <xf numFmtId="0" fontId="31" fillId="0" borderId="119" xfId="0" applyFont="1" applyFill="1" applyBorder="1" applyAlignment="1">
      <alignment vertical="top" wrapText="1"/>
    </xf>
    <xf numFmtId="0" fontId="32" fillId="0" borderId="119" xfId="0" applyFont="1" applyBorder="1"/>
    <xf numFmtId="3" fontId="25" fillId="0" borderId="35" xfId="0" applyNumberFormat="1" applyFont="1" applyFill="1" applyBorder="1" applyAlignment="1">
      <alignment vertical="top"/>
    </xf>
    <xf numFmtId="0" fontId="31" fillId="2" borderId="119" xfId="4" applyFont="1" applyFill="1" applyBorder="1" applyAlignment="1">
      <alignment vertical="center"/>
    </xf>
    <xf numFmtId="0" fontId="23" fillId="6" borderId="119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14" xfId="4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top"/>
    </xf>
    <xf numFmtId="3" fontId="31" fillId="2" borderId="119" xfId="0" applyNumberFormat="1" applyFont="1" applyFill="1" applyBorder="1" applyAlignment="1">
      <alignment vertical="top"/>
    </xf>
    <xf numFmtId="3" fontId="31" fillId="2" borderId="119" xfId="0" applyNumberFormat="1" applyFont="1" applyFill="1" applyBorder="1" applyAlignment="1">
      <alignment vertical="center"/>
    </xf>
    <xf numFmtId="0" fontId="27" fillId="0" borderId="119" xfId="0" applyFont="1" applyFill="1" applyBorder="1" applyAlignment="1">
      <alignment vertical="center" wrapText="1"/>
    </xf>
    <xf numFmtId="3" fontId="27" fillId="0" borderId="119" xfId="0" applyNumberFormat="1" applyFont="1" applyFill="1" applyBorder="1" applyAlignment="1">
      <alignment vertical="center"/>
    </xf>
    <xf numFmtId="0" fontId="31" fillId="0" borderId="119" xfId="0" applyFont="1" applyFill="1" applyBorder="1" applyAlignment="1">
      <alignment vertical="center" wrapText="1"/>
    </xf>
    <xf numFmtId="3" fontId="31" fillId="25" borderId="186" xfId="0" applyNumberFormat="1" applyFont="1" applyFill="1" applyBorder="1" applyAlignment="1">
      <alignment horizontal="center" vertical="top"/>
    </xf>
    <xf numFmtId="3" fontId="25" fillId="2" borderId="119" xfId="0" applyNumberFormat="1" applyFont="1" applyFill="1" applyBorder="1" applyAlignment="1">
      <alignment vertical="top"/>
    </xf>
    <xf numFmtId="0" fontId="27" fillId="0" borderId="119" xfId="0" applyFont="1" applyFill="1" applyBorder="1" applyAlignment="1">
      <alignment vertical="top" wrapText="1"/>
    </xf>
    <xf numFmtId="0" fontId="31" fillId="0" borderId="114" xfId="4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7" fillId="0" borderId="119" xfId="4" applyNumberFormat="1" applyFont="1" applyFill="1" applyBorder="1" applyAlignment="1">
      <alignment vertical="top" wrapText="1"/>
    </xf>
    <xf numFmtId="0" fontId="33" fillId="0" borderId="119" xfId="0" applyFont="1" applyBorder="1" applyAlignment="1">
      <alignment vertical="center"/>
    </xf>
    <xf numFmtId="0" fontId="31" fillId="6" borderId="119" xfId="0" applyFont="1" applyFill="1" applyBorder="1" applyAlignment="1">
      <alignment vertical="center"/>
    </xf>
    <xf numFmtId="3" fontId="25" fillId="6" borderId="119" xfId="0" applyNumberFormat="1" applyFont="1" applyFill="1" applyBorder="1" applyAlignment="1">
      <alignment vertical="center"/>
    </xf>
    <xf numFmtId="3" fontId="27" fillId="2" borderId="119" xfId="0" applyNumberFormat="1" applyFont="1" applyFill="1" applyBorder="1" applyAlignment="1">
      <alignment vertical="center"/>
    </xf>
    <xf numFmtId="3" fontId="28" fillId="2" borderId="194" xfId="0" applyNumberFormat="1" applyFont="1" applyFill="1" applyBorder="1" applyAlignment="1">
      <alignment vertical="top"/>
    </xf>
    <xf numFmtId="3" fontId="7" fillId="22" borderId="98" xfId="0" applyNumberFormat="1" applyFont="1" applyFill="1" applyBorder="1" applyAlignment="1">
      <alignment horizontal="right" vertical="center"/>
    </xf>
    <xf numFmtId="0" fontId="25" fillId="8" borderId="20" xfId="0" applyFont="1" applyFill="1" applyBorder="1" applyAlignment="1">
      <alignment horizontal="center" vertical="center" wrapText="1"/>
    </xf>
    <xf numFmtId="0" fontId="62" fillId="6" borderId="28" xfId="4" applyFont="1" applyFill="1" applyBorder="1" applyAlignment="1">
      <alignment horizontal="left" vertical="center"/>
    </xf>
    <xf numFmtId="3" fontId="60" fillId="22" borderId="87" xfId="0" applyNumberFormat="1" applyFont="1" applyFill="1" applyBorder="1" applyAlignment="1">
      <alignment horizontal="right" vertical="center"/>
    </xf>
    <xf numFmtId="3" fontId="7" fillId="22" borderId="188" xfId="0" applyNumberFormat="1" applyFont="1" applyFill="1" applyBorder="1" applyAlignment="1">
      <alignment horizontal="right" vertical="center"/>
    </xf>
    <xf numFmtId="3" fontId="27" fillId="22" borderId="39" xfId="0" applyNumberFormat="1" applyFont="1" applyFill="1" applyBorder="1" applyAlignment="1">
      <alignment horizontal="right" vertical="center"/>
    </xf>
    <xf numFmtId="0" fontId="17" fillId="2" borderId="40" xfId="0" applyFont="1" applyFill="1" applyBorder="1" applyAlignment="1">
      <alignment vertical="center" wrapText="1"/>
    </xf>
    <xf numFmtId="3" fontId="7" fillId="22" borderId="39" xfId="0" applyNumberFormat="1" applyFont="1" applyFill="1" applyBorder="1" applyAlignment="1">
      <alignment horizontal="right" vertical="center"/>
    </xf>
    <xf numFmtId="3" fontId="28" fillId="0" borderId="87" xfId="0" applyNumberFormat="1" applyFont="1" applyFill="1" applyBorder="1" applyAlignment="1">
      <alignment vertical="top"/>
    </xf>
    <xf numFmtId="0" fontId="7" fillId="0" borderId="93" xfId="0" applyFont="1" applyFill="1" applyBorder="1" applyAlignment="1">
      <alignment vertical="center" wrapText="1"/>
    </xf>
    <xf numFmtId="3" fontId="28" fillId="0" borderId="188" xfId="0" applyNumberFormat="1" applyFont="1" applyFill="1" applyBorder="1" applyAlignment="1">
      <alignment vertical="center"/>
    </xf>
    <xf numFmtId="3" fontId="28" fillId="0" borderId="188" xfId="0" applyNumberFormat="1" applyFont="1" applyFill="1" applyBorder="1" applyAlignment="1">
      <alignment vertical="top"/>
    </xf>
    <xf numFmtId="0" fontId="7" fillId="6" borderId="16" xfId="0" applyFont="1" applyFill="1" applyBorder="1" applyAlignment="1">
      <alignment horizontal="left" vertical="center" wrapText="1"/>
    </xf>
    <xf numFmtId="3" fontId="25" fillId="6" borderId="17" xfId="0" applyNumberFormat="1" applyFont="1" applyFill="1" applyBorder="1" applyAlignment="1">
      <alignment vertical="center"/>
    </xf>
    <xf numFmtId="0" fontId="17" fillId="2" borderId="40" xfId="0" applyFont="1" applyFill="1" applyBorder="1" applyAlignment="1">
      <alignment horizontal="center" vertical="center" wrapText="1"/>
    </xf>
    <xf numFmtId="3" fontId="28" fillId="0" borderId="47" xfId="0" applyNumberFormat="1" applyFont="1" applyFill="1" applyBorder="1" applyAlignment="1">
      <alignment vertical="center"/>
    </xf>
    <xf numFmtId="3" fontId="28" fillId="0" borderId="47" xfId="0" applyNumberFormat="1" applyFont="1" applyFill="1" applyBorder="1" applyAlignment="1">
      <alignment vertical="top"/>
    </xf>
    <xf numFmtId="3" fontId="27" fillId="50" borderId="68" xfId="4" applyNumberFormat="1" applyFont="1" applyFill="1" applyBorder="1" applyAlignment="1">
      <alignment horizontal="right" vertical="center"/>
    </xf>
    <xf numFmtId="3" fontId="27" fillId="21" borderId="76" xfId="4" applyNumberFormat="1" applyFont="1" applyFill="1" applyBorder="1" applyAlignment="1">
      <alignment horizontal="right" vertical="center"/>
    </xf>
    <xf numFmtId="3" fontId="27" fillId="50" borderId="35" xfId="4" applyNumberFormat="1" applyFont="1" applyFill="1" applyBorder="1" applyAlignment="1">
      <alignment horizontal="right" vertical="center"/>
    </xf>
    <xf numFmtId="3" fontId="25" fillId="23" borderId="2" xfId="0" applyNumberFormat="1" applyFont="1" applyFill="1" applyBorder="1" applyAlignment="1">
      <alignment vertical="top"/>
    </xf>
    <xf numFmtId="0" fontId="7" fillId="6" borderId="179" xfId="0" applyFont="1" applyFill="1" applyBorder="1" applyAlignment="1">
      <alignment vertical="top"/>
    </xf>
    <xf numFmtId="43" fontId="25" fillId="6" borderId="181" xfId="1" applyFont="1" applyFill="1" applyBorder="1" applyAlignment="1"/>
    <xf numFmtId="3" fontId="25" fillId="22" borderId="186" xfId="0" applyNumberFormat="1" applyFont="1" applyFill="1" applyBorder="1" applyAlignment="1"/>
    <xf numFmtId="43" fontId="27" fillId="2" borderId="181" xfId="1" applyFont="1" applyFill="1" applyBorder="1" applyAlignment="1">
      <alignment vertical="center"/>
    </xf>
    <xf numFmtId="3" fontId="27" fillId="23" borderId="186" xfId="0" applyNumberFormat="1" applyFont="1" applyFill="1" applyBorder="1" applyAlignment="1"/>
    <xf numFmtId="43" fontId="31" fillId="0" borderId="181" xfId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43" fontId="31" fillId="0" borderId="116" xfId="1" applyFont="1" applyFill="1" applyBorder="1" applyAlignment="1">
      <alignment vertical="center"/>
    </xf>
    <xf numFmtId="3" fontId="31" fillId="25" borderId="130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31" fillId="23" borderId="18" xfId="0" applyNumberFormat="1" applyFont="1" applyFill="1" applyBorder="1" applyAlignment="1"/>
    <xf numFmtId="0" fontId="7" fillId="6" borderId="157" xfId="0" applyFont="1" applyFill="1" applyBorder="1" applyAlignment="1">
      <alignment vertical="top"/>
    </xf>
    <xf numFmtId="3" fontId="25" fillId="6" borderId="163" xfId="0" applyNumberFormat="1" applyFont="1" applyFill="1" applyBorder="1" applyAlignment="1"/>
    <xf numFmtId="3" fontId="25" fillId="22" borderId="181" xfId="0" applyNumberFormat="1" applyFont="1" applyFill="1" applyBorder="1" applyAlignment="1"/>
    <xf numFmtId="3" fontId="31" fillId="0" borderId="114" xfId="4" applyNumberFormat="1" applyFont="1" applyFill="1" applyBorder="1" applyAlignment="1"/>
    <xf numFmtId="3" fontId="25" fillId="22" borderId="69" xfId="0" applyNumberFormat="1" applyFont="1" applyFill="1" applyBorder="1" applyAlignment="1"/>
    <xf numFmtId="3" fontId="27" fillId="23" borderId="69" xfId="0" applyNumberFormat="1" applyFont="1" applyFill="1" applyBorder="1" applyAlignment="1"/>
    <xf numFmtId="43" fontId="31" fillId="0" borderId="121" xfId="1" applyFont="1" applyFill="1" applyBorder="1" applyAlignment="1"/>
    <xf numFmtId="43" fontId="31" fillId="0" borderId="114" xfId="1" applyFont="1" applyFill="1" applyBorder="1" applyAlignment="1"/>
    <xf numFmtId="3" fontId="25" fillId="23" borderId="0" xfId="0" applyNumberFormat="1" applyFont="1" applyFill="1" applyBorder="1" applyAlignment="1">
      <alignment vertical="top"/>
    </xf>
    <xf numFmtId="0" fontId="7" fillId="6" borderId="197" xfId="0" applyFont="1" applyFill="1" applyBorder="1" applyAlignment="1">
      <alignment vertical="top"/>
    </xf>
    <xf numFmtId="3" fontId="25" fillId="6" borderId="168" xfId="0" applyNumberFormat="1" applyFont="1" applyFill="1" applyBorder="1" applyAlignment="1"/>
    <xf numFmtId="43" fontId="25" fillId="6" borderId="168" xfId="1" applyFont="1" applyFill="1" applyBorder="1" applyAlignment="1"/>
    <xf numFmtId="3" fontId="25" fillId="22" borderId="7" xfId="0" applyNumberFormat="1" applyFont="1" applyFill="1" applyBorder="1" applyAlignment="1"/>
    <xf numFmtId="3" fontId="27" fillId="2" borderId="168" xfId="0" applyNumberFormat="1" applyFont="1" applyFill="1" applyBorder="1" applyAlignment="1">
      <alignment vertical="center"/>
    </xf>
    <xf numFmtId="43" fontId="27" fillId="2" borderId="168" xfId="1" applyFont="1" applyFill="1" applyBorder="1" applyAlignment="1">
      <alignment vertical="center"/>
    </xf>
    <xf numFmtId="3" fontId="27" fillId="23" borderId="7" xfId="0" applyNumberFormat="1" applyFont="1" applyFill="1" applyBorder="1" applyAlignment="1"/>
    <xf numFmtId="43" fontId="31" fillId="0" borderId="23" xfId="1" applyFont="1" applyFill="1" applyBorder="1" applyAlignment="1"/>
    <xf numFmtId="43" fontId="31" fillId="0" borderId="23" xfId="1" applyFont="1" applyFill="1" applyBorder="1" applyAlignment="1">
      <alignment vertical="center"/>
    </xf>
    <xf numFmtId="3" fontId="31" fillId="25" borderId="72" xfId="0" applyNumberFormat="1" applyFont="1" applyFill="1" applyBorder="1" applyAlignment="1">
      <alignment vertical="top"/>
    </xf>
    <xf numFmtId="3" fontId="76" fillId="8" borderId="11" xfId="0" applyNumberFormat="1" applyFont="1" applyFill="1" applyBorder="1"/>
    <xf numFmtId="0" fontId="31" fillId="0" borderId="196" xfId="4" applyFont="1" applyFill="1" applyBorder="1" applyAlignment="1">
      <alignment horizontal="left" vertical="center"/>
    </xf>
    <xf numFmtId="3" fontId="7" fillId="0" borderId="163" xfId="0" applyNumberFormat="1" applyFont="1" applyFill="1" applyBorder="1" applyAlignment="1">
      <alignment horizontal="right" vertical="center"/>
    </xf>
    <xf numFmtId="3" fontId="7" fillId="0" borderId="194" xfId="0" applyNumberFormat="1" applyFont="1" applyFill="1" applyBorder="1" applyAlignment="1">
      <alignment horizontal="right" vertical="center"/>
    </xf>
    <xf numFmtId="3" fontId="23" fillId="6" borderId="109" xfId="6" applyNumberFormat="1" applyFont="1" applyFill="1" applyBorder="1" applyAlignment="1">
      <alignment horizontal="right" vertical="center"/>
    </xf>
    <xf numFmtId="43" fontId="23" fillId="6" borderId="109" xfId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43" fontId="31" fillId="25" borderId="69" xfId="1" applyFont="1" applyFill="1" applyBorder="1" applyAlignment="1">
      <alignment vertical="top"/>
    </xf>
    <xf numFmtId="43" fontId="31" fillId="25" borderId="186" xfId="1" applyFont="1" applyFill="1" applyBorder="1" applyAlignment="1">
      <alignment vertical="top"/>
    </xf>
    <xf numFmtId="3" fontId="7" fillId="8" borderId="197" xfId="4" applyNumberFormat="1" applyFont="1" applyFill="1" applyBorder="1" applyAlignment="1">
      <alignment vertical="center" wrapText="1"/>
    </xf>
    <xf numFmtId="3" fontId="7" fillId="8" borderId="178" xfId="112" applyNumberFormat="1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3" fontId="7" fillId="8" borderId="76" xfId="112" applyNumberFormat="1" applyFont="1" applyFill="1" applyBorder="1" applyAlignment="1">
      <alignment vertical="center"/>
    </xf>
    <xf numFmtId="0" fontId="18" fillId="0" borderId="42" xfId="112" applyFont="1" applyFill="1" applyBorder="1" applyAlignment="1">
      <alignment vertical="center" wrapText="1"/>
    </xf>
    <xf numFmtId="43" fontId="7" fillId="0" borderId="119" xfId="1" applyFont="1" applyFill="1" applyBorder="1" applyAlignment="1">
      <alignment horizontal="right" vertical="center"/>
    </xf>
    <xf numFmtId="43" fontId="7" fillId="0" borderId="178" xfId="1" applyFont="1" applyFill="1" applyBorder="1" applyAlignment="1">
      <alignment horizontal="right" vertical="center"/>
    </xf>
    <xf numFmtId="3" fontId="20" fillId="0" borderId="0" xfId="112" applyNumberFormat="1" applyFont="1" applyBorder="1" applyAlignment="1">
      <alignment vertical="center"/>
    </xf>
    <xf numFmtId="0" fontId="4" fillId="0" borderId="196" xfId="112" applyFont="1" applyBorder="1" applyAlignment="1">
      <alignment vertical="center"/>
    </xf>
    <xf numFmtId="0" fontId="25" fillId="32" borderId="123" xfId="4" applyFont="1" applyFill="1" applyBorder="1" applyAlignment="1">
      <alignment horizontal="left" vertical="center"/>
    </xf>
    <xf numFmtId="3" fontId="7" fillId="0" borderId="168" xfId="4" applyNumberFormat="1" applyFont="1" applyFill="1" applyBorder="1" applyAlignment="1">
      <alignment vertical="center"/>
    </xf>
    <xf numFmtId="43" fontId="31" fillId="32" borderId="121" xfId="1" applyFont="1" applyFill="1" applyBorder="1" applyAlignment="1">
      <alignment vertical="center"/>
    </xf>
    <xf numFmtId="43" fontId="31" fillId="32" borderId="178" xfId="1" applyFont="1" applyFill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7" fillId="0" borderId="119" xfId="4" applyNumberFormat="1" applyFont="1" applyFill="1" applyBorder="1" applyAlignment="1">
      <alignment horizontal="right" vertical="center"/>
    </xf>
    <xf numFmtId="3" fontId="31" fillId="32" borderId="121" xfId="4" applyNumberFormat="1" applyFont="1" applyFill="1" applyBorder="1" applyAlignment="1">
      <alignment vertical="center"/>
    </xf>
    <xf numFmtId="3" fontId="31" fillId="32" borderId="178" xfId="4" applyNumberFormat="1" applyFont="1" applyFill="1" applyBorder="1" applyAlignment="1">
      <alignment vertical="center"/>
    </xf>
    <xf numFmtId="3" fontId="24" fillId="32" borderId="178" xfId="4" applyNumberFormat="1" applyFont="1" applyFill="1" applyBorder="1" applyAlignment="1">
      <alignment vertical="center"/>
    </xf>
    <xf numFmtId="3" fontId="31" fillId="0" borderId="114" xfId="112" applyNumberFormat="1" applyFont="1" applyFill="1" applyBorder="1" applyAlignment="1">
      <alignment vertical="center"/>
    </xf>
    <xf numFmtId="3" fontId="31" fillId="0" borderId="39" xfId="4" applyNumberFormat="1" applyFont="1" applyFill="1" applyBorder="1" applyAlignment="1">
      <alignment vertical="center"/>
    </xf>
    <xf numFmtId="3" fontId="31" fillId="0" borderId="39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center" vertical="center" wrapText="1"/>
    </xf>
    <xf numFmtId="3" fontId="31" fillId="23" borderId="17" xfId="0" applyNumberFormat="1" applyFont="1" applyFill="1" applyBorder="1" applyAlignment="1">
      <alignment vertical="top"/>
    </xf>
    <xf numFmtId="3" fontId="25" fillId="2" borderId="178" xfId="0" applyNumberFormat="1" applyFont="1" applyFill="1" applyBorder="1" applyAlignment="1">
      <alignment vertical="top"/>
    </xf>
    <xf numFmtId="0" fontId="20" fillId="2" borderId="66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1" fillId="0" borderId="72" xfId="0" applyFont="1" applyFill="1" applyBorder="1" applyAlignment="1">
      <alignment vertical="center" wrapText="1"/>
    </xf>
    <xf numFmtId="3" fontId="25" fillId="25" borderId="23" xfId="0" applyNumberFormat="1" applyFont="1" applyFill="1" applyBorder="1" applyAlignment="1">
      <alignment vertical="center"/>
    </xf>
    <xf numFmtId="3" fontId="6" fillId="11" borderId="35" xfId="0" applyNumberFormat="1" applyFont="1" applyFill="1" applyBorder="1"/>
    <xf numFmtId="3" fontId="6" fillId="11" borderId="21" xfId="0" applyNumberFormat="1" applyFont="1" applyFill="1" applyBorder="1"/>
    <xf numFmtId="3" fontId="6" fillId="11" borderId="9" xfId="0" applyNumberFormat="1" applyFont="1" applyFill="1" applyBorder="1"/>
    <xf numFmtId="43" fontId="31" fillId="0" borderId="10" xfId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/>
    </xf>
    <xf numFmtId="3" fontId="6" fillId="6" borderId="35" xfId="0" applyNumberFormat="1" applyFont="1" applyFill="1" applyBorder="1"/>
    <xf numFmtId="0" fontId="7" fillId="6" borderId="197" xfId="0" applyFont="1" applyFill="1" applyBorder="1" applyAlignment="1">
      <alignment vertical="center" wrapText="1"/>
    </xf>
    <xf numFmtId="3" fontId="8" fillId="6" borderId="196" xfId="0" applyNumberFormat="1" applyFont="1" applyFill="1" applyBorder="1"/>
    <xf numFmtId="0" fontId="7" fillId="8" borderId="22" xfId="0" applyFont="1" applyFill="1" applyBorder="1" applyAlignment="1">
      <alignment vertical="center" wrapText="1"/>
    </xf>
    <xf numFmtId="0" fontId="7" fillId="8" borderId="197" xfId="0" applyFont="1" applyFill="1" applyBorder="1" applyAlignment="1">
      <alignment vertical="center" wrapText="1"/>
    </xf>
    <xf numFmtId="3" fontId="25" fillId="22" borderId="10" xfId="0" applyNumberFormat="1" applyFont="1" applyFill="1" applyBorder="1" applyAlignment="1">
      <alignment horizontal="center" vertical="top"/>
    </xf>
    <xf numFmtId="3" fontId="27" fillId="25" borderId="178" xfId="0" applyNumberFormat="1" applyFont="1" applyFill="1" applyBorder="1" applyAlignment="1">
      <alignment horizontal="center" vertical="top"/>
    </xf>
    <xf numFmtId="3" fontId="31" fillId="25" borderId="178" xfId="0" applyNumberFormat="1" applyFont="1" applyFill="1" applyBorder="1" applyAlignment="1">
      <alignment horizontal="center" vertical="top"/>
    </xf>
    <xf numFmtId="3" fontId="28" fillId="0" borderId="63" xfId="4" applyNumberFormat="1" applyFont="1" applyFill="1" applyBorder="1" applyAlignment="1">
      <alignment vertical="center"/>
    </xf>
    <xf numFmtId="3" fontId="28" fillId="0" borderId="178" xfId="0" applyNumberFormat="1" applyFont="1" applyFill="1" applyBorder="1" applyAlignment="1">
      <alignment vertical="top"/>
    </xf>
    <xf numFmtId="3" fontId="8" fillId="51" borderId="35" xfId="0" applyNumberFormat="1" applyFont="1" applyFill="1" applyBorder="1"/>
    <xf numFmtId="0" fontId="7" fillId="23" borderId="68" xfId="0" applyFont="1" applyFill="1" applyBorder="1" applyAlignment="1">
      <alignment vertical="top"/>
    </xf>
    <xf numFmtId="0" fontId="31" fillId="6" borderId="177" xfId="0" applyFont="1" applyFill="1" applyBorder="1" applyAlignment="1">
      <alignment vertical="top"/>
    </xf>
    <xf numFmtId="3" fontId="27" fillId="26" borderId="177" xfId="0" applyNumberFormat="1" applyFont="1" applyFill="1" applyBorder="1" applyAlignment="1">
      <alignment vertical="center"/>
    </xf>
    <xf numFmtId="3" fontId="28" fillId="2" borderId="188" xfId="0" applyNumberFormat="1" applyFont="1" applyFill="1" applyBorder="1" applyAlignment="1">
      <alignment vertical="top"/>
    </xf>
    <xf numFmtId="3" fontId="31" fillId="32" borderId="188" xfId="0" applyNumberFormat="1" applyFont="1" applyFill="1" applyBorder="1" applyAlignment="1">
      <alignment vertical="top"/>
    </xf>
    <xf numFmtId="0" fontId="60" fillId="13" borderId="198" xfId="0" applyFont="1" applyFill="1" applyBorder="1" applyAlignment="1">
      <alignment vertical="center"/>
    </xf>
    <xf numFmtId="0" fontId="60" fillId="13" borderId="197" xfId="0" applyFont="1" applyFill="1" applyBorder="1" applyAlignment="1">
      <alignment vertical="center"/>
    </xf>
    <xf numFmtId="0" fontId="60" fillId="13" borderId="20" xfId="0" applyFont="1" applyFill="1" applyBorder="1" applyAlignment="1">
      <alignment vertical="center"/>
    </xf>
    <xf numFmtId="0" fontId="66" fillId="13" borderId="199" xfId="4" applyFont="1" applyFill="1" applyBorder="1" applyAlignment="1">
      <alignment horizontal="left" vertical="center"/>
    </xf>
    <xf numFmtId="43" fontId="28" fillId="23" borderId="186" xfId="1" applyFont="1" applyFill="1" applyBorder="1" applyAlignment="1">
      <alignment horizontal="right" vertical="center"/>
    </xf>
    <xf numFmtId="0" fontId="24" fillId="8" borderId="68" xfId="4" applyFont="1" applyFill="1" applyBorder="1" applyAlignment="1">
      <alignment vertical="center" wrapText="1"/>
    </xf>
    <xf numFmtId="3" fontId="25" fillId="23" borderId="7" xfId="0" applyNumberFormat="1" applyFont="1" applyFill="1" applyBorder="1" applyAlignment="1"/>
    <xf numFmtId="3" fontId="18" fillId="8" borderId="42" xfId="4" applyNumberFormat="1" applyFont="1" applyFill="1" applyBorder="1" applyAlignment="1">
      <alignment vertical="top" wrapText="1"/>
    </xf>
    <xf numFmtId="3" fontId="25" fillId="23" borderId="76" xfId="0" applyNumberFormat="1" applyFont="1" applyFill="1" applyBorder="1" applyAlignment="1">
      <alignment vertical="top"/>
    </xf>
    <xf numFmtId="3" fontId="27" fillId="25" borderId="186" xfId="0" applyNumberFormat="1" applyFont="1" applyFill="1" applyBorder="1" applyAlignment="1"/>
    <xf numFmtId="3" fontId="25" fillId="8" borderId="8" xfId="0" applyNumberFormat="1" applyFont="1" applyFill="1" applyBorder="1" applyAlignment="1">
      <alignment vertical="top"/>
    </xf>
    <xf numFmtId="3" fontId="31" fillId="8" borderId="9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center"/>
    </xf>
    <xf numFmtId="43" fontId="31" fillId="8" borderId="18" xfId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17" xfId="0" applyFont="1" applyFill="1" applyBorder="1" applyAlignment="1">
      <alignment vertical="center"/>
    </xf>
    <xf numFmtId="0" fontId="7" fillId="23" borderId="76" xfId="0" applyFont="1" applyFill="1" applyBorder="1" applyAlignment="1">
      <alignment vertical="center"/>
    </xf>
    <xf numFmtId="3" fontId="25" fillId="22" borderId="0" xfId="0" applyNumberFormat="1" applyFont="1" applyFill="1" applyBorder="1" applyAlignment="1">
      <alignment vertical="center"/>
    </xf>
    <xf numFmtId="43" fontId="27" fillId="0" borderId="178" xfId="1" applyFont="1" applyFill="1" applyBorder="1" applyAlignment="1">
      <alignment vertical="center"/>
    </xf>
    <xf numFmtId="3" fontId="27" fillId="25" borderId="8" xfId="0" applyNumberFormat="1" applyFont="1" applyFill="1" applyBorder="1" applyAlignment="1">
      <alignment vertical="center"/>
    </xf>
    <xf numFmtId="3" fontId="31" fillId="0" borderId="169" xfId="4" applyNumberFormat="1" applyFont="1" applyFill="1" applyBorder="1" applyAlignment="1">
      <alignment horizontal="right" vertical="center"/>
    </xf>
    <xf numFmtId="0" fontId="28" fillId="60" borderId="181" xfId="4" applyFont="1" applyFill="1" applyBorder="1" applyAlignment="1">
      <alignment horizontal="right" vertical="center"/>
    </xf>
    <xf numFmtId="3" fontId="31" fillId="60" borderId="169" xfId="4" applyNumberFormat="1" applyFont="1" applyFill="1" applyBorder="1" applyAlignment="1">
      <alignment vertical="center"/>
    </xf>
    <xf numFmtId="3" fontId="28" fillId="60" borderId="169" xfId="4" applyNumberFormat="1" applyFont="1" applyFill="1" applyBorder="1" applyAlignment="1">
      <alignment vertical="center"/>
    </xf>
    <xf numFmtId="3" fontId="28" fillId="60" borderId="169" xfId="4" applyNumberFormat="1" applyFont="1" applyFill="1" applyBorder="1" applyAlignment="1">
      <alignment horizontal="right" vertical="center"/>
    </xf>
    <xf numFmtId="0" fontId="28" fillId="52" borderId="181" xfId="4" applyFont="1" applyFill="1" applyBorder="1" applyAlignment="1">
      <alignment horizontal="right" vertical="center"/>
    </xf>
    <xf numFmtId="3" fontId="31" fillId="52" borderId="169" xfId="4" applyNumberFormat="1" applyFont="1" applyFill="1" applyBorder="1" applyAlignment="1">
      <alignment vertical="center"/>
    </xf>
    <xf numFmtId="3" fontId="28" fillId="52" borderId="169" xfId="4" applyNumberFormat="1" applyFont="1" applyFill="1" applyBorder="1" applyAlignment="1">
      <alignment vertical="center"/>
    </xf>
    <xf numFmtId="3" fontId="28" fillId="52" borderId="169" xfId="4" applyNumberFormat="1" applyFont="1" applyFill="1" applyBorder="1" applyAlignment="1">
      <alignment horizontal="right" vertical="center"/>
    </xf>
    <xf numFmtId="0" fontId="24" fillId="8" borderId="26" xfId="0" applyFont="1" applyFill="1" applyBorder="1" applyAlignment="1">
      <alignment horizontal="center" vertical="center" wrapText="1"/>
    </xf>
    <xf numFmtId="0" fontId="20" fillId="6" borderId="197" xfId="4" applyFont="1" applyFill="1" applyBorder="1" applyAlignment="1">
      <alignment horizontal="left" vertical="center"/>
    </xf>
    <xf numFmtId="43" fontId="29" fillId="0" borderId="169" xfId="1" applyFont="1" applyFill="1" applyBorder="1" applyAlignment="1">
      <alignment horizontal="right" vertical="center"/>
    </xf>
    <xf numFmtId="0" fontId="28" fillId="52" borderId="181" xfId="4" quotePrefix="1" applyFont="1" applyFill="1" applyBorder="1" applyAlignment="1">
      <alignment horizontal="right" vertical="center"/>
    </xf>
    <xf numFmtId="0" fontId="28" fillId="57" borderId="181" xfId="4" quotePrefix="1" applyFont="1" applyFill="1" applyBorder="1" applyAlignment="1">
      <alignment horizontal="right"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7" fillId="23" borderId="76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vertical="top"/>
    </xf>
    <xf numFmtId="0" fontId="24" fillId="8" borderId="196" xfId="4" applyFont="1" applyFill="1" applyBorder="1" applyAlignment="1">
      <alignment horizontal="left" vertical="center" wrapText="1"/>
    </xf>
    <xf numFmtId="0" fontId="31" fillId="0" borderId="119" xfId="4" applyFont="1" applyFill="1" applyBorder="1" applyAlignment="1">
      <alignment vertical="center"/>
    </xf>
    <xf numFmtId="0" fontId="63" fillId="0" borderId="35" xfId="0" quotePrefix="1" applyFont="1" applyBorder="1" applyAlignment="1">
      <alignment vertical="center"/>
    </xf>
    <xf numFmtId="0" fontId="31" fillId="0" borderId="178" xfId="0" applyFont="1" applyFill="1" applyBorder="1" applyAlignment="1">
      <alignment vertical="top" wrapText="1"/>
    </xf>
    <xf numFmtId="0" fontId="27" fillId="0" borderId="178" xfId="0" applyFont="1" applyFill="1" applyBorder="1" applyAlignment="1">
      <alignment vertical="top" wrapText="1"/>
    </xf>
    <xf numFmtId="0" fontId="31" fillId="0" borderId="188" xfId="4" applyFont="1" applyFill="1" applyBorder="1" applyAlignment="1">
      <alignment vertical="center"/>
    </xf>
    <xf numFmtId="0" fontId="31" fillId="6" borderId="28" xfId="0" applyFont="1" applyFill="1" applyBorder="1" applyAlignment="1">
      <alignment vertical="top"/>
    </xf>
    <xf numFmtId="3" fontId="25" fillId="22" borderId="89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31" fillId="0" borderId="119" xfId="0" applyNumberFormat="1" applyFont="1" applyFill="1" applyBorder="1" applyAlignment="1">
      <alignment horizontal="right" vertical="center"/>
    </xf>
    <xf numFmtId="0" fontId="28" fillId="0" borderId="127" xfId="0" applyFont="1" applyFill="1" applyBorder="1" applyAlignment="1">
      <alignment vertical="top"/>
    </xf>
    <xf numFmtId="3" fontId="31" fillId="0" borderId="154" xfId="0" applyNumberFormat="1" applyFont="1" applyFill="1" applyBorder="1" applyAlignment="1">
      <alignment horizontal="right" vertical="center"/>
    </xf>
    <xf numFmtId="3" fontId="31" fillId="25" borderId="162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53" xfId="0" applyNumberFormat="1" applyFont="1" applyFill="1" applyBorder="1" applyAlignment="1">
      <alignment horizontal="right" vertical="center"/>
    </xf>
    <xf numFmtId="3" fontId="28" fillId="25" borderId="119" xfId="0" applyNumberFormat="1" applyFont="1" applyFill="1" applyBorder="1" applyAlignment="1">
      <alignment vertical="top"/>
    </xf>
    <xf numFmtId="0" fontId="25" fillId="8" borderId="1" xfId="0" applyFont="1" applyFill="1" applyBorder="1" applyAlignment="1">
      <alignment horizontal="center" vertical="center" wrapText="1"/>
    </xf>
    <xf numFmtId="3" fontId="25" fillId="6" borderId="171" xfId="0" applyNumberFormat="1" applyFont="1" applyFill="1" applyBorder="1" applyAlignment="1">
      <alignment vertical="top"/>
    </xf>
    <xf numFmtId="43" fontId="25" fillId="6" borderId="171" xfId="1" applyFont="1" applyFill="1" applyBorder="1" applyAlignment="1">
      <alignment vertical="top"/>
    </xf>
    <xf numFmtId="3" fontId="25" fillId="22" borderId="171" xfId="0" applyNumberFormat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77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0" fontId="66" fillId="6" borderId="159" xfId="4" applyFont="1" applyFill="1" applyBorder="1" applyAlignment="1">
      <alignment horizontal="left" vertical="center"/>
    </xf>
    <xf numFmtId="3" fontId="24" fillId="6" borderId="168" xfId="0" applyNumberFormat="1" applyFont="1" applyFill="1" applyBorder="1" applyAlignment="1">
      <alignment vertical="center"/>
    </xf>
    <xf numFmtId="3" fontId="24" fillId="6" borderId="152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68" xfId="0" applyNumberFormat="1" applyFont="1" applyFill="1" applyBorder="1" applyAlignment="1">
      <alignment vertical="center"/>
    </xf>
    <xf numFmtId="3" fontId="29" fillId="0" borderId="152" xfId="0" applyNumberFormat="1" applyFont="1" applyFill="1" applyBorder="1" applyAlignment="1">
      <alignment vertical="center"/>
    </xf>
    <xf numFmtId="3" fontId="29" fillId="25" borderId="152" xfId="0" applyNumberFormat="1" applyFont="1" applyFill="1" applyBorder="1" applyAlignment="1">
      <alignment vertical="top"/>
    </xf>
    <xf numFmtId="0" fontId="8" fillId="0" borderId="117" xfId="0" applyFont="1" applyFill="1" applyBorder="1" applyAlignment="1">
      <alignment vertical="center" wrapText="1"/>
    </xf>
    <xf numFmtId="3" fontId="7" fillId="0" borderId="162" xfId="4" applyNumberFormat="1" applyFont="1" applyFill="1" applyBorder="1" applyAlignment="1">
      <alignment vertical="center"/>
    </xf>
    <xf numFmtId="3" fontId="38" fillId="2" borderId="121" xfId="0" applyNumberFormat="1" applyFont="1" applyFill="1" applyBorder="1" applyAlignment="1">
      <alignment vertical="top"/>
    </xf>
    <xf numFmtId="3" fontId="7" fillId="25" borderId="119" xfId="0" applyNumberFormat="1" applyFont="1" applyFill="1" applyBorder="1" applyAlignment="1">
      <alignment vertical="top"/>
    </xf>
    <xf numFmtId="3" fontId="7" fillId="0" borderId="153" xfId="4" applyNumberFormat="1" applyFont="1" applyFill="1" applyBorder="1" applyAlignment="1">
      <alignment vertical="center"/>
    </xf>
    <xf numFmtId="0" fontId="29" fillId="2" borderId="117" xfId="4" applyFont="1" applyFill="1" applyBorder="1" applyAlignment="1">
      <alignment vertical="top"/>
    </xf>
    <xf numFmtId="3" fontId="29" fillId="0" borderId="168" xfId="0" applyNumberFormat="1" applyFont="1" applyFill="1" applyBorder="1" applyAlignment="1">
      <alignment horizontal="right" vertical="center"/>
    </xf>
    <xf numFmtId="3" fontId="29" fillId="0" borderId="152" xfId="0" applyNumberFormat="1" applyFont="1" applyFill="1" applyBorder="1" applyAlignment="1">
      <alignment horizontal="right" vertical="center"/>
    </xf>
    <xf numFmtId="3" fontId="38" fillId="0" borderId="168" xfId="0" applyNumberFormat="1" applyFont="1" applyFill="1" applyBorder="1" applyAlignment="1">
      <alignment vertical="center"/>
    </xf>
    <xf numFmtId="3" fontId="7" fillId="25" borderId="119" xfId="0" applyNumberFormat="1" applyFont="1" applyFill="1" applyBorder="1" applyAlignment="1">
      <alignment vertical="center"/>
    </xf>
    <xf numFmtId="3" fontId="38" fillId="0" borderId="162" xfId="0" applyNumberFormat="1" applyFont="1" applyFill="1" applyBorder="1" applyAlignment="1">
      <alignment vertical="center"/>
    </xf>
    <xf numFmtId="3" fontId="7" fillId="0" borderId="152" xfId="0" applyNumberFormat="1" applyFont="1" applyFill="1" applyBorder="1" applyAlignment="1">
      <alignment vertical="center"/>
    </xf>
    <xf numFmtId="3" fontId="7" fillId="0" borderId="114" xfId="4" applyNumberFormat="1" applyFont="1" applyFill="1" applyBorder="1" applyAlignment="1">
      <alignment vertical="center"/>
    </xf>
    <xf numFmtId="0" fontId="25" fillId="8" borderId="82" xfId="0" applyFont="1" applyFill="1" applyBorder="1" applyAlignment="1">
      <alignment horizontal="center" vertical="center" wrapText="1"/>
    </xf>
    <xf numFmtId="0" fontId="7" fillId="23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31" fillId="0" borderId="89" xfId="0" applyNumberFormat="1" applyFont="1" applyFill="1" applyBorder="1" applyAlignment="1">
      <alignment vertical="top"/>
    </xf>
    <xf numFmtId="3" fontId="31" fillId="0" borderId="96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89" xfId="0" applyNumberFormat="1" applyFont="1" applyFill="1" applyBorder="1" applyAlignment="1">
      <alignment vertical="top"/>
    </xf>
    <xf numFmtId="3" fontId="28" fillId="0" borderId="96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99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top"/>
    </xf>
    <xf numFmtId="3" fontId="31" fillId="0" borderId="98" xfId="0" applyNumberFormat="1" applyFont="1" applyFill="1" applyBorder="1" applyAlignment="1">
      <alignment vertical="center"/>
    </xf>
    <xf numFmtId="3" fontId="28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vertical="center" wrapText="1"/>
    </xf>
    <xf numFmtId="3" fontId="28" fillId="0" borderId="97" xfId="0" applyNumberFormat="1" applyFont="1" applyFill="1" applyBorder="1" applyAlignment="1">
      <alignment vertical="center"/>
    </xf>
    <xf numFmtId="3" fontId="28" fillId="0" borderId="97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07" xfId="0" applyFont="1" applyFill="1" applyBorder="1" applyAlignment="1">
      <alignment horizontal="center" vertical="center" wrapText="1"/>
    </xf>
    <xf numFmtId="3" fontId="7" fillId="8" borderId="105" xfId="0" applyNumberFormat="1" applyFont="1" applyFill="1" applyBorder="1" applyAlignment="1">
      <alignment vertical="top"/>
    </xf>
    <xf numFmtId="3" fontId="7" fillId="8" borderId="103" xfId="0" applyNumberFormat="1" applyFont="1" applyFill="1" applyBorder="1" applyAlignment="1">
      <alignment vertical="top"/>
    </xf>
    <xf numFmtId="0" fontId="7" fillId="8" borderId="103" xfId="0" applyFont="1" applyFill="1" applyBorder="1" applyAlignment="1">
      <alignment vertical="top"/>
    </xf>
    <xf numFmtId="0" fontId="7" fillId="8" borderId="99" xfId="0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center" vertical="center"/>
    </xf>
    <xf numFmtId="0" fontId="66" fillId="6" borderId="100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right" vertical="center"/>
    </xf>
    <xf numFmtId="3" fontId="7" fillId="0" borderId="98" xfId="0" applyNumberFormat="1" applyFont="1" applyFill="1" applyBorder="1" applyAlignment="1">
      <alignment vertical="center"/>
    </xf>
    <xf numFmtId="3" fontId="7" fillId="0" borderId="98" xfId="0" applyNumberFormat="1" applyFont="1" applyFill="1" applyBorder="1" applyAlignment="1">
      <alignment vertical="top"/>
    </xf>
    <xf numFmtId="3" fontId="38" fillId="0" borderId="98" xfId="0" applyNumberFormat="1" applyFont="1" applyFill="1" applyBorder="1" applyAlignment="1">
      <alignment vertical="center"/>
    </xf>
    <xf numFmtId="3" fontId="38" fillId="0" borderId="98" xfId="0" applyNumberFormat="1" applyFont="1" applyFill="1" applyBorder="1" applyAlignment="1">
      <alignment vertical="top"/>
    </xf>
    <xf numFmtId="0" fontId="17" fillId="0" borderId="84" xfId="0" applyFont="1" applyFill="1" applyBorder="1" applyAlignment="1">
      <alignment horizontal="center" vertical="center"/>
    </xf>
    <xf numFmtId="0" fontId="7" fillId="0" borderId="101" xfId="0" applyFont="1" applyFill="1" applyBorder="1" applyAlignment="1">
      <alignment horizontal="center" vertical="center" wrapText="1"/>
    </xf>
    <xf numFmtId="3" fontId="31" fillId="8" borderId="105" xfId="0" applyNumberFormat="1" applyFont="1" applyFill="1" applyBorder="1" applyAlignment="1">
      <alignment vertical="top"/>
    </xf>
    <xf numFmtId="3" fontId="31" fillId="8" borderId="103" xfId="0" applyNumberFormat="1" applyFont="1" applyFill="1" applyBorder="1" applyAlignment="1">
      <alignment vertical="top"/>
    </xf>
    <xf numFmtId="0" fontId="31" fillId="8" borderId="103" xfId="0" applyFont="1" applyFill="1" applyBorder="1" applyAlignment="1">
      <alignment vertical="top"/>
    </xf>
    <xf numFmtId="0" fontId="31" fillId="8" borderId="99" xfId="0" applyFont="1" applyFill="1" applyBorder="1" applyAlignment="1">
      <alignment vertical="top"/>
    </xf>
    <xf numFmtId="3" fontId="25" fillId="22" borderId="98" xfId="0" applyNumberFormat="1" applyFont="1" applyFill="1" applyBorder="1" applyAlignment="1">
      <alignment horizontal="center" vertical="center"/>
    </xf>
    <xf numFmtId="0" fontId="25" fillId="6" borderId="25" xfId="4" applyFont="1" applyFill="1" applyBorder="1" applyAlignment="1">
      <alignment horizontal="left" vertical="center"/>
    </xf>
    <xf numFmtId="0" fontId="62" fillId="6" borderId="100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98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98" xfId="0" applyNumberFormat="1" applyFont="1" applyFill="1" applyBorder="1" applyAlignment="1">
      <alignment vertical="top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2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3" fontId="24" fillId="6" borderId="177" xfId="0" applyNumberFormat="1" applyFont="1" applyFill="1" applyBorder="1" applyAlignment="1">
      <alignment vertical="top"/>
    </xf>
    <xf numFmtId="3" fontId="29" fillId="2" borderId="178" xfId="0" applyNumberFormat="1" applyFont="1" applyFill="1" applyBorder="1" applyAlignment="1">
      <alignment vertical="center"/>
    </xf>
    <xf numFmtId="3" fontId="24" fillId="2" borderId="177" xfId="0" applyNumberFormat="1" applyFont="1" applyFill="1" applyBorder="1" applyAlignment="1">
      <alignment vertical="center"/>
    </xf>
    <xf numFmtId="3" fontId="29" fillId="32" borderId="177" xfId="0" applyNumberFormat="1" applyFont="1" applyFill="1" applyBorder="1" applyAlignment="1">
      <alignment vertical="center"/>
    </xf>
    <xf numFmtId="0" fontId="7" fillId="2" borderId="196" xfId="0" applyFont="1" applyFill="1" applyBorder="1" applyAlignment="1">
      <alignment vertical="center"/>
    </xf>
    <xf numFmtId="3" fontId="7" fillId="0" borderId="178" xfId="4" applyNumberFormat="1" applyFont="1" applyFill="1" applyBorder="1" applyAlignment="1">
      <alignment vertical="center"/>
    </xf>
    <xf numFmtId="3" fontId="7" fillId="2" borderId="177" xfId="0" applyNumberFormat="1" applyFont="1" applyFill="1" applyBorder="1" applyAlignment="1">
      <alignment vertical="top"/>
    </xf>
    <xf numFmtId="3" fontId="7" fillId="32" borderId="178" xfId="0" applyNumberFormat="1" applyFont="1" applyFill="1" applyBorder="1" applyAlignment="1">
      <alignment vertical="top"/>
    </xf>
    <xf numFmtId="3" fontId="7" fillId="25" borderId="178" xfId="0" applyNumberFormat="1" applyFont="1" applyFill="1" applyBorder="1" applyAlignment="1">
      <alignment vertical="top"/>
    </xf>
    <xf numFmtId="0" fontId="38" fillId="56" borderId="21" xfId="0" applyFont="1" applyFill="1" applyBorder="1" applyAlignment="1">
      <alignment horizontal="right" vertical="top"/>
    </xf>
    <xf numFmtId="3" fontId="7" fillId="56" borderId="169" xfId="4" applyNumberFormat="1" applyFont="1" applyFill="1" applyBorder="1" applyAlignment="1">
      <alignment vertical="center"/>
    </xf>
    <xf numFmtId="3" fontId="38" fillId="56" borderId="177" xfId="0" applyNumberFormat="1" applyFont="1" applyFill="1" applyBorder="1" applyAlignment="1">
      <alignment vertical="top"/>
    </xf>
    <xf numFmtId="3" fontId="7" fillId="56" borderId="9" xfId="0" applyNumberFormat="1" applyFont="1" applyFill="1" applyBorder="1" applyAlignment="1">
      <alignment vertical="top"/>
    </xf>
    <xf numFmtId="3" fontId="38" fillId="56" borderId="9" xfId="0" applyNumberFormat="1" applyFont="1" applyFill="1" applyBorder="1" applyAlignment="1">
      <alignment vertical="top"/>
    </xf>
    <xf numFmtId="0" fontId="38" fillId="59" borderId="25" xfId="0" applyFont="1" applyFill="1" applyBorder="1" applyAlignment="1">
      <alignment horizontal="right" vertical="top"/>
    </xf>
    <xf numFmtId="3" fontId="7" fillId="59" borderId="188" xfId="4" applyNumberFormat="1" applyFont="1" applyFill="1" applyBorder="1" applyAlignment="1">
      <alignment vertical="center"/>
    </xf>
    <xf numFmtId="3" fontId="38" fillId="59" borderId="194" xfId="0" applyNumberFormat="1" applyFont="1" applyFill="1" applyBorder="1" applyAlignment="1">
      <alignment vertical="top"/>
    </xf>
    <xf numFmtId="3" fontId="7" fillId="59" borderId="23" xfId="0" applyNumberFormat="1" applyFont="1" applyFill="1" applyBorder="1" applyAlignment="1">
      <alignment vertical="top"/>
    </xf>
    <xf numFmtId="3" fontId="38" fillId="59" borderId="23" xfId="0" applyNumberFormat="1" applyFont="1" applyFill="1" applyBorder="1" applyAlignment="1">
      <alignment vertical="top"/>
    </xf>
    <xf numFmtId="3" fontId="7" fillId="25" borderId="188" xfId="0" applyNumberFormat="1" applyFont="1" applyFill="1" applyBorder="1" applyAlignment="1">
      <alignment vertical="top"/>
    </xf>
    <xf numFmtId="0" fontId="25" fillId="8" borderId="19" xfId="4" applyFont="1" applyFill="1" applyBorder="1" applyAlignment="1">
      <alignment vertical="center" wrapText="1"/>
    </xf>
    <xf numFmtId="0" fontId="24" fillId="6" borderId="20" xfId="4" applyFont="1" applyFill="1" applyBorder="1" applyAlignment="1">
      <alignment horizontal="left" vertical="center"/>
    </xf>
    <xf numFmtId="0" fontId="29" fillId="2" borderId="196" xfId="4" applyFont="1" applyFill="1" applyBorder="1" applyAlignment="1">
      <alignment vertical="center"/>
    </xf>
    <xf numFmtId="0" fontId="31" fillId="0" borderId="158" xfId="4" applyFont="1" applyFill="1" applyBorder="1" applyAlignment="1">
      <alignment vertical="center"/>
    </xf>
    <xf numFmtId="0" fontId="31" fillId="2" borderId="21" xfId="4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 wrapText="1"/>
    </xf>
    <xf numFmtId="3" fontId="18" fillId="0" borderId="41" xfId="4" applyNumberFormat="1" applyFont="1" applyFill="1" applyBorder="1" applyAlignment="1">
      <alignment vertical="center" wrapText="1"/>
    </xf>
    <xf numFmtId="3" fontId="7" fillId="0" borderId="169" xfId="4" applyNumberFormat="1" applyFont="1" applyFill="1" applyBorder="1" applyAlignment="1">
      <alignment vertical="center"/>
    </xf>
    <xf numFmtId="0" fontId="7" fillId="32" borderId="21" xfId="4" applyFont="1" applyFill="1" applyBorder="1" applyAlignment="1">
      <alignment horizontal="left" vertical="center"/>
    </xf>
    <xf numFmtId="3" fontId="29" fillId="2" borderId="185" xfId="4" applyNumberFormat="1" applyFont="1" applyFill="1" applyBorder="1" applyAlignment="1">
      <alignment vertical="center" wrapText="1"/>
    </xf>
    <xf numFmtId="3" fontId="29" fillId="0" borderId="178" xfId="4" applyNumberFormat="1" applyFont="1" applyFill="1" applyBorder="1" applyAlignment="1">
      <alignment vertical="center"/>
    </xf>
    <xf numFmtId="3" fontId="7" fillId="0" borderId="10" xfId="4" applyNumberFormat="1" applyFont="1" applyFill="1" applyBorder="1" applyAlignment="1">
      <alignment vertical="center"/>
    </xf>
    <xf numFmtId="3" fontId="63" fillId="8" borderId="76" xfId="6" applyNumberFormat="1" applyFont="1" applyFill="1" applyBorder="1" applyAlignment="1">
      <alignment vertical="center"/>
    </xf>
    <xf numFmtId="3" fontId="24" fillId="6" borderId="177" xfId="0" applyNumberFormat="1" applyFont="1" applyFill="1" applyBorder="1" applyAlignment="1">
      <alignment horizontal="right" vertical="center"/>
    </xf>
    <xf numFmtId="43" fontId="24" fillId="8" borderId="17" xfId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23" fillId="6" borderId="178" xfId="6" applyNumberFormat="1" applyFont="1" applyFill="1" applyBorder="1" applyAlignment="1">
      <alignment horizontal="right" vertical="center"/>
    </xf>
    <xf numFmtId="43" fontId="23" fillId="6" borderId="178" xfId="1" applyFont="1" applyFill="1" applyBorder="1" applyAlignment="1">
      <alignment horizontal="right" vertical="center"/>
    </xf>
    <xf numFmtId="3" fontId="31" fillId="2" borderId="127" xfId="4" applyNumberFormat="1" applyFont="1" applyFill="1" applyBorder="1" applyAlignment="1">
      <alignment vertical="center" wrapText="1"/>
    </xf>
    <xf numFmtId="43" fontId="33" fillId="0" borderId="154" xfId="1" applyFont="1" applyFill="1" applyBorder="1" applyAlignment="1">
      <alignment horizontal="right" vertical="center"/>
    </xf>
    <xf numFmtId="3" fontId="31" fillId="0" borderId="114" xfId="4" applyNumberFormat="1" applyFont="1" applyFill="1" applyBorder="1" applyAlignment="1">
      <alignment horizontal="right" vertical="center"/>
    </xf>
    <xf numFmtId="43" fontId="31" fillId="0" borderId="189" xfId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25" fillId="2" borderId="178" xfId="4" applyNumberFormat="1" applyFont="1" applyFill="1" applyBorder="1" applyAlignment="1">
      <alignment vertical="center" wrapText="1"/>
    </xf>
    <xf numFmtId="3" fontId="20" fillId="2" borderId="35" xfId="4" applyNumberFormat="1" applyFont="1" applyFill="1" applyBorder="1" applyAlignment="1">
      <alignment vertical="center" wrapText="1"/>
    </xf>
    <xf numFmtId="3" fontId="38" fillId="2" borderId="121" xfId="0" applyNumberFormat="1" applyFont="1" applyFill="1" applyBorder="1" applyAlignment="1">
      <alignment vertical="center"/>
    </xf>
    <xf numFmtId="0" fontId="21" fillId="2" borderId="197" xfId="0" applyFont="1" applyFill="1" applyBorder="1" applyAlignment="1">
      <alignment horizontal="center" vertical="top"/>
    </xf>
    <xf numFmtId="0" fontId="21" fillId="2" borderId="178" xfId="0" quotePrefix="1" applyFont="1" applyFill="1" applyBorder="1" applyAlignment="1">
      <alignment horizontal="center" vertical="top"/>
    </xf>
    <xf numFmtId="3" fontId="29" fillId="8" borderId="181" xfId="4" applyNumberFormat="1" applyFont="1" applyFill="1" applyBorder="1" applyAlignment="1">
      <alignment vertical="center" wrapText="1"/>
    </xf>
    <xf numFmtId="3" fontId="27" fillId="8" borderId="197" xfId="0" applyNumberFormat="1" applyFont="1" applyFill="1" applyBorder="1" applyAlignment="1">
      <alignment vertical="center"/>
    </xf>
    <xf numFmtId="3" fontId="7" fillId="8" borderId="197" xfId="0" applyNumberFormat="1" applyFont="1" applyFill="1" applyBorder="1" applyAlignment="1">
      <alignment vertical="center"/>
    </xf>
    <xf numFmtId="3" fontId="32" fillId="8" borderId="197" xfId="6" applyNumberFormat="1" applyFont="1" applyFill="1" applyBorder="1" applyAlignment="1">
      <alignment vertical="center"/>
    </xf>
    <xf numFmtId="3" fontId="7" fillId="23" borderId="178" xfId="4" applyNumberFormat="1" applyFont="1" applyFill="1" applyBorder="1" applyAlignment="1">
      <alignment vertical="center"/>
    </xf>
    <xf numFmtId="3" fontId="33" fillId="8" borderId="177" xfId="6" applyNumberFormat="1" applyFont="1" applyFill="1" applyBorder="1" applyAlignment="1">
      <alignment vertical="center"/>
    </xf>
    <xf numFmtId="3" fontId="7" fillId="8" borderId="116" xfId="4" applyNumberFormat="1" applyFont="1" applyFill="1" applyBorder="1" applyAlignment="1">
      <alignment vertical="center" wrapText="1"/>
    </xf>
    <xf numFmtId="3" fontId="31" fillId="52" borderId="169" xfId="4" applyNumberFormat="1" applyFont="1" applyFill="1" applyBorder="1" applyAlignment="1">
      <alignment horizontal="right" vertical="center"/>
    </xf>
    <xf numFmtId="3" fontId="31" fillId="57" borderId="169" xfId="4" applyNumberFormat="1" applyFont="1" applyFill="1" applyBorder="1" applyAlignment="1">
      <alignment vertical="center"/>
    </xf>
    <xf numFmtId="3" fontId="28" fillId="57" borderId="169" xfId="4" applyNumberFormat="1" applyFont="1" applyFill="1" applyBorder="1" applyAlignment="1">
      <alignment horizontal="right" vertical="center"/>
    </xf>
    <xf numFmtId="3" fontId="7" fillId="57" borderId="169" xfId="4" applyNumberFormat="1" applyFont="1" applyFill="1" applyBorder="1" applyAlignment="1">
      <alignment horizontal="right" vertical="center"/>
    </xf>
    <xf numFmtId="3" fontId="7" fillId="52" borderId="169" xfId="4" applyNumberFormat="1" applyFont="1" applyFill="1" applyBorder="1" applyAlignment="1">
      <alignment horizontal="right" vertical="center"/>
    </xf>
    <xf numFmtId="43" fontId="33" fillId="52" borderId="178" xfId="6" applyNumberFormat="1" applyFont="1" applyFill="1" applyBorder="1" applyAlignment="1">
      <alignment vertical="center"/>
    </xf>
    <xf numFmtId="0" fontId="28" fillId="57" borderId="181" xfId="4" applyFont="1" applyFill="1" applyBorder="1" applyAlignment="1">
      <alignment horizontal="right" vertical="center"/>
    </xf>
    <xf numFmtId="43" fontId="7" fillId="57" borderId="169" xfId="4" applyNumberFormat="1" applyFont="1" applyFill="1" applyBorder="1" applyAlignment="1">
      <alignment horizontal="right" vertical="center"/>
    </xf>
    <xf numFmtId="43" fontId="33" fillId="57" borderId="178" xfId="6" applyNumberFormat="1" applyFont="1" applyFill="1" applyBorder="1" applyAlignment="1">
      <alignment vertical="center"/>
    </xf>
    <xf numFmtId="3" fontId="28" fillId="52" borderId="196" xfId="4" applyNumberFormat="1" applyFont="1" applyFill="1" applyBorder="1" applyAlignment="1">
      <alignment horizontal="right" vertical="center" wrapText="1"/>
    </xf>
    <xf numFmtId="43" fontId="32" fillId="52" borderId="178" xfId="6" applyNumberFormat="1" applyFont="1" applyFill="1" applyBorder="1" applyAlignment="1">
      <alignment vertical="center"/>
    </xf>
    <xf numFmtId="0" fontId="39" fillId="57" borderId="196" xfId="0" applyFont="1" applyFill="1" applyBorder="1" applyAlignment="1">
      <alignment horizontal="right" vertical="center"/>
    </xf>
    <xf numFmtId="41" fontId="31" fillId="57" borderId="177" xfId="1" applyNumberFormat="1" applyFont="1" applyFill="1" applyBorder="1" applyAlignment="1"/>
    <xf numFmtId="43" fontId="7" fillId="57" borderId="178" xfId="4" applyNumberFormat="1" applyFont="1" applyFill="1" applyBorder="1" applyAlignment="1">
      <alignment horizontal="right" vertical="center"/>
    </xf>
    <xf numFmtId="43" fontId="32" fillId="57" borderId="178" xfId="6" applyNumberFormat="1" applyFont="1" applyFill="1" applyBorder="1" applyAlignment="1">
      <alignment vertical="center"/>
    </xf>
    <xf numFmtId="3" fontId="31" fillId="0" borderId="194" xfId="1" applyNumberFormat="1" applyFont="1" applyFill="1" applyBorder="1" applyAlignment="1">
      <alignment horizontal="right"/>
    </xf>
    <xf numFmtId="3" fontId="28" fillId="2" borderId="196" xfId="4" applyNumberFormat="1" applyFont="1" applyFill="1" applyBorder="1" applyAlignment="1">
      <alignment horizontal="right" vertical="center" wrapText="1"/>
    </xf>
    <xf numFmtId="0" fontId="39" fillId="0" borderId="196" xfId="0" applyFont="1" applyBorder="1" applyAlignment="1">
      <alignment horizontal="right" vertical="center"/>
    </xf>
    <xf numFmtId="41" fontId="27" fillId="0" borderId="169" xfId="4" applyNumberFormat="1" applyFont="1" applyFill="1" applyBorder="1" applyAlignment="1">
      <alignment horizontal="right" vertical="center"/>
    </xf>
    <xf numFmtId="41" fontId="7" fillId="0" borderId="169" xfId="4" applyNumberFormat="1" applyFont="1" applyFill="1" applyBorder="1" applyAlignment="1">
      <alignment horizontal="right" vertical="center"/>
    </xf>
    <xf numFmtId="3" fontId="32" fillId="8" borderId="178" xfId="6" applyNumberFormat="1" applyFont="1" applyFill="1" applyBorder="1" applyAlignment="1">
      <alignment vertical="center"/>
    </xf>
    <xf numFmtId="3" fontId="7" fillId="0" borderId="194" xfId="4" applyNumberFormat="1" applyFont="1" applyFill="1" applyBorder="1" applyAlignment="1">
      <alignment horizontal="right" vertical="center"/>
    </xf>
    <xf numFmtId="3" fontId="25" fillId="6" borderId="197" xfId="4" applyNumberFormat="1" applyFont="1" applyFill="1" applyBorder="1" applyAlignment="1">
      <alignment vertical="center"/>
    </xf>
    <xf numFmtId="3" fontId="24" fillId="22" borderId="76" xfId="4" applyNumberFormat="1" applyFont="1" applyFill="1" applyBorder="1" applyAlignment="1">
      <alignment horizontal="right" vertical="center"/>
    </xf>
    <xf numFmtId="3" fontId="20" fillId="2" borderId="174" xfId="4" applyNumberFormat="1" applyFont="1" applyFill="1" applyBorder="1" applyAlignment="1">
      <alignment vertical="center" wrapText="1"/>
    </xf>
    <xf numFmtId="0" fontId="17" fillId="6" borderId="20" xfId="4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43" fontId="7" fillId="23" borderId="178" xfId="1" applyFont="1" applyFill="1" applyBorder="1" applyAlignment="1">
      <alignment horizontal="right" vertical="center"/>
    </xf>
    <xf numFmtId="0" fontId="23" fillId="0" borderId="35" xfId="6" applyFont="1" applyBorder="1" applyAlignment="1">
      <alignment horizontal="center" vertical="center"/>
    </xf>
    <xf numFmtId="3" fontId="31" fillId="23" borderId="188" xfId="0" applyNumberFormat="1" applyFont="1" applyFill="1" applyBorder="1" applyAlignment="1"/>
    <xf numFmtId="1" fontId="21" fillId="2" borderId="35" xfId="0" quotePrefix="1" applyNumberFormat="1" applyFont="1" applyFill="1" applyBorder="1" applyAlignment="1">
      <alignment horizontal="center" vertical="top"/>
    </xf>
    <xf numFmtId="0" fontId="21" fillId="2" borderId="35" xfId="0" applyFont="1" applyFill="1" applyBorder="1" applyAlignment="1">
      <alignment horizontal="center" vertical="top"/>
    </xf>
    <xf numFmtId="3" fontId="27" fillId="50" borderId="16" xfId="4" applyNumberFormat="1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center" vertical="center"/>
    </xf>
    <xf numFmtId="3" fontId="27" fillId="50" borderId="28" xfId="4" applyNumberFormat="1" applyFont="1" applyFill="1" applyBorder="1" applyAlignment="1">
      <alignment horizontal="left" vertical="center"/>
    </xf>
    <xf numFmtId="3" fontId="27" fillId="50" borderId="119" xfId="4" applyNumberFormat="1" applyFont="1" applyFill="1" applyBorder="1" applyAlignment="1">
      <alignment horizontal="left" vertical="center"/>
    </xf>
    <xf numFmtId="3" fontId="27" fillId="50" borderId="13" xfId="4" applyNumberFormat="1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left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25" fillId="0" borderId="76" xfId="4" applyFont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0" fontId="13" fillId="0" borderId="3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0" fillId="0" borderId="168" xfId="0" applyFont="1" applyBorder="1"/>
    <xf numFmtId="3" fontId="0" fillId="0" borderId="168" xfId="0" applyNumberFormat="1" applyFont="1" applyBorder="1"/>
    <xf numFmtId="0" fontId="25" fillId="0" borderId="4" xfId="4" applyFont="1" applyBorder="1" applyAlignment="1">
      <alignment horizontal="center" vertical="center" wrapText="1"/>
    </xf>
    <xf numFmtId="43" fontId="27" fillId="2" borderId="27" xfId="1" applyFont="1" applyFill="1" applyBorder="1" applyAlignment="1">
      <alignment vertical="center"/>
    </xf>
    <xf numFmtId="2" fontId="16" fillId="2" borderId="0" xfId="0" applyNumberFormat="1" applyFont="1" applyFill="1" applyBorder="1" applyAlignment="1">
      <alignment horizontal="left" vertical="center" wrapText="1"/>
    </xf>
    <xf numFmtId="2" fontId="27" fillId="50" borderId="8" xfId="4" applyNumberFormat="1" applyFont="1" applyFill="1" applyBorder="1" applyAlignment="1">
      <alignment horizontal="right" vertical="center"/>
    </xf>
    <xf numFmtId="2" fontId="27" fillId="50" borderId="24" xfId="4" applyNumberFormat="1" applyFont="1" applyFill="1" applyBorder="1" applyAlignment="1">
      <alignment horizontal="right" vertical="center"/>
    </xf>
    <xf numFmtId="2" fontId="27" fillId="50" borderId="0" xfId="0" quotePrefix="1" applyNumberFormat="1" applyFont="1" applyFill="1" applyBorder="1" applyAlignment="1">
      <alignment horizontal="right" vertical="top"/>
    </xf>
    <xf numFmtId="2" fontId="31" fillId="8" borderId="181" xfId="0" applyNumberFormat="1" applyFont="1" applyFill="1" applyBorder="1" applyAlignment="1">
      <alignment vertical="center"/>
    </xf>
    <xf numFmtId="2" fontId="27" fillId="8" borderId="181" xfId="0" applyNumberFormat="1" applyFont="1" applyFill="1" applyBorder="1" applyAlignment="1">
      <alignment horizontal="right" vertical="center"/>
    </xf>
    <xf numFmtId="2" fontId="31" fillId="8" borderId="181" xfId="0" applyNumberFormat="1" applyFont="1" applyFill="1" applyBorder="1" applyAlignment="1">
      <alignment vertical="top"/>
    </xf>
    <xf numFmtId="2" fontId="25" fillId="6" borderId="7" xfId="4" applyNumberFormat="1" applyFont="1" applyFill="1" applyBorder="1" applyAlignment="1">
      <alignment horizontal="right" vertical="center"/>
    </xf>
    <xf numFmtId="2" fontId="31" fillId="8" borderId="195" xfId="0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center"/>
    </xf>
    <xf numFmtId="2" fontId="27" fillId="8" borderId="0" xfId="0" applyNumberFormat="1" applyFont="1" applyFill="1" applyBorder="1" applyAlignment="1">
      <alignment vertical="center"/>
    </xf>
    <xf numFmtId="2" fontId="31" fillId="8" borderId="27" xfId="0" applyNumberFormat="1" applyFont="1" applyFill="1" applyBorder="1" applyAlignment="1">
      <alignment vertical="center"/>
    </xf>
    <xf numFmtId="2" fontId="25" fillId="6" borderId="35" xfId="0" applyNumberFormat="1" applyFont="1" applyFill="1" applyBorder="1" applyAlignment="1"/>
    <xf numFmtId="2" fontId="27" fillId="2" borderId="174" xfId="0" applyNumberFormat="1" applyFont="1" applyFill="1" applyBorder="1" applyAlignment="1"/>
    <xf numFmtId="2" fontId="27" fillId="2" borderId="177" xfId="0" applyNumberFormat="1" applyFont="1" applyFill="1" applyBorder="1" applyAlignment="1"/>
    <xf numFmtId="2" fontId="28" fillId="2" borderId="13" xfId="0" applyNumberFormat="1" applyFont="1" applyFill="1" applyBorder="1" applyAlignment="1"/>
    <xf numFmtId="2" fontId="31" fillId="0" borderId="13" xfId="0" applyNumberFormat="1" applyFont="1" applyFill="1" applyBorder="1" applyAlignment="1">
      <alignment vertical="top"/>
    </xf>
    <xf numFmtId="2" fontId="27" fillId="2" borderId="13" xfId="0" applyNumberFormat="1" applyFont="1" applyFill="1" applyBorder="1" applyAlignment="1"/>
    <xf numFmtId="2" fontId="7" fillId="8" borderId="2" xfId="0" applyNumberFormat="1" applyFont="1" applyFill="1" applyBorder="1" applyAlignment="1">
      <alignment vertical="top"/>
    </xf>
    <xf numFmtId="2" fontId="31" fillId="2" borderId="12" xfId="0" applyNumberFormat="1" applyFont="1" applyFill="1" applyBorder="1" applyAlignment="1">
      <alignment vertical="center"/>
    </xf>
    <xf numFmtId="43" fontId="25" fillId="6" borderId="169" xfId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0" fontId="25" fillId="6" borderId="181" xfId="4" applyFont="1" applyFill="1" applyBorder="1" applyAlignment="1">
      <alignment vertical="center"/>
    </xf>
    <xf numFmtId="3" fontId="27" fillId="32" borderId="169" xfId="4" applyNumberFormat="1" applyFont="1" applyFill="1" applyBorder="1" applyAlignment="1">
      <alignment horizontal="right" vertical="center"/>
    </xf>
    <xf numFmtId="3" fontId="7" fillId="32" borderId="178" xfId="4" applyNumberFormat="1" applyFont="1" applyFill="1" applyBorder="1" applyAlignment="1">
      <alignment horizontal="right" vertical="center"/>
    </xf>
    <xf numFmtId="0" fontId="21" fillId="2" borderId="35" xfId="0" quotePrefix="1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25" fillId="32" borderId="12" xfId="4" applyFont="1" applyFill="1" applyBorder="1" applyAlignment="1">
      <alignment horizontal="center" vertical="center" wrapText="1"/>
    </xf>
    <xf numFmtId="3" fontId="27" fillId="50" borderId="16" xfId="4" applyNumberFormat="1" applyFont="1" applyFill="1" applyBorder="1" applyAlignment="1">
      <alignment horizontal="center" vertical="center"/>
    </xf>
    <xf numFmtId="3" fontId="31" fillId="25" borderId="153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38" fillId="0" borderId="75" xfId="4" applyNumberFormat="1" applyFont="1" applyFill="1" applyBorder="1" applyAlignment="1">
      <alignment horizontal="right" vertical="center"/>
    </xf>
    <xf numFmtId="3" fontId="27" fillId="26" borderId="75" xfId="4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3" fontId="31" fillId="25" borderId="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5" fillId="8" borderId="68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25" fillId="23" borderId="0" xfId="4" applyNumberFormat="1" applyFont="1" applyFill="1" applyBorder="1" applyAlignment="1">
      <alignment horizontal="right" vertical="center"/>
    </xf>
    <xf numFmtId="3" fontId="25" fillId="22" borderId="0" xfId="4" applyNumberFormat="1" applyFont="1" applyFill="1" applyBorder="1" applyAlignment="1">
      <alignment horizontal="right" vertical="center"/>
    </xf>
    <xf numFmtId="3" fontId="31" fillId="25" borderId="8" xfId="4" applyNumberFormat="1" applyFont="1" applyFill="1" applyBorder="1" applyAlignment="1">
      <alignment horizontal="right" vertical="center"/>
    </xf>
    <xf numFmtId="3" fontId="7" fillId="2" borderId="72" xfId="4" applyNumberFormat="1" applyFont="1" applyFill="1" applyBorder="1" applyAlignment="1">
      <alignment vertical="center"/>
    </xf>
    <xf numFmtId="3" fontId="29" fillId="25" borderId="177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3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2" fillId="0" borderId="172" xfId="1" applyFont="1" applyFill="1" applyBorder="1" applyAlignment="1">
      <alignment vertical="center"/>
    </xf>
    <xf numFmtId="43" fontId="7" fillId="0" borderId="178" xfId="1" applyFont="1" applyFill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43" fontId="31" fillId="25" borderId="153" xfId="1" applyFont="1" applyFill="1" applyBorder="1" applyAlignment="1">
      <alignment horizontal="right" vertical="center"/>
    </xf>
    <xf numFmtId="43" fontId="24" fillId="32" borderId="9" xfId="1" applyFont="1" applyFill="1" applyBorder="1" applyAlignment="1">
      <alignment vertical="center"/>
    </xf>
    <xf numFmtId="3" fontId="24" fillId="26" borderId="104" xfId="4" applyNumberFormat="1" applyFont="1" applyFill="1" applyBorder="1" applyAlignment="1">
      <alignment horizontal="center" vertical="center"/>
    </xf>
    <xf numFmtId="43" fontId="25" fillId="6" borderId="153" xfId="1" applyFont="1" applyFill="1" applyBorder="1" applyAlignment="1">
      <alignment horizontal="right" vertical="center"/>
    </xf>
    <xf numFmtId="43" fontId="31" fillId="0" borderId="154" xfId="1" applyFont="1" applyFill="1" applyBorder="1" applyAlignment="1">
      <alignment vertical="center"/>
    </xf>
    <xf numFmtId="43" fontId="31" fillId="0" borderId="163" xfId="1" applyFont="1" applyFill="1" applyBorder="1" applyAlignment="1">
      <alignment vertical="center"/>
    </xf>
    <xf numFmtId="43" fontId="24" fillId="32" borderId="153" xfId="1" applyFont="1" applyFill="1" applyBorder="1" applyAlignment="1">
      <alignment vertical="center"/>
    </xf>
    <xf numFmtId="3" fontId="7" fillId="24" borderId="3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" fontId="7" fillId="0" borderId="39" xfId="4" applyNumberFormat="1" applyFont="1" applyFill="1" applyBorder="1" applyAlignment="1">
      <alignment horizontal="right" vertical="center"/>
    </xf>
    <xf numFmtId="3" fontId="25" fillId="26" borderId="51" xfId="4" applyNumberFormat="1" applyFont="1" applyFill="1" applyBorder="1" applyAlignment="1">
      <alignment horizontal="center" vertical="center"/>
    </xf>
    <xf numFmtId="43" fontId="29" fillId="2" borderId="177" xfId="1" applyFont="1" applyFill="1" applyBorder="1" applyAlignment="1">
      <alignment vertical="center"/>
    </xf>
    <xf numFmtId="43" fontId="31" fillId="0" borderId="189" xfId="1" applyFont="1" applyFill="1" applyBorder="1" applyAlignment="1">
      <alignment vertical="center"/>
    </xf>
    <xf numFmtId="3" fontId="29" fillId="2" borderId="9" xfId="4" applyNumberFormat="1" applyFont="1" applyFill="1" applyBorder="1" applyAlignment="1">
      <alignment vertical="center"/>
    </xf>
    <xf numFmtId="43" fontId="31" fillId="0" borderId="193" xfId="1" applyFont="1" applyFill="1" applyBorder="1" applyAlignment="1">
      <alignment horizontal="right" vertical="center"/>
    </xf>
    <xf numFmtId="43" fontId="24" fillId="8" borderId="68" xfId="1" applyFont="1" applyFill="1" applyBorder="1" applyAlignment="1">
      <alignment horizontal="right" vertical="center"/>
    </xf>
    <xf numFmtId="43" fontId="23" fillId="6" borderId="99" xfId="1" applyFont="1" applyFill="1" applyBorder="1" applyAlignment="1">
      <alignment horizontal="right" vertical="center"/>
    </xf>
    <xf numFmtId="3" fontId="25" fillId="22" borderId="153" xfId="4" applyNumberFormat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horizontal="right" vertical="center"/>
    </xf>
    <xf numFmtId="43" fontId="31" fillId="0" borderId="99" xfId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vertical="center"/>
    </xf>
    <xf numFmtId="43" fontId="24" fillId="6" borderId="99" xfId="1" applyFont="1" applyFill="1" applyBorder="1" applyAlignment="1">
      <alignment vertical="center"/>
    </xf>
    <xf numFmtId="43" fontId="29" fillId="2" borderId="99" xfId="1" applyFont="1" applyFill="1" applyBorder="1" applyAlignment="1">
      <alignment vertical="center"/>
    </xf>
    <xf numFmtId="3" fontId="31" fillId="25" borderId="154" xfId="4" applyNumberFormat="1" applyFont="1" applyFill="1" applyBorder="1" applyAlignment="1">
      <alignment horizontal="right" vertical="center"/>
    </xf>
    <xf numFmtId="3" fontId="7" fillId="24" borderId="2" xfId="4" applyNumberFormat="1" applyFont="1" applyFill="1" applyBorder="1" applyAlignment="1">
      <alignment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3" fontId="24" fillId="8" borderId="15" xfId="0" applyNumberFormat="1" applyFont="1" applyFill="1" applyBorder="1" applyAlignment="1">
      <alignment vertical="center"/>
    </xf>
    <xf numFmtId="3" fontId="24" fillId="8" borderId="68" xfId="0" applyNumberFormat="1" applyFont="1" applyFill="1" applyBorder="1" applyAlignment="1">
      <alignment vertical="center"/>
    </xf>
    <xf numFmtId="3" fontId="31" fillId="2" borderId="69" xfId="4" applyNumberFormat="1" applyFont="1" applyFill="1" applyBorder="1" applyAlignment="1">
      <alignment vertical="center"/>
    </xf>
    <xf numFmtId="3" fontId="31" fillId="0" borderId="70" xfId="4" applyNumberFormat="1" applyFont="1" applyFill="1" applyBorder="1" applyAlignment="1">
      <alignment vertical="center"/>
    </xf>
    <xf numFmtId="3" fontId="24" fillId="23" borderId="68" xfId="4" applyNumberFormat="1" applyFont="1" applyFill="1" applyBorder="1" applyAlignment="1">
      <alignment horizontal="right" vertical="center"/>
    </xf>
    <xf numFmtId="3" fontId="24" fillId="23" borderId="15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5" fillId="22" borderId="69" xfId="4" applyNumberFormat="1" applyFont="1" applyFill="1" applyBorder="1" applyAlignment="1">
      <alignment horizontal="right" vertical="center"/>
    </xf>
    <xf numFmtId="3" fontId="31" fillId="25" borderId="62" xfId="4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4" fillId="22" borderId="153" xfId="4" applyNumberFormat="1" applyFont="1" applyFill="1" applyBorder="1" applyAlignment="1">
      <alignment horizontal="right" vertical="center"/>
    </xf>
    <xf numFmtId="3" fontId="25" fillId="22" borderId="10" xfId="4" applyNumberFormat="1" applyFont="1" applyFill="1" applyBorder="1" applyAlignment="1">
      <alignment horizontal="right" vertical="center"/>
    </xf>
    <xf numFmtId="3" fontId="31" fillId="25" borderId="194" xfId="4" applyNumberFormat="1" applyFont="1" applyFill="1" applyBorder="1" applyAlignment="1">
      <alignment horizontal="right" vertical="center"/>
    </xf>
    <xf numFmtId="3" fontId="25" fillId="22" borderId="108" xfId="4" applyNumberFormat="1" applyFont="1" applyFill="1" applyBorder="1" applyAlignment="1">
      <alignment horizontal="right" vertical="center"/>
    </xf>
    <xf numFmtId="3" fontId="31" fillId="0" borderId="129" xfId="4" applyNumberFormat="1" applyFont="1" applyFill="1" applyBorder="1" applyAlignment="1">
      <alignment horizontal="right" vertical="center"/>
    </xf>
    <xf numFmtId="3" fontId="24" fillId="23" borderId="76" xfId="4" applyNumberFormat="1" applyFont="1" applyFill="1" applyBorder="1" applyAlignment="1">
      <alignment horizontal="right"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4" fillId="6" borderId="168" xfId="4" applyNumberFormat="1" applyFont="1" applyFill="1" applyBorder="1" applyAlignment="1">
      <alignment vertical="center"/>
    </xf>
    <xf numFmtId="0" fontId="0" fillId="0" borderId="35" xfId="0" applyFont="1" applyBorder="1"/>
    <xf numFmtId="0" fontId="0" fillId="0" borderId="98" xfId="0" applyFont="1" applyBorder="1"/>
    <xf numFmtId="0" fontId="0" fillId="0" borderId="99" xfId="0" applyFont="1" applyBorder="1"/>
    <xf numFmtId="0" fontId="0" fillId="0" borderId="98" xfId="0" applyFont="1" applyBorder="1" applyAlignment="1">
      <alignment vertical="center"/>
    </xf>
    <xf numFmtId="3" fontId="0" fillId="0" borderId="98" xfId="0" applyNumberFormat="1" applyFont="1" applyBorder="1"/>
    <xf numFmtId="3" fontId="0" fillId="0" borderId="177" xfId="0" applyNumberFormat="1" applyFont="1" applyBorder="1"/>
    <xf numFmtId="0" fontId="0" fillId="0" borderId="178" xfId="0" applyFont="1" applyBorder="1"/>
    <xf numFmtId="0" fontId="0" fillId="0" borderId="110" xfId="0" applyFont="1" applyBorder="1" applyAlignment="1">
      <alignment vertical="center"/>
    </xf>
    <xf numFmtId="3" fontId="0" fillId="0" borderId="98" xfId="0" applyNumberFormat="1" applyFont="1" applyBorder="1" applyAlignment="1">
      <alignment vertical="center"/>
    </xf>
    <xf numFmtId="0" fontId="0" fillId="0" borderId="113" xfId="0" applyFont="1" applyBorder="1" applyAlignment="1">
      <alignment vertical="center"/>
    </xf>
    <xf numFmtId="0" fontId="0" fillId="0" borderId="111" xfId="0" applyFont="1" applyBorder="1"/>
    <xf numFmtId="0" fontId="0" fillId="0" borderId="98" xfId="0" applyFont="1" applyFill="1" applyBorder="1"/>
    <xf numFmtId="3" fontId="31" fillId="0" borderId="178" xfId="0" applyNumberFormat="1" applyFont="1" applyFill="1" applyBorder="1" applyAlignment="1">
      <alignment horizontal="right"/>
    </xf>
    <xf numFmtId="0" fontId="0" fillId="0" borderId="177" xfId="0" applyFont="1" applyBorder="1"/>
    <xf numFmtId="0" fontId="0" fillId="0" borderId="172" xfId="0" applyFont="1" applyBorder="1"/>
    <xf numFmtId="0" fontId="0" fillId="32" borderId="178" xfId="0" applyFont="1" applyFill="1" applyBorder="1"/>
    <xf numFmtId="0" fontId="0" fillId="0" borderId="163" xfId="0" applyFont="1" applyBorder="1"/>
    <xf numFmtId="0" fontId="0" fillId="0" borderId="168" xfId="0" applyFont="1" applyBorder="1" applyAlignment="1">
      <alignment vertical="center"/>
    </xf>
    <xf numFmtId="3" fontId="0" fillId="0" borderId="168" xfId="0" applyNumberFormat="1" applyFont="1" applyBorder="1" applyAlignment="1">
      <alignment vertical="center"/>
    </xf>
    <xf numFmtId="0" fontId="0" fillId="0" borderId="194" xfId="0" applyFont="1" applyBorder="1"/>
    <xf numFmtId="0" fontId="0" fillId="0" borderId="50" xfId="0" applyFont="1" applyBorder="1"/>
    <xf numFmtId="0" fontId="0" fillId="0" borderId="174" xfId="0" applyFont="1" applyBorder="1"/>
    <xf numFmtId="0" fontId="0" fillId="0" borderId="188" xfId="0" applyFont="1" applyBorder="1"/>
    <xf numFmtId="0" fontId="0" fillId="0" borderId="13" xfId="0" applyFont="1" applyBorder="1"/>
    <xf numFmtId="0" fontId="0" fillId="0" borderId="39" xfId="0" applyFont="1" applyBorder="1"/>
    <xf numFmtId="0" fontId="0" fillId="0" borderId="12" xfId="0" applyFont="1" applyBorder="1"/>
    <xf numFmtId="0" fontId="0" fillId="0" borderId="68" xfId="0" applyFont="1" applyBorder="1"/>
    <xf numFmtId="0" fontId="0" fillId="0" borderId="17" xfId="0" applyFont="1" applyBorder="1"/>
    <xf numFmtId="1" fontId="21" fillId="2" borderId="35" xfId="0" applyNumberFormat="1" applyFont="1" applyFill="1" applyBorder="1" applyAlignment="1">
      <alignment horizontal="center" vertical="top"/>
    </xf>
    <xf numFmtId="0" fontId="21" fillId="2" borderId="20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center" vertical="top"/>
    </xf>
    <xf numFmtId="0" fontId="0" fillId="0" borderId="119" xfId="0" applyFont="1" applyBorder="1"/>
    <xf numFmtId="0" fontId="0" fillId="0" borderId="114" xfId="0" applyFont="1" applyBorder="1"/>
    <xf numFmtId="3" fontId="60" fillId="0" borderId="178" xfId="0" applyNumberFormat="1" applyFont="1" applyBorder="1"/>
    <xf numFmtId="3" fontId="0" fillId="0" borderId="178" xfId="0" applyNumberFormat="1" applyFont="1" applyBorder="1"/>
    <xf numFmtId="3" fontId="39" fillId="0" borderId="178" xfId="0" applyNumberFormat="1" applyFont="1" applyBorder="1"/>
    <xf numFmtId="0" fontId="0" fillId="0" borderId="43" xfId="0" applyFont="1" applyBorder="1"/>
    <xf numFmtId="3" fontId="39" fillId="0" borderId="188" xfId="0" applyNumberFormat="1" applyFont="1" applyBorder="1"/>
    <xf numFmtId="3" fontId="31" fillId="0" borderId="163" xfId="0" applyNumberFormat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vertical="top"/>
    </xf>
    <xf numFmtId="3" fontId="31" fillId="0" borderId="39" xfId="0" applyNumberFormat="1" applyFont="1" applyFill="1" applyBorder="1" applyAlignment="1">
      <alignment vertical="top"/>
    </xf>
    <xf numFmtId="43" fontId="27" fillId="0" borderId="35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28" fillId="51" borderId="9" xfId="0" applyNumberFormat="1" applyFont="1" applyFill="1" applyBorder="1" applyAlignment="1">
      <alignment vertical="center"/>
    </xf>
    <xf numFmtId="3" fontId="28" fillId="50" borderId="9" xfId="0" applyNumberFormat="1" applyFont="1" applyFill="1" applyBorder="1" applyAlignment="1">
      <alignment horizontal="right"/>
    </xf>
    <xf numFmtId="3" fontId="31" fillId="50" borderId="9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center"/>
    </xf>
    <xf numFmtId="0" fontId="0" fillId="0" borderId="66" xfId="0" applyFont="1" applyBorder="1" applyAlignment="1">
      <alignment horizontal="center" vertical="center"/>
    </xf>
    <xf numFmtId="3" fontId="29" fillId="2" borderId="177" xfId="0" applyNumberFormat="1" applyFont="1" applyFill="1" applyBorder="1" applyAlignment="1">
      <alignment vertical="center"/>
    </xf>
    <xf numFmtId="3" fontId="7" fillId="2" borderId="178" xfId="0" applyNumberFormat="1" applyFont="1" applyFill="1" applyBorder="1" applyAlignment="1">
      <alignment vertical="top"/>
    </xf>
    <xf numFmtId="0" fontId="0" fillId="0" borderId="74" xfId="0" applyFont="1" applyBorder="1"/>
    <xf numFmtId="43" fontId="0" fillId="0" borderId="188" xfId="1" applyFont="1" applyBorder="1"/>
    <xf numFmtId="3" fontId="31" fillId="0" borderId="194" xfId="0" applyNumberFormat="1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0" xfId="0" applyFont="1" applyBorder="1" applyAlignment="1">
      <alignment horizontal="center" vertical="top"/>
    </xf>
    <xf numFmtId="0" fontId="0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0" fontId="0" fillId="0" borderId="51" xfId="0" applyFont="1" applyBorder="1" applyAlignment="1">
      <alignment vertical="top"/>
    </xf>
    <xf numFmtId="0" fontId="0" fillId="0" borderId="51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horizontal="center" vertical="top" wrapText="1"/>
    </xf>
    <xf numFmtId="0" fontId="0" fillId="0" borderId="64" xfId="0" applyFont="1" applyBorder="1" applyAlignment="1">
      <alignment horizontal="center" vertical="top" wrapText="1"/>
    </xf>
    <xf numFmtId="0" fontId="0" fillId="0" borderId="65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2" fontId="0" fillId="0" borderId="11" xfId="0" applyNumberFormat="1" applyFont="1" applyBorder="1"/>
    <xf numFmtId="2" fontId="0" fillId="0" borderId="178" xfId="0" applyNumberFormat="1" applyFont="1" applyBorder="1"/>
    <xf numFmtId="2" fontId="0" fillId="0" borderId="178" xfId="0" applyNumberFormat="1" applyFont="1" applyBorder="1" applyAlignment="1">
      <alignment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3" fontId="31" fillId="0" borderId="163" xfId="4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0" fontId="0" fillId="0" borderId="8" xfId="0" applyFont="1" applyBorder="1" applyAlignment="1">
      <alignment vertical="center"/>
    </xf>
    <xf numFmtId="0" fontId="0" fillId="0" borderId="22" xfId="0" applyFont="1" applyBorder="1" applyAlignment="1"/>
    <xf numFmtId="0" fontId="0" fillId="0" borderId="17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196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3" fontId="36" fillId="18" borderId="39" xfId="0" applyNumberFormat="1" applyFont="1" applyFill="1" applyBorder="1" applyAlignment="1">
      <alignment vertical="center"/>
    </xf>
    <xf numFmtId="3" fontId="36" fillId="18" borderId="40" xfId="0" applyNumberFormat="1" applyFont="1" applyFill="1" applyBorder="1" applyAlignment="1">
      <alignment vertical="center"/>
    </xf>
    <xf numFmtId="0" fontId="36" fillId="18" borderId="38" xfId="0" applyFont="1" applyFill="1" applyBorder="1" applyAlignment="1">
      <alignment horizontal="center" vertical="center"/>
    </xf>
    <xf numFmtId="0" fontId="36" fillId="18" borderId="84" xfId="0" applyFont="1" applyFill="1" applyBorder="1" applyAlignment="1">
      <alignment horizontal="center"/>
    </xf>
    <xf numFmtId="3" fontId="36" fillId="18" borderId="40" xfId="0" applyNumberFormat="1" applyFont="1" applyFill="1" applyBorder="1"/>
    <xf numFmtId="3" fontId="24" fillId="22" borderId="35" xfId="4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8" fillId="15" borderId="2" xfId="0" applyFont="1" applyFill="1" applyBorder="1"/>
    <xf numFmtId="3" fontId="36" fillId="15" borderId="72" xfId="0" applyNumberFormat="1" applyFont="1" applyFill="1" applyBorder="1" applyAlignment="1">
      <alignment vertical="center"/>
    </xf>
    <xf numFmtId="3" fontId="8" fillId="6" borderId="76" xfId="0" applyNumberFormat="1" applyFont="1" applyFill="1" applyBorder="1"/>
    <xf numFmtId="3" fontId="8" fillId="6" borderId="186" xfId="0" applyNumberFormat="1" applyFont="1" applyFill="1" applyBorder="1"/>
    <xf numFmtId="3" fontId="8" fillId="6" borderId="7" xfId="0" applyNumberFormat="1" applyFont="1" applyFill="1" applyBorder="1"/>
    <xf numFmtId="3" fontId="6" fillId="6" borderId="130" xfId="0" applyNumberFormat="1" applyFont="1" applyFill="1" applyBorder="1"/>
    <xf numFmtId="3" fontId="76" fillId="12" borderId="10" xfId="0" applyNumberFormat="1" applyFont="1" applyFill="1" applyBorder="1" applyAlignment="1">
      <alignment vertical="center"/>
    </xf>
    <xf numFmtId="3" fontId="36" fillId="15" borderId="75" xfId="0" applyNumberFormat="1" applyFont="1" applyFill="1" applyBorder="1" applyAlignment="1">
      <alignment vertical="center"/>
    </xf>
    <xf numFmtId="3" fontId="8" fillId="6" borderId="181" xfId="0" applyNumberFormat="1" applyFont="1" applyFill="1" applyBorder="1"/>
    <xf numFmtId="3" fontId="8" fillId="6" borderId="116" xfId="0" applyNumberFormat="1" applyFont="1" applyFill="1" applyBorder="1"/>
    <xf numFmtId="3" fontId="36" fillId="16" borderId="72" xfId="5" applyNumberFormat="1" applyFont="1" applyFill="1" applyBorder="1" applyAlignment="1">
      <alignment vertical="center"/>
    </xf>
    <xf numFmtId="3" fontId="8" fillId="8" borderId="186" xfId="0" applyNumberFormat="1" applyFont="1" applyFill="1" applyBorder="1"/>
    <xf numFmtId="3" fontId="77" fillId="17" borderId="10" xfId="0" applyNumberFormat="1" applyFont="1" applyFill="1" applyBorder="1"/>
    <xf numFmtId="3" fontId="77" fillId="8" borderId="10" xfId="0" applyNumberFormat="1" applyFont="1" applyFill="1" applyBorder="1"/>
    <xf numFmtId="3" fontId="19" fillId="16" borderId="75" xfId="5" applyNumberFormat="1" applyFont="1" applyFill="1" applyBorder="1"/>
    <xf numFmtId="3" fontId="65" fillId="17" borderId="76" xfId="0" applyNumberFormat="1" applyFont="1" applyFill="1" applyBorder="1"/>
    <xf numFmtId="3" fontId="36" fillId="18" borderId="75" xfId="0" applyNumberFormat="1" applyFont="1" applyFill="1" applyBorder="1" applyAlignment="1">
      <alignment vertical="center"/>
    </xf>
    <xf numFmtId="3" fontId="6" fillId="11" borderId="7" xfId="0" applyNumberFormat="1" applyFont="1" applyFill="1" applyBorder="1"/>
    <xf numFmtId="3" fontId="6" fillId="11" borderId="186" xfId="0" applyNumberFormat="1" applyFont="1" applyFill="1" applyBorder="1"/>
    <xf numFmtId="3" fontId="6" fillId="11" borderId="130" xfId="0" applyNumberFormat="1" applyFont="1" applyFill="1" applyBorder="1"/>
    <xf numFmtId="3" fontId="76" fillId="18" borderId="75" xfId="0" applyNumberFormat="1" applyFont="1" applyFill="1" applyBorder="1" applyAlignment="1">
      <alignment vertical="top"/>
    </xf>
    <xf numFmtId="3" fontId="76" fillId="2" borderId="10" xfId="0" applyNumberFormat="1" applyFont="1" applyFill="1" applyBorder="1" applyAlignment="1">
      <alignment vertical="top"/>
    </xf>
    <xf numFmtId="3" fontId="36" fillId="18" borderId="75" xfId="0" applyNumberFormat="1" applyFont="1" applyFill="1" applyBorder="1"/>
    <xf numFmtId="3" fontId="8" fillId="18" borderId="72" xfId="0" applyNumberFormat="1" applyFont="1" applyFill="1" applyBorder="1"/>
    <xf numFmtId="3" fontId="62" fillId="2" borderId="10" xfId="0" applyNumberFormat="1" applyFont="1" applyFill="1" applyBorder="1" applyAlignment="1">
      <alignment vertical="center" wrapText="1"/>
    </xf>
    <xf numFmtId="0" fontId="65" fillId="0" borderId="169" xfId="0" applyFont="1" applyBorder="1" applyAlignment="1">
      <alignment horizontal="center" vertical="center"/>
    </xf>
    <xf numFmtId="3" fontId="8" fillId="6" borderId="17" xfId="0" applyNumberFormat="1" applyFont="1" applyFill="1" applyBorder="1"/>
    <xf numFmtId="3" fontId="6" fillId="6" borderId="194" xfId="0" applyNumberFormat="1" applyFont="1" applyFill="1" applyBorder="1"/>
    <xf numFmtId="3" fontId="8" fillId="6" borderId="194" xfId="0" applyNumberFormat="1" applyFont="1" applyFill="1" applyBorder="1"/>
    <xf numFmtId="3" fontId="8" fillId="8" borderId="194" xfId="0" applyNumberFormat="1" applyFont="1" applyFill="1" applyBorder="1"/>
    <xf numFmtId="3" fontId="36" fillId="18" borderId="50" xfId="0" applyNumberFormat="1" applyFont="1" applyFill="1" applyBorder="1" applyAlignment="1">
      <alignment vertical="center"/>
    </xf>
    <xf numFmtId="3" fontId="6" fillId="11" borderId="194" xfId="0" applyNumberFormat="1" applyFont="1" applyFill="1" applyBorder="1"/>
    <xf numFmtId="3" fontId="62" fillId="2" borderId="7" xfId="0" applyNumberFormat="1" applyFont="1" applyFill="1" applyBorder="1" applyAlignment="1">
      <alignment vertical="center" wrapText="1"/>
    </xf>
    <xf numFmtId="0" fontId="65" fillId="0" borderId="10" xfId="0" applyFont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19" fillId="14" borderId="2" xfId="0" applyNumberFormat="1" applyFont="1" applyFill="1" applyBorder="1" applyAlignment="1">
      <alignment vertical="center" wrapText="1"/>
    </xf>
    <xf numFmtId="3" fontId="24" fillId="14" borderId="10" xfId="0" applyNumberFormat="1" applyFont="1" applyFill="1" applyBorder="1" applyAlignment="1">
      <alignment vertical="center" wrapText="1"/>
    </xf>
    <xf numFmtId="3" fontId="24" fillId="14" borderId="72" xfId="0" applyNumberFormat="1" applyFont="1" applyFill="1" applyBorder="1" applyAlignment="1">
      <alignment vertical="center" wrapText="1"/>
    </xf>
    <xf numFmtId="3" fontId="72" fillId="0" borderId="10" xfId="0" applyNumberFormat="1" applyFont="1" applyFill="1" applyBorder="1" applyAlignment="1">
      <alignment vertical="center" wrapText="1"/>
    </xf>
    <xf numFmtId="3" fontId="76" fillId="8" borderId="10" xfId="0" applyNumberFormat="1" applyFont="1" applyFill="1" applyBorder="1"/>
    <xf numFmtId="3" fontId="8" fillId="6" borderId="130" xfId="0" applyNumberFormat="1" applyFont="1" applyFill="1" applyBorder="1"/>
    <xf numFmtId="3" fontId="76" fillId="12" borderId="10" xfId="0" applyNumberFormat="1" applyFont="1" applyFill="1" applyBorder="1"/>
    <xf numFmtId="3" fontId="76" fillId="12" borderId="7" xfId="0" applyNumberFormat="1" applyFont="1" applyFill="1" applyBorder="1"/>
    <xf numFmtId="0" fontId="65" fillId="0" borderId="187" xfId="0" applyFont="1" applyBorder="1" applyAlignment="1">
      <alignment horizontal="center" vertical="center"/>
    </xf>
    <xf numFmtId="0" fontId="8" fillId="16" borderId="2" xfId="0" applyFont="1" applyFill="1" applyBorder="1"/>
    <xf numFmtId="3" fontId="19" fillId="8" borderId="10" xfId="0" applyNumberFormat="1" applyFont="1" applyFill="1" applyBorder="1"/>
    <xf numFmtId="3" fontId="65" fillId="17" borderId="7" xfId="0" applyNumberFormat="1" applyFont="1" applyFill="1" applyBorder="1"/>
    <xf numFmtId="0" fontId="8" fillId="18" borderId="2" xfId="0" applyFont="1" applyFill="1" applyBorder="1" applyAlignment="1">
      <alignment vertical="center"/>
    </xf>
    <xf numFmtId="3" fontId="62" fillId="2" borderId="5" xfId="0" applyNumberFormat="1" applyFont="1" applyFill="1" applyBorder="1" applyAlignment="1">
      <alignment vertical="center" wrapText="1"/>
    </xf>
    <xf numFmtId="0" fontId="65" fillId="0" borderId="183" xfId="0" applyFont="1" applyBorder="1" applyAlignment="1">
      <alignment horizontal="center" vertical="center"/>
    </xf>
    <xf numFmtId="3" fontId="8" fillId="6" borderId="19" xfId="0" applyNumberFormat="1" applyFont="1" applyFill="1" applyBorder="1"/>
    <xf numFmtId="3" fontId="8" fillId="8" borderId="196" xfId="0" applyNumberFormat="1" applyFont="1" applyFill="1" applyBorder="1"/>
    <xf numFmtId="3" fontId="36" fillId="18" borderId="52" xfId="0" applyNumberFormat="1" applyFont="1" applyFill="1" applyBorder="1" applyAlignment="1">
      <alignment vertical="center"/>
    </xf>
    <xf numFmtId="3" fontId="6" fillId="11" borderId="196" xfId="0" applyNumberFormat="1" applyFont="1" applyFill="1" applyBorder="1"/>
    <xf numFmtId="0" fontId="24" fillId="6" borderId="197" xfId="4" applyFont="1" applyFill="1" applyBorder="1" applyAlignment="1">
      <alignment horizontal="left" vertical="center"/>
    </xf>
    <xf numFmtId="3" fontId="7" fillId="23" borderId="186" xfId="0" applyNumberFormat="1" applyFont="1" applyFill="1" applyBorder="1" applyAlignment="1">
      <alignment vertical="center"/>
    </xf>
    <xf numFmtId="3" fontId="18" fillId="8" borderId="65" xfId="4" applyNumberFormat="1" applyFont="1" applyFill="1" applyBorder="1" applyAlignment="1">
      <alignment horizontal="center" vertical="center"/>
    </xf>
    <xf numFmtId="0" fontId="18" fillId="8" borderId="65" xfId="4" applyFont="1" applyFill="1" applyBorder="1" applyAlignment="1">
      <alignment horizontal="center" vertical="center"/>
    </xf>
    <xf numFmtId="0" fontId="22" fillId="0" borderId="65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3" fontId="25" fillId="22" borderId="68" xfId="4" applyNumberFormat="1" applyFont="1" applyFill="1" applyBorder="1" applyAlignment="1">
      <alignment horizontal="right" vertical="center"/>
    </xf>
    <xf numFmtId="0" fontId="25" fillId="6" borderId="17" xfId="4" applyFont="1" applyFill="1" applyBorder="1" applyAlignment="1">
      <alignment horizontal="left" vertical="center"/>
    </xf>
    <xf numFmtId="3" fontId="25" fillId="22" borderId="68" xfId="0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18" fillId="0" borderId="46" xfId="4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2" fontId="0" fillId="0" borderId="0" xfId="0" applyNumberFormat="1" applyFont="1" applyBorder="1"/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25" fillId="0" borderId="76" xfId="4" applyFont="1" applyBorder="1" applyAlignment="1">
      <alignment horizontal="center" vertical="center" wrapText="1"/>
    </xf>
    <xf numFmtId="3" fontId="24" fillId="26" borderId="178" xfId="4" applyNumberFormat="1" applyFont="1" applyFill="1" applyBorder="1" applyAlignment="1">
      <alignment horizontal="center" vertical="center"/>
    </xf>
    <xf numFmtId="0" fontId="32" fillId="0" borderId="178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32" fillId="0" borderId="178" xfId="0" applyFont="1" applyBorder="1" applyAlignment="1">
      <alignment wrapText="1"/>
    </xf>
    <xf numFmtId="0" fontId="23" fillId="0" borderId="43" xfId="0" applyFont="1" applyFill="1" applyBorder="1" applyAlignment="1">
      <alignment horizontal="center" vertical="center" wrapText="1"/>
    </xf>
    <xf numFmtId="0" fontId="17" fillId="0" borderId="197" xfId="4" applyFont="1" applyFill="1" applyBorder="1" applyAlignment="1">
      <alignment horizontal="center" vertical="center"/>
    </xf>
    <xf numFmtId="2" fontId="0" fillId="0" borderId="65" xfId="0" applyNumberFormat="1" applyFont="1" applyBorder="1"/>
    <xf numFmtId="2" fontId="0" fillId="0" borderId="0" xfId="0" applyNumberFormat="1" applyFont="1" applyBorder="1"/>
    <xf numFmtId="0" fontId="25" fillId="8" borderId="22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3" fontId="7" fillId="0" borderId="2" xfId="0" quotePrefix="1" applyNumberFormat="1" applyFont="1" applyBorder="1" applyAlignment="1">
      <alignment horizontal="center"/>
    </xf>
    <xf numFmtId="3" fontId="0" fillId="0" borderId="8" xfId="0" applyNumberFormat="1" applyFont="1" applyBorder="1" applyAlignment="1">
      <alignment vertical="center"/>
    </xf>
    <xf numFmtId="3" fontId="19" fillId="4" borderId="9" xfId="0" quotePrefix="1" applyNumberFormat="1" applyFont="1" applyFill="1" applyBorder="1" applyAlignment="1">
      <alignment horizontal="right" vertical="center"/>
    </xf>
    <xf numFmtId="3" fontId="19" fillId="4" borderId="23" xfId="0" quotePrefix="1" applyNumberFormat="1" applyFont="1" applyFill="1" applyBorder="1" applyAlignment="1">
      <alignment horizontal="right" vertical="center"/>
    </xf>
    <xf numFmtId="3" fontId="66" fillId="52" borderId="39" xfId="0" applyNumberFormat="1" applyFont="1" applyFill="1" applyBorder="1" applyAlignment="1">
      <alignment vertical="center" wrapText="1"/>
    </xf>
    <xf numFmtId="3" fontId="66" fillId="52" borderId="12" xfId="0" applyNumberFormat="1" applyFont="1" applyFill="1" applyBorder="1" applyAlignment="1">
      <alignment vertical="center" wrapText="1"/>
    </xf>
    <xf numFmtId="3" fontId="8" fillId="3" borderId="21" xfId="0" applyNumberFormat="1" applyFont="1" applyFill="1" applyBorder="1" applyAlignment="1">
      <alignment vertical="center" wrapText="1"/>
    </xf>
    <xf numFmtId="3" fontId="66" fillId="4" borderId="39" xfId="0" applyNumberFormat="1" applyFont="1" applyFill="1" applyBorder="1" applyAlignment="1">
      <alignment vertical="center" wrapText="1"/>
    </xf>
    <xf numFmtId="3" fontId="66" fillId="4" borderId="12" xfId="0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vertical="center" wrapText="1"/>
    </xf>
    <xf numFmtId="3" fontId="66" fillId="13" borderId="54" xfId="0" applyNumberFormat="1" applyFont="1" applyFill="1" applyBorder="1" applyAlignment="1">
      <alignment vertical="center" wrapText="1"/>
    </xf>
    <xf numFmtId="3" fontId="80" fillId="13" borderId="35" xfId="0" applyNumberFormat="1" applyFont="1" applyFill="1" applyBorder="1" applyAlignment="1">
      <alignment vertical="center" wrapText="1"/>
    </xf>
    <xf numFmtId="3" fontId="66" fillId="13" borderId="57" xfId="0" applyNumberFormat="1" applyFont="1" applyFill="1" applyBorder="1" applyAlignment="1">
      <alignment vertical="center" wrapText="1"/>
    </xf>
    <xf numFmtId="3" fontId="66" fillId="13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54" xfId="0" applyNumberFormat="1" applyFont="1" applyFill="1" applyBorder="1" applyAlignment="1">
      <alignment vertical="center" wrapText="1"/>
    </xf>
    <xf numFmtId="3" fontId="81" fillId="0" borderId="35" xfId="0" applyNumberFormat="1" applyFont="1" applyFill="1" applyBorder="1" applyAlignment="1">
      <alignment vertical="center" wrapText="1"/>
    </xf>
    <xf numFmtId="3" fontId="66" fillId="0" borderId="24" xfId="0" applyNumberFormat="1" applyFont="1" applyFill="1" applyBorder="1" applyAlignment="1">
      <alignment vertical="center" wrapText="1"/>
    </xf>
    <xf numFmtId="3" fontId="66" fillId="0" borderId="39" xfId="0" applyNumberFormat="1" applyFont="1" applyFill="1" applyBorder="1" applyAlignment="1">
      <alignment vertical="center" wrapText="1"/>
    </xf>
    <xf numFmtId="3" fontId="81" fillId="0" borderId="13" xfId="0" applyNumberFormat="1" applyFont="1" applyFill="1" applyBorder="1" applyAlignment="1">
      <alignment vertical="center" wrapText="1"/>
    </xf>
    <xf numFmtId="3" fontId="81" fillId="0" borderId="0" xfId="0" applyNumberFormat="1" applyFont="1" applyFill="1" applyBorder="1" applyAlignment="1">
      <alignment vertical="center" wrapText="1"/>
    </xf>
    <xf numFmtId="0" fontId="64" fillId="0" borderId="195" xfId="0" applyFont="1" applyBorder="1" applyAlignment="1">
      <alignment horizontal="center" vertical="center"/>
    </xf>
    <xf numFmtId="3" fontId="19" fillId="15" borderId="24" xfId="0" applyNumberFormat="1" applyFont="1" applyFill="1" applyBorder="1" applyAlignment="1">
      <alignment vertical="center"/>
    </xf>
    <xf numFmtId="3" fontId="8" fillId="6" borderId="8" xfId="0" applyNumberFormat="1" applyFont="1" applyFill="1" applyBorder="1"/>
    <xf numFmtId="3" fontId="77" fillId="12" borderId="0" xfId="0" applyNumberFormat="1" applyFont="1" applyFill="1" applyBorder="1" applyAlignment="1">
      <alignment vertical="center"/>
    </xf>
    <xf numFmtId="3" fontId="19" fillId="15" borderId="51" xfId="0" applyNumberFormat="1" applyFont="1" applyFill="1" applyBorder="1" applyAlignment="1">
      <alignment vertical="center"/>
    </xf>
    <xf numFmtId="3" fontId="77" fillId="12" borderId="0" xfId="0" applyNumberFormat="1" applyFont="1" applyFill="1" applyBorder="1"/>
    <xf numFmtId="3" fontId="77" fillId="12" borderId="8" xfId="0" applyNumberFormat="1" applyFont="1" applyFill="1" applyBorder="1"/>
    <xf numFmtId="3" fontId="19" fillId="16" borderId="24" xfId="5" applyNumberFormat="1" applyFont="1" applyFill="1" applyBorder="1" applyAlignment="1">
      <alignment vertical="center"/>
    </xf>
    <xf numFmtId="3" fontId="8" fillId="8" borderId="116" xfId="0" applyNumberFormat="1" applyFont="1" applyFill="1" applyBorder="1"/>
    <xf numFmtId="3" fontId="19" fillId="16" borderId="51" xfId="5" applyNumberFormat="1" applyFont="1" applyFill="1" applyBorder="1"/>
    <xf numFmtId="3" fontId="64" fillId="17" borderId="7" xfId="0" applyNumberFormat="1" applyFont="1" applyFill="1" applyBorder="1"/>
    <xf numFmtId="3" fontId="7" fillId="8" borderId="68" xfId="0" applyNumberFormat="1" applyFont="1" applyFill="1" applyBorder="1" applyAlignment="1">
      <alignment vertical="center"/>
    </xf>
    <xf numFmtId="0" fontId="24" fillId="8" borderId="82" xfId="0" applyFont="1" applyFill="1" applyBorder="1" applyAlignment="1">
      <alignment horizontal="center" vertical="center" wrapText="1"/>
    </xf>
    <xf numFmtId="167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0" fontId="7" fillId="0" borderId="185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0" fontId="25" fillId="6" borderId="11" xfId="4" applyFont="1" applyFill="1" applyBorder="1" applyAlignment="1">
      <alignment horizontal="left" vertical="center"/>
    </xf>
    <xf numFmtId="0" fontId="82" fillId="6" borderId="0" xfId="4" applyFont="1" applyFill="1" applyBorder="1" applyAlignment="1">
      <alignment horizontal="left" vertical="center"/>
    </xf>
    <xf numFmtId="3" fontId="25" fillId="6" borderId="7" xfId="4" applyNumberFormat="1" applyFont="1" applyFill="1" applyBorder="1" applyAlignment="1">
      <alignment vertical="center"/>
    </xf>
    <xf numFmtId="3" fontId="82" fillId="6" borderId="35" xfId="4" applyNumberFormat="1" applyFont="1" applyFill="1" applyBorder="1" applyAlignment="1">
      <alignment vertical="center"/>
    </xf>
    <xf numFmtId="3" fontId="33" fillId="0" borderId="7" xfId="6" applyNumberFormat="1" applyFont="1" applyFill="1" applyBorder="1" applyAlignment="1">
      <alignment vertical="center"/>
    </xf>
    <xf numFmtId="3" fontId="31" fillId="0" borderId="130" xfId="4" applyNumberFormat="1" applyFont="1" applyFill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7" fillId="23" borderId="17" xfId="0" applyNumberFormat="1" applyFont="1" applyFill="1" applyBorder="1" applyAlignment="1">
      <alignment vertical="center"/>
    </xf>
    <xf numFmtId="3" fontId="25" fillId="22" borderId="7" xfId="4" applyNumberFormat="1" applyFont="1" applyFill="1" applyBorder="1" applyAlignment="1">
      <alignment horizontal="right" vertical="center"/>
    </xf>
    <xf numFmtId="0" fontId="25" fillId="6" borderId="177" xfId="4" applyFont="1" applyFill="1" applyBorder="1" applyAlignment="1">
      <alignment horizontal="left" vertical="center"/>
    </xf>
    <xf numFmtId="3" fontId="24" fillId="32" borderId="177" xfId="4" applyNumberFormat="1" applyFont="1" applyFill="1" applyBorder="1" applyAlignment="1">
      <alignment vertical="center"/>
    </xf>
    <xf numFmtId="3" fontId="31" fillId="2" borderId="196" xfId="4" applyNumberFormat="1" applyFont="1" applyFill="1" applyBorder="1" applyAlignment="1">
      <alignment vertical="center" wrapText="1"/>
    </xf>
    <xf numFmtId="3" fontId="31" fillId="32" borderId="177" xfId="4" applyNumberFormat="1" applyFont="1" applyFill="1" applyBorder="1" applyAlignment="1">
      <alignment vertical="center"/>
    </xf>
    <xf numFmtId="0" fontId="17" fillId="28" borderId="25" xfId="0" applyFont="1" applyFill="1" applyBorder="1" applyAlignment="1">
      <alignment vertical="top"/>
    </xf>
    <xf numFmtId="0" fontId="7" fillId="8" borderId="67" xfId="4" applyFont="1" applyFill="1" applyBorder="1" applyAlignment="1">
      <alignment vertical="center"/>
    </xf>
    <xf numFmtId="3" fontId="7" fillId="23" borderId="130" xfId="0" applyNumberFormat="1" applyFont="1" applyFill="1" applyBorder="1" applyAlignment="1">
      <alignment vertical="center"/>
    </xf>
    <xf numFmtId="0" fontId="31" fillId="6" borderId="197" xfId="0" applyFont="1" applyFill="1" applyBorder="1" applyAlignment="1">
      <alignment vertical="top"/>
    </xf>
    <xf numFmtId="3" fontId="24" fillId="22" borderId="181" xfId="0" applyNumberFormat="1" applyFont="1" applyFill="1" applyBorder="1" applyAlignment="1">
      <alignment vertical="top"/>
    </xf>
    <xf numFmtId="3" fontId="29" fillId="26" borderId="181" xfId="0" applyNumberFormat="1" applyFont="1" applyFill="1" applyBorder="1" applyAlignment="1">
      <alignment vertical="center"/>
    </xf>
    <xf numFmtId="3" fontId="31" fillId="2" borderId="194" xfId="0" applyNumberFormat="1" applyFont="1" applyFill="1" applyBorder="1" applyAlignment="1">
      <alignment vertical="top"/>
    </xf>
    <xf numFmtId="3" fontId="31" fillId="2" borderId="188" xfId="0" applyNumberFormat="1" applyFont="1" applyFill="1" applyBorder="1" applyAlignment="1">
      <alignment vertical="top"/>
    </xf>
    <xf numFmtId="0" fontId="18" fillId="8" borderId="7" xfId="0" applyFont="1" applyFill="1" applyBorder="1" applyAlignment="1">
      <alignment vertical="center"/>
    </xf>
    <xf numFmtId="43" fontId="18" fillId="8" borderId="8" xfId="1" applyFont="1" applyFill="1" applyBorder="1" applyAlignment="1">
      <alignment vertical="center"/>
    </xf>
    <xf numFmtId="3" fontId="18" fillId="8" borderId="8" xfId="0" applyNumberFormat="1" applyFont="1" applyFill="1" applyBorder="1" applyAlignment="1">
      <alignment vertical="center"/>
    </xf>
    <xf numFmtId="0" fontId="18" fillId="8" borderId="8" xfId="0" applyFont="1" applyFill="1" applyBorder="1" applyAlignment="1">
      <alignment vertical="center"/>
    </xf>
    <xf numFmtId="0" fontId="18" fillId="8" borderId="9" xfId="0" applyFont="1" applyFill="1" applyBorder="1" applyAlignment="1">
      <alignment vertical="center"/>
    </xf>
    <xf numFmtId="3" fontId="18" fillId="23" borderId="35" xfId="0" applyNumberFormat="1" applyFont="1" applyFill="1" applyBorder="1" applyAlignment="1">
      <alignment vertical="center"/>
    </xf>
    <xf numFmtId="2" fontId="17" fillId="0" borderId="1" xfId="0" applyNumberFormat="1" applyFont="1" applyBorder="1" applyAlignment="1">
      <alignment vertical="top"/>
    </xf>
    <xf numFmtId="1" fontId="21" fillId="2" borderId="197" xfId="0" applyNumberFormat="1" applyFont="1" applyFill="1" applyBorder="1" applyAlignment="1">
      <alignment horizontal="center" vertical="top"/>
    </xf>
    <xf numFmtId="2" fontId="7" fillId="8" borderId="197" xfId="0" applyNumberFormat="1" applyFont="1" applyFill="1" applyBorder="1" applyAlignment="1">
      <alignment vertical="center" wrapText="1"/>
    </xf>
    <xf numFmtId="2" fontId="7" fillId="28" borderId="197" xfId="0" applyNumberFormat="1" applyFont="1" applyFill="1" applyBorder="1" applyAlignment="1">
      <alignment vertical="center" wrapText="1"/>
    </xf>
    <xf numFmtId="2" fontId="29" fillId="8" borderId="196" xfId="4" applyNumberFormat="1" applyFont="1" applyFill="1" applyBorder="1" applyAlignment="1">
      <alignment vertical="center"/>
    </xf>
    <xf numFmtId="2" fontId="24" fillId="8" borderId="197" xfId="0" applyNumberFormat="1" applyFont="1" applyFill="1" applyBorder="1" applyAlignment="1">
      <alignment vertical="center"/>
    </xf>
    <xf numFmtId="0" fontId="7" fillId="8" borderId="183" xfId="0" applyFont="1" applyFill="1" applyBorder="1" applyAlignment="1">
      <alignment vertical="top" wrapText="1"/>
    </xf>
    <xf numFmtId="2" fontId="24" fillId="8" borderId="176" xfId="0" applyNumberFormat="1" applyFont="1" applyFill="1" applyBorder="1" applyAlignment="1">
      <alignment vertical="center"/>
    </xf>
    <xf numFmtId="2" fontId="24" fillId="6" borderId="196" xfId="4" applyNumberFormat="1" applyFont="1" applyFill="1" applyBorder="1" applyAlignment="1">
      <alignment horizontal="left" vertical="center"/>
    </xf>
    <xf numFmtId="2" fontId="7" fillId="6" borderId="197" xfId="0" applyNumberFormat="1" applyFont="1" applyFill="1" applyBorder="1" applyAlignment="1">
      <alignment vertical="center" wrapText="1"/>
    </xf>
    <xf numFmtId="3" fontId="29" fillId="8" borderId="177" xfId="0" applyNumberFormat="1" applyFont="1" applyFill="1" applyBorder="1" applyAlignment="1">
      <alignment vertical="center"/>
    </xf>
    <xf numFmtId="3" fontId="31" fillId="8" borderId="178" xfId="0" applyNumberFormat="1" applyFont="1" applyFill="1" applyBorder="1" applyAlignment="1">
      <alignment vertical="center"/>
    </xf>
    <xf numFmtId="3" fontId="31" fillId="8" borderId="177" xfId="0" applyNumberFormat="1" applyFont="1" applyFill="1" applyBorder="1" applyAlignment="1">
      <alignment vertical="center"/>
    </xf>
    <xf numFmtId="2" fontId="25" fillId="6" borderId="196" xfId="4" applyNumberFormat="1" applyFont="1" applyFill="1" applyBorder="1" applyAlignment="1">
      <alignment horizontal="left" vertical="center"/>
    </xf>
    <xf numFmtId="2" fontId="31" fillId="6" borderId="197" xfId="0" applyNumberFormat="1" applyFont="1" applyFill="1" applyBorder="1" applyAlignment="1">
      <alignment vertical="top"/>
    </xf>
    <xf numFmtId="2" fontId="27" fillId="2" borderId="196" xfId="4" applyNumberFormat="1" applyFont="1" applyFill="1" applyBorder="1" applyAlignment="1">
      <alignment vertical="center" wrapText="1"/>
    </xf>
    <xf numFmtId="2" fontId="27" fillId="2" borderId="196" xfId="4" applyNumberFormat="1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vertical="top"/>
    </xf>
    <xf numFmtId="2" fontId="7" fillId="6" borderId="197" xfId="0" applyNumberFormat="1" applyFont="1" applyFill="1" applyBorder="1" applyAlignment="1">
      <alignment horizontal="left" vertical="center" wrapText="1"/>
    </xf>
    <xf numFmtId="3" fontId="31" fillId="0" borderId="169" xfId="4" applyNumberFormat="1" applyFont="1" applyFill="1" applyBorder="1" applyAlignment="1"/>
    <xf numFmtId="3" fontId="31" fillId="0" borderId="194" xfId="4" applyNumberFormat="1" applyFont="1" applyFill="1" applyBorder="1" applyAlignment="1"/>
    <xf numFmtId="3" fontId="31" fillId="32" borderId="177" xfId="0" applyNumberFormat="1" applyFont="1" applyFill="1" applyBorder="1" applyAlignment="1">
      <alignment vertical="top"/>
    </xf>
    <xf numFmtId="3" fontId="27" fillId="32" borderId="177" xfId="0" applyNumberFormat="1" applyFont="1" applyFill="1" applyBorder="1" applyAlignment="1">
      <alignment vertical="top"/>
    </xf>
    <xf numFmtId="0" fontId="34" fillId="0" borderId="40" xfId="0" applyFont="1" applyFill="1" applyBorder="1" applyAlignment="1">
      <alignment vertical="top"/>
    </xf>
    <xf numFmtId="2" fontId="18" fillId="2" borderId="41" xfId="0" applyNumberFormat="1" applyFont="1" applyFill="1" applyBorder="1" applyAlignment="1">
      <alignment vertical="top"/>
    </xf>
    <xf numFmtId="2" fontId="17" fillId="8" borderId="26" xfId="0" applyNumberFormat="1" applyFont="1" applyFill="1" applyBorder="1" applyAlignment="1">
      <alignment vertical="top"/>
    </xf>
    <xf numFmtId="2" fontId="31" fillId="8" borderId="196" xfId="0" applyNumberFormat="1" applyFont="1" applyFill="1" applyBorder="1" applyAlignment="1">
      <alignment vertical="center"/>
    </xf>
    <xf numFmtId="2" fontId="25" fillId="23" borderId="181" xfId="0" applyNumberFormat="1" applyFont="1" applyFill="1" applyBorder="1" applyAlignment="1">
      <alignment vertical="center"/>
    </xf>
    <xf numFmtId="2" fontId="25" fillId="23" borderId="181" xfId="0" applyNumberFormat="1" applyFont="1" applyFill="1" applyBorder="1" applyAlignment="1">
      <alignment horizontal="center" vertical="center"/>
    </xf>
    <xf numFmtId="2" fontId="31" fillId="8" borderId="196" xfId="0" applyNumberFormat="1" applyFont="1" applyFill="1" applyBorder="1" applyAlignment="1">
      <alignment vertical="top"/>
    </xf>
    <xf numFmtId="2" fontId="25" fillId="23" borderId="186" xfId="0" applyNumberFormat="1" applyFont="1" applyFill="1" applyBorder="1" applyAlignment="1">
      <alignment horizontal="center" vertical="center"/>
    </xf>
    <xf numFmtId="2" fontId="31" fillId="32" borderId="196" xfId="0" applyNumberFormat="1" applyFont="1" applyFill="1" applyBorder="1" applyAlignment="1">
      <alignment vertical="center"/>
    </xf>
    <xf numFmtId="2" fontId="29" fillId="2" borderId="196" xfId="4" applyNumberFormat="1" applyFont="1" applyFill="1" applyBorder="1" applyAlignment="1">
      <alignment vertical="center" wrapText="1"/>
    </xf>
    <xf numFmtId="2" fontId="7" fillId="0" borderId="196" xfId="0" applyNumberFormat="1" applyFont="1" applyFill="1" applyBorder="1" applyAlignment="1">
      <alignment vertical="center" wrapText="1"/>
    </xf>
    <xf numFmtId="2" fontId="31" fillId="2" borderId="196" xfId="4" applyNumberFormat="1" applyFont="1" applyFill="1" applyBorder="1" applyAlignment="1">
      <alignment vertical="center" wrapText="1"/>
    </xf>
    <xf numFmtId="2" fontId="0" fillId="0" borderId="26" xfId="0" applyNumberFormat="1" applyFont="1" applyBorder="1"/>
    <xf numFmtId="2" fontId="18" fillId="0" borderId="65" xfId="0" applyNumberFormat="1" applyFont="1" applyBorder="1" applyAlignment="1">
      <alignment horizontal="center" vertical="top" wrapText="1"/>
    </xf>
    <xf numFmtId="2" fontId="17" fillId="0" borderId="26" xfId="0" applyNumberFormat="1" applyFont="1" applyBorder="1" applyAlignment="1">
      <alignment vertical="top"/>
    </xf>
    <xf numFmtId="2" fontId="17" fillId="0" borderId="66" xfId="0" applyNumberFormat="1" applyFont="1" applyBorder="1" applyAlignment="1">
      <alignment vertical="top"/>
    </xf>
    <xf numFmtId="2" fontId="18" fillId="0" borderId="67" xfId="0" applyNumberFormat="1" applyFont="1" applyBorder="1" applyAlignment="1">
      <alignment horizontal="center" vertical="top" wrapText="1"/>
    </xf>
    <xf numFmtId="2" fontId="17" fillId="0" borderId="84" xfId="0" applyNumberFormat="1" applyFont="1" applyBorder="1" applyAlignment="1">
      <alignment vertical="top"/>
    </xf>
    <xf numFmtId="2" fontId="18" fillId="0" borderId="77" xfId="0" applyNumberFormat="1" applyFont="1" applyBorder="1" applyAlignment="1">
      <alignment horizontal="center" vertical="top" wrapText="1"/>
    </xf>
    <xf numFmtId="2" fontId="0" fillId="0" borderId="77" xfId="0" applyNumberFormat="1" applyFont="1" applyBorder="1"/>
    <xf numFmtId="2" fontId="0" fillId="0" borderId="64" xfId="0" applyNumberFormat="1" applyFont="1" applyBorder="1"/>
    <xf numFmtId="2" fontId="18" fillId="0" borderId="64" xfId="0" applyNumberFormat="1" applyFont="1" applyBorder="1" applyAlignment="1">
      <alignment horizontal="center" vertical="top" wrapText="1"/>
    </xf>
    <xf numFmtId="0" fontId="21" fillId="2" borderId="197" xfId="0" applyFont="1" applyFill="1" applyBorder="1" applyAlignment="1">
      <alignment horizontal="center" vertical="center"/>
    </xf>
    <xf numFmtId="0" fontId="21" fillId="2" borderId="178" xfId="0" applyFont="1" applyFill="1" applyBorder="1" applyAlignment="1">
      <alignment horizontal="center" vertical="center"/>
    </xf>
    <xf numFmtId="0" fontId="21" fillId="2" borderId="178" xfId="0" quotePrefix="1" applyFont="1" applyFill="1" applyBorder="1" applyAlignment="1">
      <alignment horizontal="center" vertical="center"/>
    </xf>
    <xf numFmtId="0" fontId="21" fillId="26" borderId="178" xfId="0" quotePrefix="1" applyFont="1" applyFill="1" applyBorder="1" applyAlignment="1">
      <alignment horizontal="center" vertical="center"/>
    </xf>
    <xf numFmtId="0" fontId="21" fillId="2" borderId="173" xfId="0" quotePrefix="1" applyFont="1" applyFill="1" applyBorder="1" applyAlignment="1">
      <alignment horizontal="center" vertical="center"/>
    </xf>
    <xf numFmtId="0" fontId="17" fillId="8" borderId="176" xfId="4" applyFont="1" applyFill="1" applyBorder="1" applyAlignment="1">
      <alignment vertical="top"/>
    </xf>
    <xf numFmtId="0" fontId="27" fillId="50" borderId="178" xfId="4" applyFont="1" applyFill="1" applyBorder="1" applyAlignment="1">
      <alignment horizontal="left" vertical="center"/>
    </xf>
    <xf numFmtId="3" fontId="27" fillId="50" borderId="178" xfId="4" applyNumberFormat="1" applyFont="1" applyFill="1" applyBorder="1" applyAlignment="1">
      <alignment horizontal="left" vertical="center"/>
    </xf>
    <xf numFmtId="3" fontId="27" fillId="50" borderId="178" xfId="4" applyNumberFormat="1" applyFont="1" applyFill="1" applyBorder="1" applyAlignment="1">
      <alignment horizontal="right" vertical="center"/>
    </xf>
    <xf numFmtId="3" fontId="27" fillId="21" borderId="178" xfId="4" applyNumberFormat="1" applyFont="1" applyFill="1" applyBorder="1" applyAlignment="1">
      <alignment horizontal="right" vertical="center"/>
    </xf>
    <xf numFmtId="0" fontId="27" fillId="50" borderId="178" xfId="0" applyFont="1" applyFill="1" applyBorder="1" applyAlignment="1">
      <alignment horizontal="left" vertical="top"/>
    </xf>
    <xf numFmtId="0" fontId="28" fillId="50" borderId="178" xfId="0" quotePrefix="1" applyFont="1" applyFill="1" applyBorder="1" applyAlignment="1">
      <alignment horizontal="center" vertical="top"/>
    </xf>
    <xf numFmtId="3" fontId="27" fillId="50" borderId="178" xfId="0" quotePrefix="1" applyNumberFormat="1" applyFont="1" applyFill="1" applyBorder="1" applyAlignment="1">
      <alignment horizontal="right" vertical="top"/>
    </xf>
    <xf numFmtId="3" fontId="18" fillId="8" borderId="173" xfId="4" applyNumberFormat="1" applyFont="1" applyFill="1" applyBorder="1" applyAlignment="1">
      <alignment horizontal="center" vertical="top"/>
    </xf>
    <xf numFmtId="3" fontId="29" fillId="8" borderId="178" xfId="4" applyNumberFormat="1" applyFont="1" applyFill="1" applyBorder="1" applyAlignment="1">
      <alignment vertical="top" wrapText="1"/>
    </xf>
    <xf numFmtId="3" fontId="29" fillId="8" borderId="178" xfId="4" applyNumberFormat="1" applyFont="1" applyFill="1" applyBorder="1" applyAlignment="1">
      <alignment horizontal="right" vertical="center"/>
    </xf>
    <xf numFmtId="3" fontId="29" fillId="23" borderId="178" xfId="4" applyNumberFormat="1" applyFont="1" applyFill="1" applyBorder="1" applyAlignment="1">
      <alignment horizontal="right" vertical="center"/>
    </xf>
    <xf numFmtId="3" fontId="32" fillId="8" borderId="178" xfId="0" applyNumberFormat="1" applyFont="1" applyFill="1" applyBorder="1"/>
    <xf numFmtId="0" fontId="29" fillId="8" borderId="178" xfId="4" applyFont="1" applyFill="1" applyBorder="1" applyAlignment="1">
      <alignment vertical="top"/>
    </xf>
    <xf numFmtId="0" fontId="7" fillId="8" borderId="181" xfId="4" applyFont="1" applyFill="1" applyBorder="1" applyAlignment="1">
      <alignment vertical="top" wrapText="1"/>
    </xf>
    <xf numFmtId="3" fontId="31" fillId="8" borderId="178" xfId="4" applyNumberFormat="1" applyFont="1" applyFill="1" applyBorder="1" applyAlignment="1">
      <alignment horizontal="right" vertical="center"/>
    </xf>
    <xf numFmtId="3" fontId="7" fillId="8" borderId="186" xfId="4" applyNumberFormat="1" applyFont="1" applyFill="1" applyBorder="1" applyAlignment="1">
      <alignment vertical="top" wrapText="1"/>
    </xf>
    <xf numFmtId="0" fontId="25" fillId="6" borderId="186" xfId="4" applyFont="1" applyFill="1" applyBorder="1" applyAlignment="1">
      <alignment horizontal="left" vertical="center"/>
    </xf>
    <xf numFmtId="3" fontId="29" fillId="8" borderId="186" xfId="4" applyNumberFormat="1" applyFont="1" applyFill="1" applyBorder="1" applyAlignment="1">
      <alignment vertical="top" wrapText="1"/>
    </xf>
    <xf numFmtId="3" fontId="27" fillId="8" borderId="178" xfId="4" applyNumberFormat="1" applyFont="1" applyFill="1" applyBorder="1" applyAlignment="1">
      <alignment vertical="top" wrapText="1"/>
    </xf>
    <xf numFmtId="3" fontId="33" fillId="8" borderId="178" xfId="6" applyNumberFormat="1" applyFont="1" applyFill="1" applyBorder="1" applyAlignment="1">
      <alignment vertical="center"/>
    </xf>
    <xf numFmtId="0" fontId="7" fillId="8" borderId="186" xfId="4" applyFont="1" applyFill="1" applyBorder="1" applyAlignment="1">
      <alignment vertical="top" wrapText="1"/>
    </xf>
    <xf numFmtId="0" fontId="7" fillId="8" borderId="178" xfId="4" applyFont="1" applyFill="1" applyBorder="1" applyAlignment="1">
      <alignment horizontal="left" vertical="center"/>
    </xf>
    <xf numFmtId="0" fontId="27" fillId="8" borderId="186" xfId="4" applyFont="1" applyFill="1" applyBorder="1" applyAlignment="1">
      <alignment vertical="center"/>
    </xf>
    <xf numFmtId="0" fontId="27" fillId="8" borderId="178" xfId="4" applyFont="1" applyFill="1" applyBorder="1" applyAlignment="1">
      <alignment vertical="center"/>
    </xf>
    <xf numFmtId="0" fontId="18" fillId="8" borderId="173" xfId="4" applyFont="1" applyFill="1" applyBorder="1" applyAlignment="1">
      <alignment horizontal="center" vertical="center"/>
    </xf>
    <xf numFmtId="3" fontId="32" fillId="8" borderId="174" xfId="6" applyNumberFormat="1" applyFont="1" applyFill="1" applyBorder="1" applyAlignment="1">
      <alignment vertical="center"/>
    </xf>
    <xf numFmtId="0" fontId="18" fillId="8" borderId="184" xfId="4" applyFont="1" applyFill="1" applyBorder="1" applyAlignment="1">
      <alignment horizontal="center" vertical="center"/>
    </xf>
    <xf numFmtId="0" fontId="7" fillId="8" borderId="188" xfId="4" applyFont="1" applyFill="1" applyBorder="1" applyAlignment="1">
      <alignment vertical="center"/>
    </xf>
    <xf numFmtId="3" fontId="32" fillId="8" borderId="188" xfId="6" applyNumberFormat="1" applyFont="1" applyFill="1" applyBorder="1" applyAlignment="1">
      <alignment vertical="center"/>
    </xf>
    <xf numFmtId="43" fontId="25" fillId="6" borderId="178" xfId="1" applyFont="1" applyFill="1" applyBorder="1" applyAlignment="1">
      <alignment horizontal="right" vertical="center"/>
    </xf>
    <xf numFmtId="43" fontId="27" fillId="0" borderId="178" xfId="1" applyFont="1" applyFill="1" applyBorder="1" applyAlignment="1">
      <alignment horizontal="right" vertical="center"/>
    </xf>
    <xf numFmtId="0" fontId="28" fillId="0" borderId="178" xfId="4" applyFont="1" applyFill="1" applyBorder="1" applyAlignment="1">
      <alignment vertical="center"/>
    </xf>
    <xf numFmtId="43" fontId="28" fillId="0" borderId="178" xfId="1" applyFont="1" applyFill="1" applyBorder="1" applyAlignment="1">
      <alignment horizontal="right" vertical="center"/>
    </xf>
    <xf numFmtId="3" fontId="28" fillId="25" borderId="178" xfId="4" applyNumberFormat="1" applyFont="1" applyFill="1" applyBorder="1" applyAlignment="1">
      <alignment horizontal="right" vertical="center"/>
    </xf>
    <xf numFmtId="0" fontId="29" fillId="2" borderId="178" xfId="4" applyFont="1" applyFill="1" applyBorder="1" applyAlignment="1">
      <alignment vertical="center"/>
    </xf>
    <xf numFmtId="43" fontId="24" fillId="6" borderId="178" xfId="1" applyFont="1" applyFill="1" applyBorder="1" applyAlignment="1">
      <alignment vertical="center"/>
    </xf>
    <xf numFmtId="43" fontId="32" fillId="0" borderId="178" xfId="1" applyFont="1" applyFill="1" applyBorder="1" applyAlignment="1">
      <alignment vertical="center"/>
    </xf>
    <xf numFmtId="43" fontId="31" fillId="0" borderId="178" xfId="1" applyFont="1" applyFill="1" applyBorder="1" applyAlignment="1">
      <alignment horizontal="right" vertical="center"/>
    </xf>
    <xf numFmtId="0" fontId="28" fillId="57" borderId="178" xfId="4" applyFont="1" applyFill="1" applyBorder="1" applyAlignment="1">
      <alignment vertical="top"/>
    </xf>
    <xf numFmtId="3" fontId="63" fillId="57" borderId="178" xfId="6" applyNumberFormat="1" applyFont="1" applyFill="1" applyBorder="1" applyAlignment="1">
      <alignment vertical="center"/>
    </xf>
    <xf numFmtId="3" fontId="38" fillId="57" borderId="178" xfId="4" applyNumberFormat="1" applyFont="1" applyFill="1" applyBorder="1" applyAlignment="1">
      <alignment horizontal="right" vertical="center"/>
    </xf>
    <xf numFmtId="43" fontId="28" fillId="57" borderId="178" xfId="1" applyFont="1" applyFill="1" applyBorder="1" applyAlignment="1">
      <alignment horizontal="right" vertical="center"/>
    </xf>
    <xf numFmtId="0" fontId="28" fillId="56" borderId="178" xfId="4" applyFont="1" applyFill="1" applyBorder="1" applyAlignment="1">
      <alignment vertical="top"/>
    </xf>
    <xf numFmtId="3" fontId="63" fillId="56" borderId="178" xfId="6" applyNumberFormat="1" applyFont="1" applyFill="1" applyBorder="1" applyAlignment="1">
      <alignment vertical="center"/>
    </xf>
    <xf numFmtId="3" fontId="38" fillId="56" borderId="178" xfId="4" applyNumberFormat="1" applyFont="1" applyFill="1" applyBorder="1" applyAlignment="1">
      <alignment horizontal="right" vertical="center"/>
    </xf>
    <xf numFmtId="43" fontId="28" fillId="56" borderId="178" xfId="1" applyFont="1" applyFill="1" applyBorder="1" applyAlignment="1">
      <alignment horizontal="right" vertical="center"/>
    </xf>
    <xf numFmtId="0" fontId="7" fillId="56" borderId="178" xfId="4" applyFont="1" applyFill="1" applyBorder="1" applyAlignment="1">
      <alignment vertical="top"/>
    </xf>
    <xf numFmtId="0" fontId="32" fillId="56" borderId="178" xfId="0" applyFont="1" applyFill="1" applyBorder="1" applyAlignment="1">
      <alignment horizontal="center" vertical="center" wrapText="1"/>
    </xf>
    <xf numFmtId="3" fontId="32" fillId="56" borderId="178" xfId="6" applyNumberFormat="1" applyFont="1" applyFill="1" applyBorder="1" applyAlignment="1">
      <alignment vertical="center"/>
    </xf>
    <xf numFmtId="3" fontId="7" fillId="56" borderId="178" xfId="4" applyNumberFormat="1" applyFont="1" applyFill="1" applyBorder="1" applyAlignment="1">
      <alignment horizontal="right" vertical="center"/>
    </xf>
    <xf numFmtId="43" fontId="24" fillId="6" borderId="178" xfId="1" applyFont="1" applyFill="1" applyBorder="1" applyAlignment="1"/>
    <xf numFmtId="0" fontId="23" fillId="0" borderId="173" xfId="0" applyFont="1" applyFill="1" applyBorder="1" applyAlignment="1">
      <alignment horizontal="center" vertical="center" wrapText="1"/>
    </xf>
    <xf numFmtId="43" fontId="31" fillId="0" borderId="177" xfId="1" applyFont="1" applyFill="1" applyBorder="1" applyAlignment="1">
      <alignment vertical="center"/>
    </xf>
    <xf numFmtId="0" fontId="38" fillId="57" borderId="178" xfId="4" applyFont="1" applyFill="1" applyBorder="1" applyAlignment="1">
      <alignment vertical="top"/>
    </xf>
    <xf numFmtId="0" fontId="38" fillId="52" borderId="178" xfId="4" applyFont="1" applyFill="1" applyBorder="1" applyAlignment="1">
      <alignment vertical="top"/>
    </xf>
    <xf numFmtId="3" fontId="63" fillId="52" borderId="178" xfId="6" applyNumberFormat="1" applyFont="1" applyFill="1" applyBorder="1" applyAlignment="1">
      <alignment vertical="center"/>
    </xf>
    <xf numFmtId="43" fontId="38" fillId="52" borderId="178" xfId="1" applyFont="1" applyFill="1" applyBorder="1" applyAlignment="1">
      <alignment horizontal="right" vertical="center"/>
    </xf>
    <xf numFmtId="3" fontId="38" fillId="52" borderId="178" xfId="4" applyNumberFormat="1" applyFont="1" applyFill="1" applyBorder="1" applyAlignment="1">
      <alignment horizontal="right" vertical="center"/>
    </xf>
    <xf numFmtId="43" fontId="28" fillId="52" borderId="178" xfId="1" applyFont="1" applyFill="1" applyBorder="1" applyAlignment="1">
      <alignment horizontal="right" vertical="center"/>
    </xf>
    <xf numFmtId="0" fontId="63" fillId="0" borderId="178" xfId="0" applyFont="1" applyFill="1" applyBorder="1" applyAlignment="1">
      <alignment horizontal="center" vertical="center" wrapText="1"/>
    </xf>
    <xf numFmtId="0" fontId="63" fillId="52" borderId="178" xfId="0" applyFont="1" applyFill="1" applyBorder="1" applyAlignment="1">
      <alignment horizontal="center" vertical="center" wrapText="1"/>
    </xf>
    <xf numFmtId="3" fontId="31" fillId="23" borderId="178" xfId="4" applyNumberFormat="1" applyFont="1" applyFill="1" applyBorder="1" applyAlignment="1">
      <alignment horizontal="right" vertical="center"/>
    </xf>
    <xf numFmtId="0" fontId="0" fillId="0" borderId="51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29" fillId="8" borderId="197" xfId="4" applyFont="1" applyFill="1" applyBorder="1" applyAlignment="1">
      <alignment vertical="center"/>
    </xf>
    <xf numFmtId="3" fontId="29" fillId="8" borderId="177" xfId="4" applyNumberFormat="1" applyFont="1" applyFill="1" applyBorder="1" applyAlignment="1">
      <alignment vertical="center"/>
    </xf>
    <xf numFmtId="3" fontId="29" fillId="23" borderId="178" xfId="4" applyNumberFormat="1" applyFont="1" applyFill="1" applyBorder="1" applyAlignment="1">
      <alignment vertical="center"/>
    </xf>
    <xf numFmtId="3" fontId="7" fillId="8" borderId="177" xfId="4" applyNumberFormat="1" applyFont="1" applyFill="1" applyBorder="1" applyAlignment="1">
      <alignment vertical="center"/>
    </xf>
    <xf numFmtId="3" fontId="7" fillId="8" borderId="182" xfId="4" applyNumberFormat="1" applyFont="1" applyFill="1" applyBorder="1" applyAlignment="1">
      <alignment vertical="center" wrapText="1"/>
    </xf>
    <xf numFmtId="0" fontId="7" fillId="8" borderId="182" xfId="4" applyFont="1" applyFill="1" applyBorder="1" applyAlignment="1">
      <alignment vertical="center" wrapText="1"/>
    </xf>
    <xf numFmtId="0" fontId="7" fillId="8" borderId="197" xfId="4" applyFont="1" applyFill="1" applyBorder="1" applyAlignment="1">
      <alignment vertical="center" wrapText="1"/>
    </xf>
    <xf numFmtId="3" fontId="27" fillId="8" borderId="197" xfId="4" applyNumberFormat="1" applyFont="1" applyFill="1" applyBorder="1" applyAlignment="1">
      <alignment vertical="center" wrapText="1"/>
    </xf>
    <xf numFmtId="3" fontId="27" fillId="8" borderId="177" xfId="4" applyNumberFormat="1" applyFont="1" applyFill="1" applyBorder="1" applyAlignment="1">
      <alignment vertical="center"/>
    </xf>
    <xf numFmtId="3" fontId="31" fillId="8" borderId="177" xfId="4" applyNumberFormat="1" applyFont="1" applyFill="1" applyBorder="1" applyAlignment="1">
      <alignment vertical="center"/>
    </xf>
    <xf numFmtId="0" fontId="27" fillId="8" borderId="197" xfId="4" applyFont="1" applyFill="1" applyBorder="1" applyAlignment="1">
      <alignment vertical="center"/>
    </xf>
    <xf numFmtId="0" fontId="7" fillId="8" borderId="182" xfId="4" applyFont="1" applyFill="1" applyBorder="1" applyAlignment="1">
      <alignment vertical="center"/>
    </xf>
    <xf numFmtId="0" fontId="7" fillId="8" borderId="197" xfId="4" applyFont="1" applyFill="1" applyBorder="1" applyAlignment="1">
      <alignment vertical="center"/>
    </xf>
    <xf numFmtId="3" fontId="29" fillId="13" borderId="182" xfId="4" applyNumberFormat="1" applyFont="1" applyFill="1" applyBorder="1" applyAlignment="1">
      <alignment vertical="center" wrapText="1"/>
    </xf>
    <xf numFmtId="3" fontId="29" fillId="13" borderId="197" xfId="4" applyNumberFormat="1" applyFont="1" applyFill="1" applyBorder="1" applyAlignment="1">
      <alignment vertical="center" wrapText="1"/>
    </xf>
    <xf numFmtId="3" fontId="29" fillId="13" borderId="177" xfId="4" applyNumberFormat="1" applyFont="1" applyFill="1" applyBorder="1" applyAlignment="1">
      <alignment horizontal="right" vertical="center"/>
    </xf>
    <xf numFmtId="3" fontId="29" fillId="24" borderId="177" xfId="4" applyNumberFormat="1" applyFont="1" applyFill="1" applyBorder="1" applyAlignment="1">
      <alignment horizontal="right" vertical="center"/>
    </xf>
    <xf numFmtId="3" fontId="7" fillId="13" borderId="182" xfId="4" applyNumberFormat="1" applyFont="1" applyFill="1" applyBorder="1" applyAlignment="1">
      <alignment vertical="center" wrapText="1"/>
    </xf>
    <xf numFmtId="3" fontId="7" fillId="13" borderId="197" xfId="4" applyNumberFormat="1" applyFont="1" applyFill="1" applyBorder="1" applyAlignment="1">
      <alignment vertical="center" wrapText="1"/>
    </xf>
    <xf numFmtId="0" fontId="7" fillId="13" borderId="182" xfId="4" applyFont="1" applyFill="1" applyBorder="1" applyAlignment="1">
      <alignment vertical="center"/>
    </xf>
    <xf numFmtId="0" fontId="7" fillId="13" borderId="197" xfId="4" applyFont="1" applyFill="1" applyBorder="1" applyAlignment="1">
      <alignment vertical="center"/>
    </xf>
    <xf numFmtId="0" fontId="29" fillId="13" borderId="182" xfId="4" applyFont="1" applyFill="1" applyBorder="1" applyAlignment="1">
      <alignment vertical="center"/>
    </xf>
    <xf numFmtId="0" fontId="29" fillId="13" borderId="197" xfId="4" applyFont="1" applyFill="1" applyBorder="1" applyAlignment="1">
      <alignment vertical="center"/>
    </xf>
    <xf numFmtId="3" fontId="29" fillId="24" borderId="178" xfId="4" applyNumberFormat="1" applyFont="1" applyFill="1" applyBorder="1" applyAlignment="1">
      <alignment horizontal="right" vertical="center"/>
    </xf>
    <xf numFmtId="3" fontId="7" fillId="13" borderId="192" xfId="4" applyNumberFormat="1" applyFont="1" applyFill="1" applyBorder="1" applyAlignment="1">
      <alignment vertical="center" wrapText="1"/>
    </xf>
    <xf numFmtId="3" fontId="7" fillId="13" borderId="176" xfId="4" applyNumberFormat="1" applyFont="1" applyFill="1" applyBorder="1" applyAlignment="1">
      <alignment vertical="center" wrapText="1"/>
    </xf>
    <xf numFmtId="3" fontId="32" fillId="13" borderId="169" xfId="6" applyNumberFormat="1" applyFont="1" applyFill="1" applyBorder="1" applyAlignment="1">
      <alignment vertical="center"/>
    </xf>
    <xf numFmtId="3" fontId="27" fillId="13" borderId="182" xfId="4" applyNumberFormat="1" applyFont="1" applyFill="1" applyBorder="1" applyAlignment="1">
      <alignment vertical="center" wrapText="1"/>
    </xf>
    <xf numFmtId="3" fontId="32" fillId="13" borderId="177" xfId="6" applyNumberFormat="1" applyFont="1" applyFill="1" applyBorder="1" applyAlignment="1">
      <alignment vertical="center"/>
    </xf>
    <xf numFmtId="0" fontId="27" fillId="13" borderId="182" xfId="4" applyFont="1" applyFill="1" applyBorder="1" applyAlignment="1">
      <alignment vertical="center"/>
    </xf>
    <xf numFmtId="0" fontId="27" fillId="13" borderId="197" xfId="4" applyFont="1" applyFill="1" applyBorder="1" applyAlignment="1">
      <alignment vertical="center"/>
    </xf>
    <xf numFmtId="3" fontId="33" fillId="13" borderId="177" xfId="6" applyNumberFormat="1" applyFont="1" applyFill="1" applyBorder="1" applyAlignment="1">
      <alignment vertical="center"/>
    </xf>
    <xf numFmtId="0" fontId="18" fillId="0" borderId="40" xfId="4" applyFont="1" applyFill="1" applyBorder="1" applyAlignment="1">
      <alignment vertical="center" wrapText="1"/>
    </xf>
    <xf numFmtId="0" fontId="18" fillId="0" borderId="65" xfId="4" applyFont="1" applyFill="1" applyBorder="1" applyAlignment="1">
      <alignment vertical="center" wrapText="1"/>
    </xf>
    <xf numFmtId="0" fontId="25" fillId="6" borderId="197" xfId="4" applyFont="1" applyFill="1" applyBorder="1" applyAlignment="1">
      <alignment horizontal="center" vertical="center"/>
    </xf>
    <xf numFmtId="3" fontId="24" fillId="22" borderId="186" xfId="4" applyNumberFormat="1" applyFont="1" applyFill="1" applyBorder="1" applyAlignment="1">
      <alignment horizontal="right" vertical="center"/>
    </xf>
    <xf numFmtId="0" fontId="7" fillId="0" borderId="131" xfId="4" applyFont="1" applyFill="1" applyBorder="1" applyAlignment="1">
      <alignment horizontal="left" vertical="center"/>
    </xf>
    <xf numFmtId="3" fontId="7" fillId="0" borderId="188" xfId="4" applyNumberFormat="1" applyFont="1" applyFill="1" applyBorder="1" applyAlignment="1">
      <alignment horizontal="center" vertical="center"/>
    </xf>
    <xf numFmtId="43" fontId="32" fillId="0" borderId="177" xfId="1" applyFont="1" applyFill="1" applyBorder="1" applyAlignment="1">
      <alignment vertical="center"/>
    </xf>
    <xf numFmtId="3" fontId="7" fillId="25" borderId="177" xfId="4" applyNumberFormat="1" applyFont="1" applyFill="1" applyBorder="1" applyAlignment="1">
      <alignment horizontal="right" vertical="center"/>
    </xf>
    <xf numFmtId="0" fontId="8" fillId="0" borderId="64" xfId="0" applyFont="1" applyBorder="1"/>
    <xf numFmtId="0" fontId="8" fillId="0" borderId="65" xfId="0" applyFont="1" applyBorder="1"/>
    <xf numFmtId="0" fontId="19" fillId="0" borderId="174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vertical="center"/>
    </xf>
    <xf numFmtId="3" fontId="8" fillId="0" borderId="65" xfId="0" applyNumberFormat="1" applyFont="1" applyBorder="1" applyAlignment="1">
      <alignment vertical="center"/>
    </xf>
    <xf numFmtId="0" fontId="66" fillId="6" borderId="197" xfId="4" applyFont="1" applyFill="1" applyBorder="1" applyAlignment="1">
      <alignment horizontal="left" vertical="center"/>
    </xf>
    <xf numFmtId="3" fontId="66" fillId="6" borderId="178" xfId="0" applyNumberFormat="1" applyFont="1" applyFill="1" applyBorder="1" applyAlignment="1">
      <alignment horizontal="right" vertical="center" wrapText="1"/>
    </xf>
    <xf numFmtId="3" fontId="66" fillId="7" borderId="196" xfId="0" applyNumberFormat="1" applyFont="1" applyFill="1" applyBorder="1" applyAlignment="1">
      <alignment horizontal="right" vertical="center" wrapText="1"/>
    </xf>
    <xf numFmtId="0" fontId="8" fillId="0" borderId="197" xfId="0" applyFont="1" applyFill="1" applyBorder="1" applyAlignment="1">
      <alignment vertical="center" wrapText="1"/>
    </xf>
    <xf numFmtId="3" fontId="8" fillId="0" borderId="177" xfId="0" applyNumberFormat="1" applyFont="1" applyFill="1" applyBorder="1" applyAlignment="1">
      <alignment vertical="center" wrapText="1"/>
    </xf>
    <xf numFmtId="43" fontId="8" fillId="0" borderId="178" xfId="1" applyFont="1" applyFill="1" applyBorder="1" applyAlignment="1">
      <alignment vertical="center" wrapText="1"/>
    </xf>
    <xf numFmtId="3" fontId="8" fillId="0" borderId="178" xfId="0" applyNumberFormat="1" applyFont="1" applyFill="1" applyBorder="1" applyAlignment="1">
      <alignment vertical="center" wrapText="1"/>
    </xf>
    <xf numFmtId="43" fontId="8" fillId="0" borderId="177" xfId="1" applyFont="1" applyFill="1" applyBorder="1" applyAlignment="1">
      <alignment vertical="center" wrapText="1"/>
    </xf>
    <xf numFmtId="3" fontId="64" fillId="8" borderId="177" xfId="0" applyNumberFormat="1" applyFont="1" applyFill="1" applyBorder="1" applyAlignment="1">
      <alignment vertical="center" wrapText="1"/>
    </xf>
    <xf numFmtId="3" fontId="64" fillId="9" borderId="196" xfId="0" applyNumberFormat="1" applyFont="1" applyFill="1" applyBorder="1" applyAlignment="1">
      <alignment vertical="center" wrapText="1"/>
    </xf>
    <xf numFmtId="0" fontId="66" fillId="6" borderId="197" xfId="4" applyFont="1" applyFill="1" applyBorder="1" applyAlignment="1">
      <alignment horizontal="left"/>
    </xf>
    <xf numFmtId="3" fontId="62" fillId="6" borderId="178" xfId="0" applyNumberFormat="1" applyFont="1" applyFill="1" applyBorder="1" applyAlignment="1">
      <alignment wrapText="1"/>
    </xf>
    <xf numFmtId="3" fontId="66" fillId="6" borderId="178" xfId="0" applyNumberFormat="1" applyFont="1" applyFill="1" applyBorder="1" applyAlignment="1">
      <alignment wrapText="1"/>
    </xf>
    <xf numFmtId="0" fontId="72" fillId="0" borderId="65" xfId="0" applyFont="1" applyFill="1" applyBorder="1" applyAlignment="1"/>
    <xf numFmtId="3" fontId="65" fillId="8" borderId="177" xfId="0" applyNumberFormat="1" applyFont="1" applyFill="1" applyBorder="1" applyAlignment="1">
      <alignment vertical="center" wrapText="1"/>
    </xf>
    <xf numFmtId="0" fontId="8" fillId="0" borderId="65" xfId="0" applyFont="1" applyFill="1" applyBorder="1" applyAlignment="1">
      <alignment vertical="center"/>
    </xf>
    <xf numFmtId="3" fontId="65" fillId="8" borderId="178" xfId="0" applyNumberFormat="1" applyFont="1" applyFill="1" applyBorder="1" applyAlignment="1">
      <alignment vertical="center" wrapText="1"/>
    </xf>
    <xf numFmtId="3" fontId="64" fillId="8" borderId="178" xfId="0" applyNumberFormat="1" applyFont="1" applyFill="1" applyBorder="1" applyAlignment="1">
      <alignment vertical="center" wrapText="1"/>
    </xf>
    <xf numFmtId="3" fontId="8" fillId="0" borderId="194" xfId="0" applyNumberFormat="1" applyFont="1" applyFill="1" applyBorder="1" applyAlignment="1">
      <alignment vertical="center" wrapText="1"/>
    </xf>
    <xf numFmtId="3" fontId="72" fillId="0" borderId="65" xfId="0" applyNumberFormat="1" applyFont="1" applyFill="1" applyBorder="1" applyAlignment="1">
      <alignment vertical="center"/>
    </xf>
    <xf numFmtId="0" fontId="72" fillId="0" borderId="65" xfId="0" applyFont="1" applyFill="1" applyBorder="1" applyAlignment="1">
      <alignment vertical="center"/>
    </xf>
    <xf numFmtId="3" fontId="7" fillId="0" borderId="2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horizontal="right" vertical="center" wrapText="1"/>
    </xf>
    <xf numFmtId="3" fontId="36" fillId="4" borderId="188" xfId="0" quotePrefix="1" applyNumberFormat="1" applyFont="1" applyFill="1" applyBorder="1" applyAlignment="1">
      <alignment horizontal="right"/>
    </xf>
    <xf numFmtId="43" fontId="64" fillId="8" borderId="177" xfId="1" applyFont="1" applyFill="1" applyBorder="1" applyAlignment="1">
      <alignment vertical="center" wrapText="1"/>
    </xf>
    <xf numFmtId="43" fontId="64" fillId="9" borderId="196" xfId="1" applyFont="1" applyFill="1" applyBorder="1" applyAlignment="1">
      <alignment horizontal="center" vertical="center" wrapText="1"/>
    </xf>
    <xf numFmtId="3" fontId="62" fillId="6" borderId="178" xfId="0" applyNumberFormat="1" applyFont="1" applyFill="1" applyBorder="1" applyAlignment="1">
      <alignment vertical="center" wrapText="1"/>
    </xf>
    <xf numFmtId="43" fontId="62" fillId="6" borderId="178" xfId="1" applyFont="1" applyFill="1" applyBorder="1" applyAlignment="1">
      <alignment vertical="center" wrapText="1"/>
    </xf>
    <xf numFmtId="3" fontId="66" fillId="6" borderId="178" xfId="0" applyNumberFormat="1" applyFont="1" applyFill="1" applyBorder="1" applyAlignment="1">
      <alignment vertical="center" wrapText="1"/>
    </xf>
    <xf numFmtId="43" fontId="65" fillId="8" borderId="177" xfId="1" applyFont="1" applyFill="1" applyBorder="1" applyAlignment="1">
      <alignment vertical="center" wrapText="1"/>
    </xf>
    <xf numFmtId="43" fontId="65" fillId="8" borderId="178" xfId="1" applyFont="1" applyFill="1" applyBorder="1" applyAlignment="1">
      <alignment vertical="center" wrapText="1"/>
    </xf>
    <xf numFmtId="43" fontId="8" fillId="0" borderId="188" xfId="1" applyFont="1" applyFill="1" applyBorder="1" applyAlignment="1">
      <alignment vertical="center" wrapText="1"/>
    </xf>
    <xf numFmtId="0" fontId="8" fillId="0" borderId="184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72" fillId="0" borderId="43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72" fillId="2" borderId="43" xfId="0" applyFont="1" applyFill="1" applyBorder="1" applyAlignment="1">
      <alignment vertical="center"/>
    </xf>
    <xf numFmtId="0" fontId="72" fillId="2" borderId="41" xfId="0" applyFont="1" applyFill="1" applyBorder="1" applyAlignment="1">
      <alignment vertical="center"/>
    </xf>
    <xf numFmtId="0" fontId="72" fillId="2" borderId="40" xfId="0" applyFont="1" applyFill="1" applyBorder="1" applyAlignment="1">
      <alignment vertical="center"/>
    </xf>
    <xf numFmtId="0" fontId="72" fillId="2" borderId="44" xfId="0" applyFont="1" applyFill="1" applyBorder="1" applyAlignment="1">
      <alignment vertical="center"/>
    </xf>
    <xf numFmtId="3" fontId="73" fillId="13" borderId="188" xfId="0" applyNumberFormat="1" applyFont="1" applyFill="1" applyBorder="1" applyAlignment="1">
      <alignment vertical="center" wrapText="1"/>
    </xf>
    <xf numFmtId="3" fontId="80" fillId="13" borderId="188" xfId="0" applyNumberFormat="1" applyFont="1" applyFill="1" applyBorder="1" applyAlignment="1">
      <alignment vertical="center" wrapText="1"/>
    </xf>
    <xf numFmtId="0" fontId="72" fillId="2" borderId="115" xfId="0" applyFont="1" applyFill="1" applyBorder="1" applyAlignment="1">
      <alignment vertical="center"/>
    </xf>
    <xf numFmtId="0" fontId="74" fillId="13" borderId="84" xfId="4" applyFont="1" applyFill="1" applyBorder="1" applyAlignment="1">
      <alignment horizontal="center" vertical="center"/>
    </xf>
    <xf numFmtId="0" fontId="66" fillId="13" borderId="84" xfId="4" applyFont="1" applyFill="1" applyBorder="1" applyAlignment="1">
      <alignment horizontal="left" vertical="center"/>
    </xf>
    <xf numFmtId="0" fontId="66" fillId="0" borderId="84" xfId="4" applyFont="1" applyFill="1" applyBorder="1" applyAlignment="1">
      <alignment horizontal="left" vertical="center"/>
    </xf>
    <xf numFmtId="0" fontId="74" fillId="2" borderId="115" xfId="0" applyFont="1" applyFill="1" applyBorder="1" applyAlignment="1">
      <alignment vertical="center"/>
    </xf>
    <xf numFmtId="3" fontId="74" fillId="2" borderId="42" xfId="0" applyNumberFormat="1" applyFont="1" applyFill="1" applyBorder="1" applyAlignment="1">
      <alignment vertical="center"/>
    </xf>
    <xf numFmtId="0" fontId="74" fillId="2" borderId="41" xfId="0" applyFont="1" applyFill="1" applyBorder="1" applyAlignment="1">
      <alignment vertical="center"/>
    </xf>
    <xf numFmtId="0" fontId="74" fillId="2" borderId="44" xfId="0" applyFont="1" applyFill="1" applyBorder="1" applyAlignment="1">
      <alignment vertical="center"/>
    </xf>
    <xf numFmtId="0" fontId="74" fillId="2" borderId="25" xfId="0" applyFont="1" applyFill="1" applyBorder="1" applyAlignment="1">
      <alignment vertical="center"/>
    </xf>
    <xf numFmtId="0" fontId="74" fillId="2" borderId="11" xfId="0" applyFont="1" applyFill="1" applyBorder="1" applyAlignment="1">
      <alignment vertical="center"/>
    </xf>
    <xf numFmtId="0" fontId="39" fillId="0" borderId="26" xfId="0" applyFont="1" applyFill="1" applyBorder="1" applyAlignment="1">
      <alignment vertical="center"/>
    </xf>
    <xf numFmtId="0" fontId="74" fillId="2" borderId="65" xfId="0" applyFont="1" applyFill="1" applyBorder="1" applyAlignment="1">
      <alignment vertical="center"/>
    </xf>
    <xf numFmtId="0" fontId="66" fillId="13" borderId="26" xfId="4" applyFont="1" applyFill="1" applyBorder="1" applyAlignment="1">
      <alignment horizontal="left" vertical="center"/>
    </xf>
    <xf numFmtId="0" fontId="72" fillId="2" borderId="65" xfId="0" applyFont="1" applyFill="1" applyBorder="1" applyAlignment="1">
      <alignment vertical="center"/>
    </xf>
    <xf numFmtId="0" fontId="0" fillId="2" borderId="66" xfId="0" applyFont="1" applyFill="1" applyBorder="1" applyAlignment="1">
      <alignment vertical="center"/>
    </xf>
    <xf numFmtId="0" fontId="72" fillId="2" borderId="25" xfId="0" applyFont="1" applyFill="1" applyBorder="1" applyAlignment="1">
      <alignment vertical="center"/>
    </xf>
    <xf numFmtId="0" fontId="0" fillId="2" borderId="84" xfId="0" applyFont="1" applyFill="1" applyBorder="1" applyAlignment="1">
      <alignment vertical="center"/>
    </xf>
    <xf numFmtId="0" fontId="72" fillId="2" borderId="52" xfId="0" applyFont="1" applyFill="1" applyBorder="1" applyAlignment="1">
      <alignment vertical="center"/>
    </xf>
    <xf numFmtId="0" fontId="7" fillId="0" borderId="8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3" fontId="25" fillId="0" borderId="26" xfId="0" applyNumberFormat="1" applyFont="1" applyFill="1" applyBorder="1" applyAlignment="1">
      <alignment vertical="center" wrapText="1"/>
    </xf>
    <xf numFmtId="0" fontId="8" fillId="0" borderId="65" xfId="0" applyFont="1" applyBorder="1" applyAlignment="1">
      <alignment vertical="center"/>
    </xf>
    <xf numFmtId="0" fontId="8" fillId="0" borderId="67" xfId="0" applyFont="1" applyBorder="1"/>
    <xf numFmtId="3" fontId="36" fillId="6" borderId="178" xfId="0" applyNumberFormat="1" applyFont="1" applyFill="1" applyBorder="1"/>
    <xf numFmtId="3" fontId="6" fillId="6" borderId="188" xfId="0" applyNumberFormat="1" applyFont="1" applyFill="1" applyBorder="1"/>
    <xf numFmtId="3" fontId="36" fillId="12" borderId="26" xfId="0" applyNumberFormat="1" applyFont="1" applyFill="1" applyBorder="1" applyAlignment="1">
      <alignment horizontal="right" vertical="center"/>
    </xf>
    <xf numFmtId="0" fontId="36" fillId="8" borderId="26" xfId="0" applyFont="1" applyFill="1" applyBorder="1" applyAlignment="1">
      <alignment horizontal="right"/>
    </xf>
    <xf numFmtId="0" fontId="36" fillId="15" borderId="84" xfId="0" applyFont="1" applyFill="1" applyBorder="1" applyAlignment="1">
      <alignment horizontal="center" wrapText="1"/>
    </xf>
    <xf numFmtId="3" fontId="8" fillId="6" borderId="188" xfId="0" applyNumberFormat="1" applyFont="1" applyFill="1" applyBorder="1"/>
    <xf numFmtId="3" fontId="8" fillId="12" borderId="26" xfId="0" applyNumberFormat="1" applyFont="1" applyFill="1" applyBorder="1" applyAlignment="1">
      <alignment horizontal="right"/>
    </xf>
    <xf numFmtId="0" fontId="8" fillId="12" borderId="82" xfId="0" applyFont="1" applyFill="1" applyBorder="1" applyAlignment="1">
      <alignment horizontal="right"/>
    </xf>
    <xf numFmtId="0" fontId="8" fillId="0" borderId="26" xfId="0" applyFont="1" applyBorder="1"/>
    <xf numFmtId="0" fontId="65" fillId="0" borderId="188" xfId="0" applyFont="1" applyBorder="1" applyAlignment="1">
      <alignment horizontal="center"/>
    </xf>
    <xf numFmtId="3" fontId="8" fillId="8" borderId="178" xfId="0" applyNumberFormat="1" applyFont="1" applyFill="1" applyBorder="1"/>
    <xf numFmtId="3" fontId="8" fillId="8" borderId="181" xfId="0" applyNumberFormat="1" applyFont="1" applyFill="1" applyBorder="1"/>
    <xf numFmtId="3" fontId="8" fillId="0" borderId="65" xfId="0" applyNumberFormat="1" applyFont="1" applyBorder="1"/>
    <xf numFmtId="3" fontId="8" fillId="8" borderId="188" xfId="0" applyNumberFormat="1" applyFont="1" applyFill="1" applyBorder="1"/>
    <xf numFmtId="0" fontId="7" fillId="17" borderId="26" xfId="0" applyFont="1" applyFill="1" applyBorder="1" applyAlignment="1">
      <alignment vertical="center" wrapText="1"/>
    </xf>
    <xf numFmtId="0" fontId="28" fillId="8" borderId="26" xfId="0" applyFont="1" applyFill="1" applyBorder="1" applyAlignment="1">
      <alignment horizontal="right" vertical="center" wrapText="1"/>
    </xf>
    <xf numFmtId="0" fontId="36" fillId="16" borderId="84" xfId="0" applyFont="1" applyFill="1" applyBorder="1" applyAlignment="1">
      <alignment horizontal="center" wrapText="1"/>
    </xf>
    <xf numFmtId="0" fontId="8" fillId="17" borderId="84" xfId="0" applyFont="1" applyFill="1" applyBorder="1" applyAlignment="1">
      <alignment horizontal="right"/>
    </xf>
    <xf numFmtId="0" fontId="36" fillId="0" borderId="38" xfId="0" applyFont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vertical="center" wrapText="1"/>
    </xf>
    <xf numFmtId="0" fontId="7" fillId="11" borderId="197" xfId="0" applyFont="1" applyFill="1" applyBorder="1" applyAlignment="1">
      <alignment vertical="center" wrapText="1"/>
    </xf>
    <xf numFmtId="3" fontId="6" fillId="11" borderId="178" xfId="0" applyNumberFormat="1" applyFont="1" applyFill="1" applyBorder="1"/>
    <xf numFmtId="3" fontId="6" fillId="51" borderId="178" xfId="0" applyNumberFormat="1" applyFont="1" applyFill="1" applyBorder="1"/>
    <xf numFmtId="3" fontId="6" fillId="11" borderId="188" xfId="0" applyNumberFormat="1" applyFont="1" applyFill="1" applyBorder="1"/>
    <xf numFmtId="0" fontId="36" fillId="18" borderId="66" xfId="0" applyFont="1" applyFill="1" applyBorder="1" applyAlignment="1">
      <alignment horizontal="right"/>
    </xf>
    <xf numFmtId="0" fontId="76" fillId="0" borderId="84" xfId="0" applyFont="1" applyBorder="1" applyAlignment="1">
      <alignment horizontal="right"/>
    </xf>
    <xf numFmtId="3" fontId="8" fillId="51" borderId="178" xfId="0" applyNumberFormat="1" applyFont="1" applyFill="1" applyBorder="1"/>
    <xf numFmtId="3" fontId="8" fillId="11" borderId="178" xfId="0" applyNumberFormat="1" applyFont="1" applyFill="1" applyBorder="1"/>
    <xf numFmtId="0" fontId="8" fillId="0" borderId="77" xfId="0" applyFont="1" applyBorder="1"/>
    <xf numFmtId="0" fontId="8" fillId="18" borderId="66" xfId="0" applyFont="1" applyFill="1" applyBorder="1" applyAlignment="1">
      <alignment horizontal="right"/>
    </xf>
    <xf numFmtId="0" fontId="76" fillId="0" borderId="26" xfId="0" applyFont="1" applyBorder="1" applyAlignment="1">
      <alignment horizontal="right"/>
    </xf>
    <xf numFmtId="0" fontId="8" fillId="0" borderId="66" xfId="0" applyFont="1" applyBorder="1"/>
    <xf numFmtId="3" fontId="13" fillId="0" borderId="0" xfId="0" applyNumberFormat="1" applyFont="1" applyFill="1" applyBorder="1" applyAlignment="1">
      <alignment horizontal="left"/>
    </xf>
    <xf numFmtId="0" fontId="0" fillId="0" borderId="177" xfId="0" applyFont="1" applyBorder="1" applyAlignment="1">
      <alignment vertical="center"/>
    </xf>
    <xf numFmtId="0" fontId="39" fillId="0" borderId="177" xfId="0" applyFont="1" applyBorder="1"/>
    <xf numFmtId="3" fontId="0" fillId="51" borderId="177" xfId="0" applyNumberFormat="1" applyFont="1" applyFill="1" applyBorder="1"/>
    <xf numFmtId="3" fontId="0" fillId="0" borderId="177" xfId="0" applyNumberFormat="1" applyFont="1" applyBorder="1" applyAlignment="1">
      <alignment vertical="center"/>
    </xf>
    <xf numFmtId="4" fontId="0" fillId="0" borderId="177" xfId="0" applyNumberFormat="1" applyFont="1" applyBorder="1"/>
    <xf numFmtId="0" fontId="0" fillId="32" borderId="177" xfId="0" applyFont="1" applyFill="1" applyBorder="1"/>
    <xf numFmtId="3" fontId="0" fillId="32" borderId="177" xfId="0" applyNumberFormat="1" applyFont="1" applyFill="1" applyBorder="1"/>
    <xf numFmtId="0" fontId="31" fillId="0" borderId="0" xfId="0" applyFont="1" applyFill="1" applyBorder="1" applyAlignment="1">
      <alignment vertical="top"/>
    </xf>
    <xf numFmtId="3" fontId="31" fillId="0" borderId="13" xfId="4" applyNumberFormat="1" applyFont="1" applyFill="1" applyBorder="1" applyAlignment="1">
      <alignment vertical="center"/>
    </xf>
    <xf numFmtId="3" fontId="31" fillId="2" borderId="27" xfId="0" applyNumberFormat="1" applyFont="1" applyFill="1" applyBorder="1" applyAlignment="1">
      <alignment vertical="top"/>
    </xf>
    <xf numFmtId="3" fontId="31" fillId="32" borderId="13" xfId="0" applyNumberFormat="1" applyFont="1" applyFill="1" applyBorder="1" applyAlignment="1">
      <alignment vertical="top"/>
    </xf>
    <xf numFmtId="3" fontId="31" fillId="2" borderId="13" xfId="0" applyNumberFormat="1" applyFont="1" applyFill="1" applyBorder="1" applyAlignment="1">
      <alignment vertical="top"/>
    </xf>
    <xf numFmtId="3" fontId="31" fillId="25" borderId="7" xfId="0" applyNumberFormat="1" applyFont="1" applyFill="1" applyBorder="1" applyAlignment="1">
      <alignment vertical="top"/>
    </xf>
    <xf numFmtId="0" fontId="24" fillId="0" borderId="13" xfId="0" applyFont="1" applyFill="1" applyBorder="1" applyAlignment="1">
      <alignment horizontal="center" vertical="center" wrapText="1"/>
    </xf>
    <xf numFmtId="0" fontId="29" fillId="8" borderId="196" xfId="4" applyFont="1" applyFill="1" applyBorder="1" applyAlignment="1">
      <alignment vertical="center"/>
    </xf>
    <xf numFmtId="0" fontId="23" fillId="0" borderId="123" xfId="0" applyFont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5" fillId="0" borderId="76" xfId="4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15" borderId="14" xfId="0" applyFont="1" applyFill="1" applyBorder="1" applyAlignment="1">
      <alignment horizontal="center" vertical="center" wrapText="1"/>
    </xf>
    <xf numFmtId="0" fontId="36" fillId="15" borderId="22" xfId="0" applyFont="1" applyFill="1" applyBorder="1" applyAlignment="1">
      <alignment horizontal="center" vertical="center" wrapText="1"/>
    </xf>
    <xf numFmtId="0" fontId="36" fillId="16" borderId="14" xfId="0" applyFont="1" applyFill="1" applyBorder="1" applyAlignment="1">
      <alignment horizontal="center" wrapText="1"/>
    </xf>
    <xf numFmtId="0" fontId="36" fillId="16" borderId="22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66" xfId="0" applyFont="1" applyFill="1" applyBorder="1" applyAlignment="1">
      <alignment horizontal="center" vertical="center"/>
    </xf>
    <xf numFmtId="0" fontId="40" fillId="2" borderId="24" xfId="0" applyFont="1" applyFill="1" applyBorder="1" applyAlignment="1">
      <alignment horizontal="center" vertical="center"/>
    </xf>
    <xf numFmtId="0" fontId="24" fillId="0" borderId="15" xfId="4" applyFont="1" applyBorder="1" applyAlignment="1">
      <alignment horizontal="center" vertical="center" wrapText="1"/>
    </xf>
    <xf numFmtId="0" fontId="24" fillId="0" borderId="13" xfId="4" applyFont="1" applyBorder="1" applyAlignment="1">
      <alignment horizontal="center" vertical="center" wrapText="1"/>
    </xf>
    <xf numFmtId="0" fontId="24" fillId="0" borderId="12" xfId="4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8" fillId="0" borderId="187" xfId="0" applyFont="1" applyBorder="1" applyAlignment="1">
      <alignment horizontal="center"/>
    </xf>
    <xf numFmtId="0" fontId="8" fillId="0" borderId="192" xfId="0" applyFont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183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25" fillId="2" borderId="71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3" fontId="18" fillId="0" borderId="79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18" fillId="0" borderId="46" xfId="4" applyNumberFormat="1" applyFont="1" applyFill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3" fillId="0" borderId="123" xfId="0" applyFont="1" applyBorder="1" applyAlignment="1">
      <alignment horizontal="center" vertical="center"/>
    </xf>
    <xf numFmtId="43" fontId="24" fillId="22" borderId="60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43" fontId="24" fillId="22" borderId="162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3" fontId="25" fillId="2" borderId="123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24" fillId="2" borderId="176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3" fontId="25" fillId="26" borderId="174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4" fillId="2" borderId="22" xfId="4" applyNumberFormat="1" applyFont="1" applyFill="1" applyBorder="1" applyAlignment="1">
      <alignment horizontal="center" vertical="center" wrapText="1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65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3" fontId="24" fillId="26" borderId="61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4" fillId="26" borderId="174" xfId="4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25" fillId="26" borderId="162" xfId="4" applyNumberFormat="1" applyFont="1" applyFill="1" applyBorder="1" applyAlignment="1">
      <alignment horizontal="center" vertical="center"/>
    </xf>
    <xf numFmtId="3" fontId="18" fillId="0" borderId="40" xfId="4" applyNumberFormat="1" applyFont="1" applyFill="1" applyBorder="1" applyAlignment="1">
      <alignment horizontal="center" vertical="center" wrapText="1"/>
    </xf>
    <xf numFmtId="3" fontId="18" fillId="0" borderId="44" xfId="4" applyNumberFormat="1" applyFont="1" applyFill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2" fillId="0" borderId="12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3" fillId="0" borderId="157" xfId="0" applyFont="1" applyBorder="1" applyAlignment="1">
      <alignment horizontal="center" vertical="center"/>
    </xf>
    <xf numFmtId="0" fontId="18" fillId="0" borderId="40" xfId="4" applyFont="1" applyFill="1" applyBorder="1" applyAlignment="1">
      <alignment horizontal="center" vertical="center" wrapText="1"/>
    </xf>
    <xf numFmtId="0" fontId="18" fillId="0" borderId="44" xfId="4" applyFont="1" applyFill="1" applyBorder="1" applyAlignment="1">
      <alignment horizontal="center" vertical="center" wrapText="1"/>
    </xf>
    <xf numFmtId="3" fontId="25" fillId="2" borderId="17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23" fillId="0" borderId="17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5" fillId="2" borderId="176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3" fontId="24" fillId="26" borderId="162" xfId="4" applyNumberFormat="1" applyFont="1" applyFill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18" fillId="0" borderId="184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17" fillId="0" borderId="26" xfId="4" applyFont="1" applyFill="1" applyBorder="1" applyAlignment="1">
      <alignment horizontal="center" vertical="center"/>
    </xf>
    <xf numFmtId="0" fontId="18" fillId="0" borderId="65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3" fontId="25" fillId="2" borderId="0" xfId="4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8" fillId="0" borderId="115" xfId="4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5" fillId="2" borderId="38" xfId="4" applyNumberFormat="1" applyFont="1" applyFill="1" applyBorder="1" applyAlignment="1">
      <alignment horizontal="center" vertical="center" wrapText="1"/>
    </xf>
    <xf numFmtId="3" fontId="32" fillId="25" borderId="0" xfId="6" applyNumberFormat="1" applyFont="1" applyFill="1" applyBorder="1" applyAlignment="1">
      <alignment horizontal="center" vertical="center"/>
    </xf>
    <xf numFmtId="3" fontId="32" fillId="25" borderId="7" xfId="6" applyNumberFormat="1" applyFont="1" applyFill="1" applyBorder="1" applyAlignment="1">
      <alignment horizontal="center" vertical="center"/>
    </xf>
    <xf numFmtId="3" fontId="32" fillId="25" borderId="72" xfId="6" applyNumberFormat="1" applyFont="1" applyFill="1" applyBorder="1" applyAlignment="1">
      <alignment horizontal="center" vertical="center"/>
    </xf>
    <xf numFmtId="3" fontId="32" fillId="25" borderId="10" xfId="6" applyNumberFormat="1" applyFont="1" applyFill="1" applyBorder="1" applyAlignment="1">
      <alignment horizontal="center" vertical="center"/>
    </xf>
    <xf numFmtId="3" fontId="31" fillId="26" borderId="187" xfId="4" applyNumberFormat="1" applyFont="1" applyFill="1" applyBorder="1" applyAlignment="1">
      <alignment horizontal="center" vertical="center"/>
    </xf>
    <xf numFmtId="3" fontId="31" fillId="26" borderId="10" xfId="4" applyNumberFormat="1" applyFont="1" applyFill="1" applyBorder="1" applyAlignment="1">
      <alignment horizontal="center" vertical="center"/>
    </xf>
    <xf numFmtId="3" fontId="31" fillId="26" borderId="72" xfId="4" applyNumberFormat="1" applyFont="1" applyFill="1" applyBorder="1" applyAlignment="1">
      <alignment horizontal="center" vertical="center"/>
    </xf>
    <xf numFmtId="3" fontId="25" fillId="26" borderId="187" xfId="4" applyNumberFormat="1" applyFont="1" applyFill="1" applyBorder="1" applyAlignment="1">
      <alignment horizontal="center" vertical="center"/>
    </xf>
    <xf numFmtId="3" fontId="25" fillId="26" borderId="10" xfId="4" applyNumberFormat="1" applyFont="1" applyFill="1" applyBorder="1" applyAlignment="1">
      <alignment horizontal="center" vertical="center"/>
    </xf>
    <xf numFmtId="3" fontId="25" fillId="26" borderId="72" xfId="4" applyNumberFormat="1" applyFont="1" applyFill="1" applyBorder="1" applyAlignment="1">
      <alignment horizontal="center" vertical="center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4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4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0" fontId="17" fillId="0" borderId="178" xfId="4" applyFont="1" applyBorder="1" applyAlignment="1">
      <alignment horizontal="center" vertical="center" wrapText="1"/>
    </xf>
    <xf numFmtId="0" fontId="25" fillId="0" borderId="76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vertical="center" wrapText="1"/>
    </xf>
    <xf numFmtId="0" fontId="25" fillId="2" borderId="123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3" fontId="25" fillId="26" borderId="169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3" fontId="24" fillId="26" borderId="39" xfId="4" applyNumberFormat="1" applyFont="1" applyFill="1" applyBorder="1" applyAlignment="1">
      <alignment horizontal="center" vertical="center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24" fillId="26" borderId="169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3" fontId="25" fillId="25" borderId="174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0" fontId="23" fillId="0" borderId="12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3" fontId="24" fillId="26" borderId="188" xfId="4" applyNumberFormat="1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3" fontId="31" fillId="25" borderId="174" xfId="4" applyNumberFormat="1" applyFont="1" applyFill="1" applyBorder="1" applyAlignment="1">
      <alignment horizontal="center" vertical="center"/>
    </xf>
    <xf numFmtId="3" fontId="31" fillId="25" borderId="13" xfId="4" applyNumberFormat="1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25" fillId="26" borderId="61" xfId="4" applyNumberFormat="1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3" fontId="25" fillId="2" borderId="101" xfId="4" applyNumberFormat="1" applyFont="1" applyFill="1" applyBorder="1" applyAlignment="1">
      <alignment horizontal="center" vertical="center" wrapText="1"/>
    </xf>
    <xf numFmtId="3" fontId="25" fillId="26" borderId="194" xfId="4" applyNumberFormat="1" applyFont="1" applyFill="1" applyBorder="1" applyAlignment="1">
      <alignment horizontal="center" vertical="center"/>
    </xf>
    <xf numFmtId="3" fontId="25" fillId="26" borderId="50" xfId="4" applyNumberFormat="1" applyFont="1" applyFill="1" applyBorder="1" applyAlignment="1">
      <alignment horizontal="center" vertical="center"/>
    </xf>
    <xf numFmtId="3" fontId="25" fillId="25" borderId="168" xfId="4" applyNumberFormat="1" applyFont="1" applyFill="1" applyBorder="1" applyAlignment="1">
      <alignment horizontal="center" vertical="center"/>
    </xf>
    <xf numFmtId="3" fontId="25" fillId="25" borderId="188" xfId="4" applyNumberFormat="1" applyFont="1" applyFill="1" applyBorder="1" applyAlignment="1">
      <alignment horizontal="center" vertical="center"/>
    </xf>
    <xf numFmtId="3" fontId="25" fillId="2" borderId="157" xfId="4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3" fontId="25" fillId="25" borderId="162" xfId="4" applyNumberFormat="1" applyFont="1" applyFill="1" applyBorder="1" applyAlignment="1">
      <alignment horizontal="center" vertical="center"/>
    </xf>
    <xf numFmtId="43" fontId="24" fillId="22" borderId="104" xfId="1" applyFont="1" applyFill="1" applyBorder="1" applyAlignment="1">
      <alignment horizontal="center" vertical="center"/>
    </xf>
    <xf numFmtId="3" fontId="25" fillId="25" borderId="61" xfId="4" applyNumberFormat="1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18" fillId="0" borderId="122" xfId="4" applyNumberFormat="1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top"/>
    </xf>
    <xf numFmtId="0" fontId="30" fillId="8" borderId="11" xfId="0" applyFont="1" applyFill="1" applyBorder="1" applyAlignment="1">
      <alignment horizontal="center" vertical="top"/>
    </xf>
    <xf numFmtId="0" fontId="30" fillId="8" borderId="25" xfId="0" applyFont="1" applyFill="1" applyBorder="1" applyAlignment="1">
      <alignment horizontal="center" vertical="top"/>
    </xf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3" fontId="25" fillId="28" borderId="40" xfId="0" applyNumberFormat="1" applyFont="1" applyFill="1" applyBorder="1" applyAlignment="1">
      <alignment horizontal="center" vertical="center" wrapText="1"/>
    </xf>
    <xf numFmtId="3" fontId="25" fillId="28" borderId="115" xfId="0" applyNumberFormat="1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115" xfId="0" applyFont="1" applyFill="1" applyBorder="1" applyAlignment="1">
      <alignment horizontal="center" vertical="center" wrapText="1"/>
    </xf>
    <xf numFmtId="0" fontId="25" fillId="2" borderId="176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3" fontId="24" fillId="26" borderId="178" xfId="4" applyNumberFormat="1" applyFont="1" applyFill="1" applyBorder="1" applyAlignment="1">
      <alignment horizontal="center" vertical="center"/>
    </xf>
    <xf numFmtId="0" fontId="23" fillId="0" borderId="178" xfId="0" applyFont="1" applyBorder="1" applyAlignment="1">
      <alignment horizontal="center" vertical="center" wrapText="1"/>
    </xf>
    <xf numFmtId="0" fontId="23" fillId="0" borderId="188" xfId="0" applyFont="1" applyBorder="1" applyAlignment="1">
      <alignment horizontal="center" vertical="center" wrapText="1"/>
    </xf>
    <xf numFmtId="0" fontId="24" fillId="0" borderId="41" xfId="4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4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97" xfId="4" applyFont="1" applyFill="1" applyBorder="1" applyAlignment="1">
      <alignment horizontal="center" vertical="center" wrapText="1"/>
    </xf>
    <xf numFmtId="0" fontId="0" fillId="0" borderId="197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3" fontId="25" fillId="0" borderId="178" xfId="4" applyNumberFormat="1" applyFont="1" applyFill="1" applyBorder="1" applyAlignment="1">
      <alignment horizontal="center" vertical="center" wrapText="1"/>
    </xf>
    <xf numFmtId="0" fontId="32" fillId="0" borderId="178" xfId="0" applyFont="1" applyFill="1" applyBorder="1" applyAlignment="1">
      <alignment horizontal="center" vertical="center" wrapText="1"/>
    </xf>
    <xf numFmtId="0" fontId="23" fillId="0" borderId="184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17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4" fillId="0" borderId="40" xfId="4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23" fillId="0" borderId="188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17" fillId="0" borderId="197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3" fontId="25" fillId="2" borderId="178" xfId="4" applyNumberFormat="1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horizontal="center" vertical="center" wrapText="1"/>
    </xf>
    <xf numFmtId="0" fontId="25" fillId="2" borderId="178" xfId="4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wrapText="1"/>
    </xf>
    <xf numFmtId="0" fontId="32" fillId="0" borderId="188" xfId="0" applyFont="1" applyBorder="1" applyAlignment="1">
      <alignment wrapText="1"/>
    </xf>
    <xf numFmtId="0" fontId="17" fillId="0" borderId="16" xfId="4" quotePrefix="1" applyFont="1" applyFill="1" applyBorder="1" applyAlignment="1">
      <alignment horizontal="center" vertical="center" wrapText="1"/>
    </xf>
    <xf numFmtId="0" fontId="25" fillId="0" borderId="174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24" fillId="0" borderId="184" xfId="4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16" fillId="2" borderId="27" xfId="4" applyFont="1" applyFill="1" applyBorder="1" applyAlignment="1">
      <alignment horizontal="left" vertical="center" wrapText="1"/>
    </xf>
    <xf numFmtId="0" fontId="16" fillId="2" borderId="13" xfId="4" applyFont="1" applyFill="1" applyBorder="1" applyAlignment="1">
      <alignment horizontal="left" vertical="center" wrapText="1"/>
    </xf>
    <xf numFmtId="0" fontId="16" fillId="2" borderId="10" xfId="4" applyFont="1" applyFill="1" applyBorder="1" applyAlignment="1">
      <alignment horizontal="left" vertical="center" wrapText="1"/>
    </xf>
    <xf numFmtId="0" fontId="18" fillId="0" borderId="68" xfId="4" applyFont="1" applyBorder="1" applyAlignment="1">
      <alignment horizontal="center" vertical="center" wrapText="1"/>
    </xf>
    <xf numFmtId="0" fontId="0" fillId="0" borderId="178" xfId="0" applyFont="1" applyBorder="1" applyAlignment="1">
      <alignment horizontal="center" vertical="center" wrapText="1"/>
    </xf>
    <xf numFmtId="0" fontId="22" fillId="0" borderId="178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3" xfId="4" applyFont="1" applyBorder="1" applyAlignment="1">
      <alignment horizontal="center" vertical="center" wrapText="1"/>
    </xf>
    <xf numFmtId="0" fontId="20" fillId="19" borderId="68" xfId="4" applyFont="1" applyFill="1" applyBorder="1" applyAlignment="1">
      <alignment horizontal="center" vertical="center" wrapText="1"/>
    </xf>
    <xf numFmtId="0" fontId="0" fillId="19" borderId="178" xfId="0" applyFont="1" applyFill="1" applyBorder="1" applyAlignment="1">
      <alignment horizontal="center" vertical="center" wrapText="1"/>
    </xf>
    <xf numFmtId="0" fontId="17" fillId="0" borderId="197" xfId="4" quotePrefix="1" applyFont="1" applyFill="1" applyBorder="1" applyAlignment="1">
      <alignment horizontal="center" vertical="center" wrapText="1"/>
    </xf>
    <xf numFmtId="0" fontId="17" fillId="0" borderId="185" xfId="4" applyFont="1" applyFill="1" applyBorder="1" applyAlignment="1">
      <alignment horizontal="center" vertical="center" wrapText="1"/>
    </xf>
    <xf numFmtId="0" fontId="32" fillId="0" borderId="177" xfId="0" applyFont="1" applyBorder="1" applyAlignment="1">
      <alignment horizontal="center" vertical="center" wrapText="1"/>
    </xf>
    <xf numFmtId="3" fontId="24" fillId="22" borderId="178" xfId="4" applyNumberFormat="1" applyFont="1" applyFill="1" applyBorder="1" applyAlignment="1">
      <alignment horizontal="center" vertical="center"/>
    </xf>
    <xf numFmtId="3" fontId="24" fillId="22" borderId="174" xfId="4" applyNumberFormat="1" applyFont="1" applyFill="1" applyBorder="1" applyAlignment="1">
      <alignment horizontal="center" vertical="center"/>
    </xf>
    <xf numFmtId="3" fontId="24" fillId="22" borderId="188" xfId="4" applyNumberFormat="1" applyFont="1" applyFill="1" applyBorder="1" applyAlignment="1">
      <alignment horizontal="center" vertical="center"/>
    </xf>
    <xf numFmtId="0" fontId="23" fillId="0" borderId="15" xfId="6" applyFont="1" applyBorder="1" applyAlignment="1">
      <alignment horizontal="center" vertical="center" wrapText="1"/>
    </xf>
    <xf numFmtId="0" fontId="23" fillId="0" borderId="35" xfId="6" applyFont="1" applyBorder="1" applyAlignment="1">
      <alignment horizontal="center" vertical="center" wrapText="1"/>
    </xf>
    <xf numFmtId="0" fontId="23" fillId="0" borderId="184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/>
    </xf>
    <xf numFmtId="0" fontId="17" fillId="0" borderId="38" xfId="4" applyFont="1" applyFill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32" fillId="0" borderId="18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3" fontId="24" fillId="26" borderId="0" xfId="4" applyNumberFormat="1" applyFont="1" applyFill="1" applyBorder="1" applyAlignment="1">
      <alignment horizontal="center" vertical="center"/>
    </xf>
    <xf numFmtId="3" fontId="24" fillId="26" borderId="7" xfId="4" applyNumberFormat="1" applyFont="1" applyFill="1" applyBorder="1" applyAlignment="1">
      <alignment horizontal="center" vertical="center"/>
    </xf>
    <xf numFmtId="3" fontId="24" fillId="26" borderId="186" xfId="4" applyNumberFormat="1" applyFont="1" applyFill="1" applyBorder="1" applyAlignment="1">
      <alignment horizontal="center" vertical="center"/>
    </xf>
    <xf numFmtId="3" fontId="24" fillId="26" borderId="130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7" fillId="0" borderId="176" xfId="4" applyFont="1" applyFill="1" applyBorder="1" applyAlignment="1">
      <alignment horizontal="center" vertical="center"/>
    </xf>
    <xf numFmtId="0" fontId="17" fillId="0" borderId="38" xfId="4" quotePrefix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0" borderId="17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184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3" fontId="25" fillId="22" borderId="174" xfId="0" applyNumberFormat="1" applyFont="1" applyFill="1" applyBorder="1" applyAlignment="1">
      <alignment horizontal="center" vertical="center"/>
    </xf>
    <xf numFmtId="3" fontId="25" fillId="22" borderId="10" xfId="0" applyNumberFormat="1" applyFont="1" applyFill="1" applyBorder="1" applyAlignment="1">
      <alignment horizontal="center" vertical="center"/>
    </xf>
    <xf numFmtId="3" fontId="25" fillId="22" borderId="72" xfId="0" applyNumberFormat="1" applyFont="1" applyFill="1" applyBorder="1" applyAlignment="1">
      <alignment horizontal="center" vertical="center"/>
    </xf>
    <xf numFmtId="2" fontId="25" fillId="32" borderId="176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0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74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 applyAlignment="1">
      <alignment horizontal="center" wrapText="1"/>
    </xf>
    <xf numFmtId="2" fontId="0" fillId="0" borderId="67" xfId="0" applyNumberFormat="1" applyFont="1" applyBorder="1" applyAlignment="1">
      <alignment horizontal="center" wrapText="1"/>
    </xf>
    <xf numFmtId="2" fontId="23" fillId="0" borderId="176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21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20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35" xfId="4" applyNumberFormat="1" applyFont="1" applyBorder="1" applyAlignment="1">
      <alignment horizontal="center" vertical="center" wrapText="1"/>
    </xf>
    <xf numFmtId="2" fontId="17" fillId="0" borderId="64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0" fillId="2" borderId="5" xfId="0" applyNumberFormat="1" applyFont="1" applyFill="1" applyBorder="1" applyAlignment="1">
      <alignment horizontal="center" vertical="center"/>
    </xf>
    <xf numFmtId="2" fontId="20" fillId="2" borderId="21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25" fillId="2" borderId="176" xfId="0" applyNumberFormat="1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4" xfId="0" applyNumberFormat="1" applyFont="1" applyFill="1" applyBorder="1" applyAlignment="1">
      <alignment horizontal="center" vertical="center" wrapText="1"/>
    </xf>
    <xf numFmtId="2" fontId="20" fillId="31" borderId="25" xfId="0" applyNumberFormat="1" applyFont="1" applyFill="1" applyBorder="1" applyAlignment="1">
      <alignment horizontal="center" vertical="center" wrapText="1"/>
    </xf>
    <xf numFmtId="2" fontId="20" fillId="31" borderId="11" xfId="0" applyNumberFormat="1" applyFont="1" applyFill="1" applyBorder="1" applyAlignment="1">
      <alignment horizontal="center" vertical="center" wrapText="1"/>
    </xf>
    <xf numFmtId="2" fontId="20" fillId="31" borderId="65" xfId="0" applyNumberFormat="1" applyFont="1" applyFill="1" applyBorder="1" applyAlignment="1">
      <alignment horizontal="center" vertical="center" wrapText="1"/>
    </xf>
    <xf numFmtId="2" fontId="20" fillId="31" borderId="52" xfId="0" applyNumberFormat="1" applyFont="1" applyFill="1" applyBorder="1" applyAlignment="1">
      <alignment horizontal="center" vertical="center" wrapText="1"/>
    </xf>
    <xf numFmtId="2" fontId="16" fillId="2" borderId="66" xfId="0" applyNumberFormat="1" applyFont="1" applyFill="1" applyBorder="1" applyAlignment="1">
      <alignment horizontal="left" vertical="center" wrapText="1"/>
    </xf>
    <xf numFmtId="0" fontId="25" fillId="8" borderId="176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25" xfId="0" applyNumberFormat="1" applyFont="1" applyBorder="1" applyAlignment="1">
      <alignment vertical="center" wrapText="1"/>
    </xf>
    <xf numFmtId="2" fontId="23" fillId="0" borderId="174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0" fillId="0" borderId="176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74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17" fillId="51" borderId="5" xfId="0" applyNumberFormat="1" applyFont="1" applyFill="1" applyBorder="1" applyAlignment="1">
      <alignment horizontal="center" vertical="center" wrapText="1"/>
    </xf>
    <xf numFmtId="2" fontId="0" fillId="51" borderId="11" xfId="0" applyNumberFormat="1" applyFont="1" applyFill="1" applyBorder="1" applyAlignment="1">
      <alignment vertical="center" wrapText="1"/>
    </xf>
    <xf numFmtId="2" fontId="0" fillId="51" borderId="25" xfId="0" applyNumberFormat="1" applyFont="1" applyFill="1" applyBorder="1" applyAlignment="1">
      <alignment vertical="center" wrapText="1"/>
    </xf>
    <xf numFmtId="2" fontId="25" fillId="22" borderId="187" xfId="0" applyNumberFormat="1" applyFont="1" applyFill="1" applyBorder="1" applyAlignment="1">
      <alignment horizontal="center" vertical="center"/>
    </xf>
    <xf numFmtId="2" fontId="25" fillId="22" borderId="10" xfId="0" applyNumberFormat="1" applyFont="1" applyFill="1" applyBorder="1" applyAlignment="1">
      <alignment horizontal="center" vertical="center"/>
    </xf>
    <xf numFmtId="3" fontId="25" fillId="28" borderId="43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0" fontId="18" fillId="0" borderId="184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25" fillId="2" borderId="37" xfId="4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71" xfId="4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0" fillId="0" borderId="84" xfId="0" applyFont="1" applyBorder="1" applyAlignment="1">
      <alignment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25" fillId="2" borderId="197" xfId="4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3" fontId="25" fillId="2" borderId="16" xfId="4" applyNumberFormat="1" applyFont="1" applyFill="1" applyBorder="1" applyAlignment="1">
      <alignment horizontal="center" vertical="center" wrapText="1"/>
    </xf>
    <xf numFmtId="3" fontId="24" fillId="26" borderId="187" xfId="4" applyNumberFormat="1" applyFont="1" applyFill="1" applyBorder="1" applyAlignment="1">
      <alignment horizontal="center" vertical="center"/>
    </xf>
    <xf numFmtId="3" fontId="24" fillId="26" borderId="24" xfId="4" applyNumberFormat="1" applyFont="1" applyFill="1" applyBorder="1" applyAlignment="1">
      <alignment horizontal="center" vertical="center"/>
    </xf>
    <xf numFmtId="0" fontId="25" fillId="2" borderId="0" xfId="4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18" fillId="0" borderId="64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22" fillId="0" borderId="192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3" fontId="17" fillId="26" borderId="174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25" fillId="0" borderId="176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0" fillId="0" borderId="183" xfId="0" applyFont="1" applyBorder="1" applyAlignment="1">
      <alignment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/>
    </xf>
    <xf numFmtId="0" fontId="18" fillId="0" borderId="15" xfId="4" applyFont="1" applyBorder="1" applyAlignment="1">
      <alignment horizontal="center" vertical="center" wrapText="1"/>
    </xf>
    <xf numFmtId="0" fontId="18" fillId="0" borderId="35" xfId="4" applyFont="1" applyBorder="1" applyAlignment="1">
      <alignment horizontal="center" vertical="center" wrapText="1"/>
    </xf>
    <xf numFmtId="0" fontId="17" fillId="0" borderId="64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0" fontId="25" fillId="2" borderId="20" xfId="4" applyFont="1" applyFill="1" applyBorder="1" applyAlignment="1">
      <alignment horizontal="center" vertical="center" wrapText="1"/>
    </xf>
    <xf numFmtId="0" fontId="0" fillId="0" borderId="192" xfId="0" applyFont="1" applyBorder="1" applyAlignment="1">
      <alignment horizontal="center" vertical="center" wrapText="1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3" fontId="25" fillId="2" borderId="169" xfId="4" applyNumberFormat="1" applyFont="1" applyFill="1" applyBorder="1" applyAlignment="1">
      <alignment horizontal="center" vertical="center" wrapText="1"/>
    </xf>
    <xf numFmtId="0" fontId="18" fillId="0" borderId="115" xfId="0" applyFont="1" applyFill="1" applyBorder="1" applyAlignment="1">
      <alignment horizontal="center" vertical="center" wrapText="1"/>
    </xf>
    <xf numFmtId="0" fontId="25" fillId="32" borderId="176" xfId="4" applyFont="1" applyFill="1" applyBorder="1" applyAlignment="1">
      <alignment horizontal="center" vertical="center" wrapText="1"/>
    </xf>
    <xf numFmtId="0" fontId="25" fillId="32" borderId="20" xfId="4" applyFont="1" applyFill="1" applyBorder="1" applyAlignment="1">
      <alignment horizontal="center" vertical="center" wrapText="1"/>
    </xf>
    <xf numFmtId="0" fontId="25" fillId="32" borderId="27" xfId="4" applyFont="1" applyFill="1" applyBorder="1" applyAlignment="1">
      <alignment horizontal="center" vertical="center" wrapText="1"/>
    </xf>
    <xf numFmtId="0" fontId="25" fillId="32" borderId="23" xfId="4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2" xfId="4" applyFont="1" applyFill="1" applyBorder="1" applyAlignment="1">
      <alignment horizontal="left" vertical="center" wrapText="1"/>
    </xf>
    <xf numFmtId="0" fontId="0" fillId="58" borderId="169" xfId="3" applyFont="1" applyFill="1" applyBorder="1" applyAlignment="1">
      <alignment horizontal="center" vertical="center"/>
    </xf>
    <xf numFmtId="0" fontId="0" fillId="58" borderId="27" xfId="3" applyFont="1" applyFill="1" applyBorder="1" applyAlignment="1">
      <alignment horizontal="center" vertical="center"/>
    </xf>
    <xf numFmtId="0" fontId="0" fillId="58" borderId="23" xfId="3" applyFont="1" applyFill="1" applyBorder="1" applyAlignment="1">
      <alignment horizontal="center" vertical="center"/>
    </xf>
    <xf numFmtId="0" fontId="17" fillId="2" borderId="83" xfId="0" quotePrefix="1" applyFont="1" applyFill="1" applyBorder="1" applyAlignment="1">
      <alignment horizontal="center" vertical="center" wrapText="1"/>
    </xf>
    <xf numFmtId="0" fontId="17" fillId="2" borderId="159" xfId="0" quotePrefix="1" applyFont="1" applyFill="1" applyBorder="1" applyAlignment="1">
      <alignment horizontal="center" vertical="center" wrapText="1"/>
    </xf>
    <xf numFmtId="0" fontId="17" fillId="2" borderId="191" xfId="0" quotePrefix="1" applyFont="1" applyFill="1" applyBorder="1" applyAlignment="1">
      <alignment horizontal="center" vertical="center" wrapText="1"/>
    </xf>
    <xf numFmtId="0" fontId="24" fillId="0" borderId="17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37" fillId="0" borderId="17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17" fillId="0" borderId="152" xfId="4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23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7" fillId="2" borderId="52" xfId="0" quotePrefix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9" fontId="22" fillId="0" borderId="15" xfId="3" applyNumberFormat="1" applyFont="1" applyBorder="1" applyAlignment="1">
      <alignment horizontal="center" vertical="center" wrapText="1"/>
    </xf>
    <xf numFmtId="49" fontId="22" fillId="0" borderId="12" xfId="3" applyNumberFormat="1" applyFont="1" applyBorder="1" applyAlignment="1">
      <alignment horizontal="center" vertical="center" wrapText="1"/>
    </xf>
    <xf numFmtId="49" fontId="22" fillId="0" borderId="68" xfId="3" applyNumberFormat="1" applyFont="1" applyBorder="1" applyAlignment="1">
      <alignment horizontal="center" vertical="center" wrapText="1"/>
    </xf>
    <xf numFmtId="49" fontId="22" fillId="0" borderId="41" xfId="3" applyNumberFormat="1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49" fontId="22" fillId="0" borderId="188" xfId="3" applyNumberFormat="1" applyFont="1" applyBorder="1" applyAlignment="1">
      <alignment horizontal="center" vertical="center" wrapText="1"/>
    </xf>
    <xf numFmtId="49" fontId="22" fillId="0" borderId="39" xfId="3" applyNumberFormat="1" applyFont="1" applyBorder="1" applyAlignment="1">
      <alignment horizontal="center" vertical="center" wrapText="1"/>
    </xf>
    <xf numFmtId="49" fontId="79" fillId="0" borderId="174" xfId="3" applyNumberFormat="1" applyFont="1" applyBorder="1" applyAlignment="1">
      <alignment horizontal="center" vertical="center" wrapText="1"/>
    </xf>
    <xf numFmtId="49" fontId="79" fillId="0" borderId="13" xfId="3" applyNumberFormat="1" applyFont="1" applyBorder="1" applyAlignment="1">
      <alignment horizontal="center" vertical="center" wrapText="1"/>
    </xf>
    <xf numFmtId="49" fontId="79" fillId="0" borderId="12" xfId="3" applyNumberFormat="1" applyFont="1" applyBorder="1" applyAlignment="1">
      <alignment horizontal="center" vertical="center" wrapText="1"/>
    </xf>
    <xf numFmtId="0" fontId="24" fillId="2" borderId="176" xfId="0" applyFont="1" applyFill="1" applyBorder="1" applyAlignment="1">
      <alignment horizontal="center" vertical="center" wrapText="1"/>
    </xf>
    <xf numFmtId="3" fontId="25" fillId="22" borderId="122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24" fillId="0" borderId="123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7" fillId="0" borderId="123" xfId="0" applyFont="1" applyBorder="1" applyAlignment="1">
      <alignment horizontal="center" vertical="center" wrapText="1"/>
    </xf>
    <xf numFmtId="43" fontId="25" fillId="22" borderId="122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wrapText="1"/>
    </xf>
    <xf numFmtId="43" fontId="25" fillId="22" borderId="174" xfId="1" applyFont="1" applyFill="1" applyBorder="1" applyAlignment="1">
      <alignment horizontal="center" vertical="center"/>
    </xf>
    <xf numFmtId="43" fontId="25" fillId="22" borderId="13" xfId="1" applyFont="1" applyFill="1" applyBorder="1" applyAlignment="1">
      <alignment horizontal="center" vertical="center"/>
    </xf>
    <xf numFmtId="43" fontId="25" fillId="22" borderId="12" xfId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0" fillId="0" borderId="26" xfId="0" applyFont="1" applyBorder="1"/>
    <xf numFmtId="0" fontId="0" fillId="0" borderId="66" xfId="0" applyFont="1" applyBorder="1"/>
    <xf numFmtId="3" fontId="24" fillId="22" borderId="91" xfId="0" applyNumberFormat="1" applyFont="1" applyFill="1" applyBorder="1" applyAlignment="1">
      <alignment horizontal="center" vertical="center"/>
    </xf>
    <xf numFmtId="3" fontId="25" fillId="22" borderId="91" xfId="0" applyNumberFormat="1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3" fontId="25" fillId="22" borderId="162" xfId="0" applyNumberFormat="1" applyFont="1" applyFill="1" applyBorder="1" applyAlignment="1">
      <alignment horizontal="center" vertical="center"/>
    </xf>
    <xf numFmtId="0" fontId="23" fillId="0" borderId="40" xfId="0" applyFont="1" applyBorder="1" applyAlignment="1">
      <alignment horizontal="center" wrapText="1"/>
    </xf>
    <xf numFmtId="0" fontId="23" fillId="0" borderId="42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2" fillId="0" borderId="40" xfId="0" applyFont="1" applyBorder="1"/>
    <xf numFmtId="0" fontId="25" fillId="8" borderId="123" xfId="0" applyFont="1" applyFill="1" applyBorder="1" applyAlignment="1">
      <alignment horizontal="center" vertical="center" wrapText="1"/>
    </xf>
    <xf numFmtId="0" fontId="25" fillId="2" borderId="123" xfId="0" applyFont="1" applyFill="1" applyBorder="1" applyAlignment="1">
      <alignment horizontal="center" vertical="center" wrapText="1"/>
    </xf>
    <xf numFmtId="0" fontId="25" fillId="0" borderId="123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3" fillId="0" borderId="184" xfId="0" applyFont="1" applyBorder="1" applyAlignment="1">
      <alignment horizontal="center" wrapText="1"/>
    </xf>
    <xf numFmtId="0" fontId="23" fillId="0" borderId="44" xfId="0" applyFont="1" applyBorder="1" applyAlignment="1">
      <alignment horizontal="center" wrapText="1"/>
    </xf>
    <xf numFmtId="0" fontId="25" fillId="2" borderId="101" xfId="0" applyFont="1" applyFill="1" applyBorder="1" applyAlignment="1">
      <alignment horizontal="center" vertical="center" wrapText="1"/>
    </xf>
    <xf numFmtId="0" fontId="7" fillId="0" borderId="17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76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22" fillId="0" borderId="35" xfId="6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20" fillId="19" borderId="35" xfId="4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6" xfId="0" applyFont="1" applyFill="1" applyBorder="1" applyAlignment="1">
      <alignment horizontal="center" vertical="center" wrapText="1"/>
    </xf>
    <xf numFmtId="3" fontId="24" fillId="22" borderId="162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" fontId="25" fillId="22" borderId="97" xfId="0" applyNumberFormat="1" applyFont="1" applyFill="1" applyBorder="1" applyAlignment="1">
      <alignment horizontal="center" vertical="center"/>
    </xf>
    <xf numFmtId="0" fontId="8" fillId="0" borderId="101" xfId="4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3" fontId="24" fillId="22" borderId="97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3" fontId="25" fillId="22" borderId="15" xfId="0" applyNumberFormat="1" applyFont="1" applyFill="1" applyBorder="1" applyAlignment="1">
      <alignment horizontal="center" vertical="center"/>
    </xf>
    <xf numFmtId="0" fontId="25" fillId="2" borderId="88" xfId="0" applyFont="1" applyFill="1" applyBorder="1" applyAlignment="1">
      <alignment horizontal="center" vertical="center" wrapText="1"/>
    </xf>
    <xf numFmtId="0" fontId="6" fillId="0" borderId="101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17" fillId="0" borderId="10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36" fillId="0" borderId="160" xfId="4" applyFont="1" applyFill="1" applyBorder="1" applyAlignment="1">
      <alignment horizontal="center" vertical="center" wrapText="1"/>
    </xf>
    <xf numFmtId="0" fontId="36" fillId="0" borderId="26" xfId="4" applyFont="1" applyFill="1" applyBorder="1" applyAlignment="1">
      <alignment horizontal="center" vertical="center" wrapText="1"/>
    </xf>
    <xf numFmtId="0" fontId="36" fillId="0" borderId="66" xfId="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176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justify" vertical="top" wrapText="1"/>
    </xf>
    <xf numFmtId="3" fontId="0" fillId="0" borderId="26" xfId="0" applyNumberFormat="1" applyFont="1" applyBorder="1" applyAlignment="1">
      <alignment horizontal="justify" vertical="top" wrapText="1"/>
    </xf>
    <xf numFmtId="0" fontId="25" fillId="2" borderId="115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4" xfId="0" applyFont="1" applyFill="1" applyBorder="1" applyAlignment="1">
      <alignment horizontal="center" wrapText="1"/>
    </xf>
    <xf numFmtId="0" fontId="23" fillId="2" borderId="115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43" xfId="0" applyFont="1" applyFill="1" applyBorder="1" applyAlignment="1">
      <alignment horizontal="center" wrapText="1"/>
    </xf>
    <xf numFmtId="3" fontId="25" fillId="22" borderId="120" xfId="0" applyNumberFormat="1" applyFont="1" applyFill="1" applyBorder="1" applyAlignment="1">
      <alignment horizontal="center" vertical="center"/>
    </xf>
    <xf numFmtId="3" fontId="25" fillId="22" borderId="187" xfId="0" applyNumberFormat="1" applyFont="1" applyFill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5" fillId="2" borderId="119" xfId="4" applyNumberFormat="1" applyFont="1" applyFill="1" applyBorder="1" applyAlignment="1">
      <alignment horizontal="center" vertical="center" wrapText="1"/>
    </xf>
    <xf numFmtId="0" fontId="32" fillId="0" borderId="120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3" fontId="25" fillId="2" borderId="174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3" fillId="0" borderId="120" xfId="0" applyFont="1" applyBorder="1" applyAlignment="1">
      <alignment horizontal="center" vertical="center"/>
    </xf>
    <xf numFmtId="3" fontId="25" fillId="25" borderId="104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2" xfId="0" applyNumberFormat="1" applyFont="1" applyFill="1" applyBorder="1" applyAlignment="1">
      <alignment horizontal="center" vertical="center"/>
    </xf>
    <xf numFmtId="3" fontId="25" fillId="2" borderId="120" xfId="4" applyNumberFormat="1" applyFont="1" applyFill="1" applyBorder="1" applyAlignment="1">
      <alignment horizontal="center" vertical="center" wrapText="1"/>
    </xf>
    <xf numFmtId="3" fontId="25" fillId="25" borderId="187" xfId="0" applyNumberFormat="1" applyFont="1" applyFill="1" applyBorder="1" applyAlignment="1">
      <alignment horizontal="center" vertical="center"/>
    </xf>
    <xf numFmtId="0" fontId="21" fillId="0" borderId="184" xfId="0" applyFont="1" applyFill="1" applyBorder="1" applyAlignment="1">
      <alignment horizontal="center" vertical="center" wrapText="1"/>
    </xf>
    <xf numFmtId="0" fontId="0" fillId="0" borderId="41" xfId="0" applyFont="1" applyBorder="1"/>
    <xf numFmtId="3" fontId="25" fillId="25" borderId="120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3" fontId="25" fillId="2" borderId="35" xfId="4" applyNumberFormat="1" applyFont="1" applyFill="1" applyBorder="1" applyAlignment="1">
      <alignment horizontal="center" vertical="center" wrapText="1"/>
    </xf>
    <xf numFmtId="0" fontId="32" fillId="0" borderId="17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19" xfId="4" applyFont="1" applyFill="1" applyBorder="1" applyAlignment="1">
      <alignment horizontal="center" vertical="center"/>
    </xf>
    <xf numFmtId="0" fontId="27" fillId="8" borderId="178" xfId="4" applyFont="1" applyFill="1" applyBorder="1" applyAlignment="1">
      <alignment horizontal="center" vertical="center"/>
    </xf>
    <xf numFmtId="0" fontId="27" fillId="8" borderId="120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3" fontId="25" fillId="23" borderId="120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3" fontId="25" fillId="22" borderId="174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35" xfId="0" applyNumberFormat="1" applyFont="1" applyFill="1" applyBorder="1" applyAlignment="1">
      <alignment horizontal="center" vertical="top"/>
    </xf>
    <xf numFmtId="3" fontId="20" fillId="2" borderId="162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3" fontId="25" fillId="22" borderId="120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5" fillId="2" borderId="12" xfId="4" applyNumberFormat="1" applyFont="1" applyFill="1" applyBorder="1" applyAlignment="1">
      <alignment horizontal="center" vertical="center" wrapText="1"/>
    </xf>
    <xf numFmtId="0" fontId="0" fillId="0" borderId="46" xfId="0" applyFont="1" applyBorder="1"/>
    <xf numFmtId="3" fontId="25" fillId="2" borderId="187" xfId="4" applyNumberFormat="1" applyFont="1" applyFill="1" applyBorder="1" applyAlignment="1">
      <alignment horizontal="center" vertical="center" wrapText="1"/>
    </xf>
    <xf numFmtId="3" fontId="25" fillId="2" borderId="10" xfId="4" applyNumberFormat="1" applyFont="1" applyFill="1" applyBorder="1" applyAlignment="1">
      <alignment horizontal="center" vertical="center" wrapText="1"/>
    </xf>
    <xf numFmtId="3" fontId="25" fillId="2" borderId="72" xfId="4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3" fontId="25" fillId="2" borderId="174" xfId="4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/>
    </xf>
    <xf numFmtId="3" fontId="25" fillId="25" borderId="169" xfId="0" applyNumberFormat="1" applyFont="1" applyFill="1" applyBorder="1" applyAlignment="1">
      <alignment horizontal="center" vertical="center"/>
    </xf>
    <xf numFmtId="3" fontId="25" fillId="25" borderId="27" xfId="0" applyNumberFormat="1" applyFont="1" applyFill="1" applyBorder="1" applyAlignment="1">
      <alignment horizontal="center" vertical="center"/>
    </xf>
    <xf numFmtId="3" fontId="25" fillId="25" borderId="23" xfId="0" applyNumberFormat="1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0" fillId="0" borderId="77" xfId="0" applyFont="1" applyBorder="1"/>
    <xf numFmtId="0" fontId="23" fillId="0" borderId="16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5" fillId="0" borderId="179" xfId="4" applyFont="1" applyFill="1" applyBorder="1" applyAlignment="1">
      <alignment horizontal="center" vertical="center" wrapText="1"/>
    </xf>
    <xf numFmtId="0" fontId="32" fillId="0" borderId="179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3" fontId="24" fillId="34" borderId="163" xfId="4" applyNumberFormat="1" applyFont="1" applyFill="1" applyBorder="1" applyAlignment="1">
      <alignment horizontal="center" vertical="center"/>
    </xf>
    <xf numFmtId="3" fontId="24" fillId="34" borderId="188" xfId="4" applyNumberFormat="1" applyFont="1" applyFill="1" applyBorder="1" applyAlignment="1">
      <alignment horizontal="center" vertical="center"/>
    </xf>
    <xf numFmtId="3" fontId="25" fillId="22" borderId="162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18" fillId="0" borderId="17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18" fillId="0" borderId="173" xfId="4" applyFont="1" applyFill="1" applyBorder="1" applyAlignment="1">
      <alignment horizontal="center" vertical="center" wrapText="1"/>
    </xf>
    <xf numFmtId="0" fontId="24" fillId="2" borderId="179" xfId="4" applyFont="1" applyFill="1" applyBorder="1" applyAlignment="1">
      <alignment horizontal="center" vertical="center" wrapText="1"/>
    </xf>
    <xf numFmtId="0" fontId="24" fillId="2" borderId="179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2" borderId="163" xfId="4" applyNumberFormat="1" applyFont="1" applyFill="1" applyBorder="1" applyAlignment="1">
      <alignment horizontal="center" vertical="center"/>
    </xf>
    <xf numFmtId="0" fontId="18" fillId="0" borderId="64" xfId="4" applyFont="1" applyFill="1" applyBorder="1" applyAlignment="1">
      <alignment horizontal="center" vertical="center" wrapText="1"/>
    </xf>
    <xf numFmtId="0" fontId="25" fillId="2" borderId="112" xfId="4" applyFont="1" applyFill="1" applyBorder="1" applyAlignment="1">
      <alignment horizontal="center" vertical="center" wrapText="1"/>
    </xf>
    <xf numFmtId="0" fontId="0" fillId="0" borderId="112" xfId="0" applyFont="1" applyBorder="1"/>
    <xf numFmtId="0" fontId="32" fillId="0" borderId="112" xfId="0" applyFont="1" applyBorder="1" applyAlignment="1">
      <alignment horizontal="center" vertical="center" wrapText="1"/>
    </xf>
    <xf numFmtId="3" fontId="25" fillId="22" borderId="174" xfId="4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center" vertical="center" wrapText="1"/>
    </xf>
    <xf numFmtId="0" fontId="18" fillId="0" borderId="188" xfId="0" applyFont="1" applyFill="1" applyBorder="1" applyAlignment="1">
      <alignment horizontal="center" vertical="center" wrapText="1"/>
    </xf>
    <xf numFmtId="0" fontId="25" fillId="2" borderId="27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79" xfId="4" applyFont="1" applyFill="1" applyBorder="1" applyAlignment="1">
      <alignment horizontal="center" vertical="center" wrapText="1"/>
    </xf>
    <xf numFmtId="0" fontId="32" fillId="0" borderId="179" xfId="0" applyFont="1" applyBorder="1" applyAlignment="1">
      <alignment horizontal="center" vertical="center" wrapText="1"/>
    </xf>
    <xf numFmtId="0" fontId="0" fillId="0" borderId="181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3" fontId="24" fillId="34" borderId="174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25" xfId="0" applyFont="1" applyBorder="1"/>
    <xf numFmtId="0" fontId="18" fillId="0" borderId="64" xfId="112" applyFont="1" applyFill="1" applyBorder="1" applyAlignment="1">
      <alignment horizontal="center" vertical="center" wrapText="1"/>
    </xf>
    <xf numFmtId="0" fontId="18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3" fontId="24" fillId="26" borderId="120" xfId="4" applyNumberFormat="1" applyFont="1" applyFill="1" applyBorder="1" applyAlignment="1">
      <alignment horizontal="center" vertical="center"/>
    </xf>
    <xf numFmtId="0" fontId="17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22" fillId="0" borderId="184" xfId="112" applyFont="1" applyBorder="1" applyAlignment="1">
      <alignment horizontal="center" vertical="center" wrapText="1"/>
    </xf>
    <xf numFmtId="0" fontId="22" fillId="0" borderId="43" xfId="112" applyFont="1" applyBorder="1" applyAlignment="1">
      <alignment horizontal="center" vertical="center" wrapText="1"/>
    </xf>
    <xf numFmtId="0" fontId="22" fillId="0" borderId="41" xfId="112" applyFont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22" fillId="0" borderId="46" xfId="112" applyFont="1" applyBorder="1" applyAlignment="1">
      <alignment horizontal="center" vertical="center" wrapText="1"/>
    </xf>
    <xf numFmtId="0" fontId="25" fillId="0" borderId="176" xfId="0" applyFont="1" applyFill="1" applyBorder="1" applyAlignment="1">
      <alignment horizontal="center" vertical="center" wrapText="1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2" fontId="4" fillId="0" borderId="25" xfId="112" applyNumberFormat="1" applyFont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7" xfId="4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/>
    </xf>
    <xf numFmtId="3" fontId="25" fillId="28" borderId="174" xfId="0" applyNumberFormat="1" applyFont="1" applyFill="1" applyBorder="1" applyAlignment="1">
      <alignment horizontal="center" vertical="center" wrapText="1"/>
    </xf>
    <xf numFmtId="3" fontId="25" fillId="28" borderId="13" xfId="0" applyNumberFormat="1" applyFont="1" applyFill="1" applyBorder="1" applyAlignment="1">
      <alignment horizontal="center" vertical="center" wrapText="1"/>
    </xf>
    <xf numFmtId="3" fontId="25" fillId="28" borderId="12" xfId="0" applyNumberFormat="1" applyFont="1" applyFill="1" applyBorder="1" applyAlignment="1">
      <alignment horizontal="center" vertical="center" wrapText="1"/>
    </xf>
    <xf numFmtId="3" fontId="25" fillId="28" borderId="39" xfId="0" applyNumberFormat="1" applyFont="1" applyFill="1" applyBorder="1" applyAlignment="1">
      <alignment horizontal="center" vertical="center" wrapText="1"/>
    </xf>
    <xf numFmtId="3" fontId="25" fillId="28" borderId="1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7" fillId="0" borderId="41" xfId="0" applyFont="1" applyFill="1" applyBorder="1" applyAlignment="1">
      <alignment horizontal="center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1" xfId="112" applyFont="1" applyBorder="1" applyAlignment="1">
      <alignment horizontal="center" vertical="center" wrapText="1"/>
    </xf>
    <xf numFmtId="0" fontId="18" fillId="0" borderId="20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3" fontId="31" fillId="23" borderId="163" xfId="4" applyNumberFormat="1" applyFont="1" applyFill="1" applyBorder="1" applyAlignment="1">
      <alignment horizontal="right" vertical="center"/>
    </xf>
    <xf numFmtId="43" fontId="31" fillId="23" borderId="163" xfId="1" applyFont="1" applyFill="1" applyBorder="1" applyAlignment="1">
      <alignment horizontal="right" vertical="center"/>
    </xf>
    <xf numFmtId="3" fontId="31" fillId="25" borderId="186" xfId="0" applyNumberFormat="1" applyFont="1" applyFill="1" applyBorder="1" applyAlignment="1"/>
    <xf numFmtId="43" fontId="31" fillId="0" borderId="12" xfId="1" applyFont="1" applyFill="1" applyBorder="1" applyAlignment="1">
      <alignment vertical="center"/>
    </xf>
    <xf numFmtId="0" fontId="0" fillId="0" borderId="66" xfId="0" applyFont="1" applyBorder="1" applyAlignment="1">
      <alignment horizontal="center" vertical="top" wrapText="1"/>
    </xf>
    <xf numFmtId="0" fontId="0" fillId="0" borderId="84" xfId="0" applyFont="1" applyBorder="1" applyAlignment="1">
      <alignment horizontal="center" vertical="top" wrapText="1"/>
    </xf>
    <xf numFmtId="0" fontId="0" fillId="0" borderId="69" xfId="0" applyFont="1" applyBorder="1" applyAlignment="1">
      <alignment horizontal="center" vertical="top"/>
    </xf>
    <xf numFmtId="0" fontId="0" fillId="0" borderId="38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5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00FF00"/>
      <color rgb="FFFFFF99"/>
      <color rgb="FFFFFF00"/>
      <color rgb="FF66FF66"/>
      <color rgb="FFFF99FF"/>
      <color rgb="FF800000"/>
      <color rgb="FFFF66FF"/>
      <color rgb="FFCCFF3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59</xdr:row>
      <xdr:rowOff>0</xdr:rowOff>
    </xdr:from>
    <xdr:to>
      <xdr:col>17</xdr:col>
      <xdr:colOff>0</xdr:colOff>
      <xdr:row>59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/>
      <sheetData sheetId="5"/>
      <sheetData sheetId="6">
        <row r="35">
          <cell r="G35">
            <v>473192</v>
          </cell>
        </row>
        <row r="54">
          <cell r="G54">
            <v>632415</v>
          </cell>
        </row>
        <row r="66">
          <cell r="G66">
            <v>11970</v>
          </cell>
        </row>
        <row r="77">
          <cell r="G77">
            <v>2200000</v>
          </cell>
        </row>
        <row r="88">
          <cell r="G88">
            <v>0</v>
          </cell>
        </row>
        <row r="115">
          <cell r="G115">
            <v>26461975</v>
          </cell>
        </row>
        <row r="134">
          <cell r="G134">
            <v>369922</v>
          </cell>
        </row>
        <row r="147">
          <cell r="G147">
            <v>9512149</v>
          </cell>
        </row>
        <row r="220">
          <cell r="G220">
            <v>3783593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E88">
            <v>506785256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1146458</v>
          </cell>
        </row>
        <row r="46">
          <cell r="G46">
            <v>535390</v>
          </cell>
        </row>
        <row r="58">
          <cell r="G58">
            <v>403710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05"/>
  <sheetViews>
    <sheetView showGridLines="0" view="pageBreakPreview" zoomScaleNormal="110" zoomScaleSheetLayoutView="100" workbookViewId="0">
      <selection activeCell="A2" sqref="A2"/>
    </sheetView>
  </sheetViews>
  <sheetFormatPr defaultColWidth="9.140625" defaultRowHeight="12.75" outlineLevelCol="1"/>
  <cols>
    <col min="1" max="1" width="49.140625" style="774" customWidth="1"/>
    <col min="2" max="2" width="16" style="775" customWidth="1"/>
    <col min="3" max="3" width="15.85546875" style="775" customWidth="1"/>
    <col min="4" max="8" width="14" style="775" customWidth="1"/>
    <col min="9" max="9" width="14" style="775" hidden="1" customWidth="1"/>
    <col min="10" max="10" width="16.140625" style="774" customWidth="1"/>
    <col min="11" max="11" width="15.5703125" style="777" customWidth="1" outlineLevel="1"/>
    <col min="12" max="12" width="17.28515625" style="777" hidden="1" customWidth="1" outlineLevel="1"/>
    <col min="13" max="13" width="14.7109375" style="774" hidden="1" customWidth="1"/>
    <col min="14" max="14" width="14.28515625" style="774" hidden="1" customWidth="1"/>
    <col min="15" max="15" width="0" style="774" hidden="1" customWidth="1"/>
    <col min="16" max="16" width="15.28515625" style="774" hidden="1" customWidth="1"/>
    <col min="17" max="17" width="14" style="774" hidden="1" customWidth="1"/>
    <col min="18" max="16384" width="9.140625" style="774"/>
  </cols>
  <sheetData>
    <row r="1" spans="1:17" ht="23.25" customHeight="1">
      <c r="A1" s="773"/>
      <c r="D1" s="776"/>
      <c r="F1" s="776"/>
      <c r="G1" s="776"/>
      <c r="H1" s="776"/>
      <c r="I1" s="776"/>
    </row>
    <row r="2" spans="1:17" ht="15">
      <c r="C2" s="779"/>
      <c r="D2" s="779"/>
      <c r="F2" s="779"/>
      <c r="G2" s="779"/>
      <c r="H2" s="776" t="s">
        <v>300</v>
      </c>
      <c r="I2" s="776"/>
      <c r="J2" s="778"/>
    </row>
    <row r="3" spans="1:17" ht="13.5" thickBot="1">
      <c r="B3" s="782"/>
      <c r="C3" s="779"/>
      <c r="D3" s="779"/>
      <c r="E3" s="779"/>
      <c r="F3" s="779"/>
      <c r="G3" s="779"/>
      <c r="H3" s="779"/>
      <c r="I3" s="779"/>
      <c r="J3" s="778"/>
    </row>
    <row r="4" spans="1:17" ht="12.75" customHeight="1">
      <c r="A4" s="775"/>
      <c r="C4" s="262"/>
      <c r="D4" s="262"/>
      <c r="E4" s="262"/>
      <c r="F4" s="262"/>
      <c r="G4" s="262"/>
      <c r="H4" s="262"/>
      <c r="I4" s="262"/>
      <c r="J4" s="3321"/>
      <c r="K4" s="1200"/>
      <c r="L4" s="929"/>
      <c r="M4" s="928"/>
      <c r="N4" s="3215"/>
    </row>
    <row r="5" spans="1:17" ht="72" customHeight="1">
      <c r="A5" s="3359" t="s">
        <v>0</v>
      </c>
      <c r="B5" s="3359"/>
      <c r="C5" s="3359"/>
      <c r="D5" s="3359"/>
      <c r="E5" s="3359"/>
      <c r="F5" s="3359"/>
      <c r="G5" s="3359"/>
      <c r="H5" s="3359"/>
      <c r="I5" s="3359"/>
      <c r="J5" s="3359"/>
      <c r="K5" s="2977"/>
      <c r="L5" s="1200"/>
      <c r="M5" s="775"/>
      <c r="N5" s="3216"/>
    </row>
    <row r="6" spans="1:17" ht="12" customHeight="1">
      <c r="A6" s="780"/>
      <c r="B6" s="780"/>
      <c r="C6" s="1903"/>
      <c r="D6" s="780"/>
      <c r="E6" s="780"/>
      <c r="F6" s="780"/>
      <c r="G6" s="780"/>
      <c r="H6" s="780"/>
      <c r="I6" s="780"/>
      <c r="J6" s="780"/>
      <c r="K6" s="1200"/>
      <c r="L6" s="1200"/>
      <c r="M6" s="775"/>
      <c r="N6" s="3216"/>
    </row>
    <row r="7" spans="1:17" ht="48.75" customHeight="1" thickBot="1">
      <c r="A7" s="3360" t="s">
        <v>1</v>
      </c>
      <c r="B7" s="3360"/>
      <c r="C7" s="3360"/>
      <c r="D7" s="3360"/>
      <c r="E7" s="3360"/>
      <c r="F7" s="3360"/>
      <c r="G7" s="3360"/>
      <c r="H7" s="3360"/>
      <c r="I7" s="3360"/>
      <c r="J7" s="3360"/>
      <c r="K7" s="999"/>
      <c r="L7" s="1200"/>
      <c r="M7" s="775"/>
      <c r="N7" s="3216"/>
    </row>
    <row r="8" spans="1:17" s="775" customFormat="1" ht="24.75" customHeight="1">
      <c r="A8" s="781"/>
      <c r="B8" s="3364" t="s">
        <v>216</v>
      </c>
      <c r="C8" s="3371" t="s">
        <v>542</v>
      </c>
      <c r="D8" s="3349" t="s">
        <v>543</v>
      </c>
      <c r="E8" s="3350"/>
      <c r="F8" s="3350"/>
      <c r="G8" s="3350"/>
      <c r="H8" s="3351"/>
      <c r="I8" s="3368">
        <v>2024</v>
      </c>
      <c r="J8" s="3361" t="s">
        <v>3</v>
      </c>
      <c r="K8" s="3375" t="s">
        <v>539</v>
      </c>
      <c r="L8" s="782"/>
      <c r="N8" s="3216"/>
    </row>
    <row r="9" spans="1:17" ht="27" customHeight="1">
      <c r="A9" s="783" t="s">
        <v>4</v>
      </c>
      <c r="B9" s="3365"/>
      <c r="C9" s="3372"/>
      <c r="D9" s="3352"/>
      <c r="E9" s="3353"/>
      <c r="F9" s="3353"/>
      <c r="G9" s="3353"/>
      <c r="H9" s="3354"/>
      <c r="I9" s="3369"/>
      <c r="J9" s="3362"/>
      <c r="K9" s="3376"/>
      <c r="L9" s="782" t="s">
        <v>2</v>
      </c>
      <c r="M9" s="775"/>
      <c r="N9" s="3216"/>
      <c r="P9" s="774" t="s">
        <v>538</v>
      </c>
    </row>
    <row r="10" spans="1:17" ht="19.5" customHeight="1" thickBot="1">
      <c r="A10" s="783"/>
      <c r="B10" s="784" t="s">
        <v>541</v>
      </c>
      <c r="C10" s="785" t="s">
        <v>5</v>
      </c>
      <c r="D10" s="785" t="s">
        <v>169</v>
      </c>
      <c r="E10" s="785" t="s">
        <v>170</v>
      </c>
      <c r="F10" s="785" t="s">
        <v>210</v>
      </c>
      <c r="G10" s="785" t="s">
        <v>211</v>
      </c>
      <c r="H10" s="3217" t="s">
        <v>209</v>
      </c>
      <c r="I10" s="3370"/>
      <c r="J10" s="3363"/>
      <c r="K10" s="3376"/>
      <c r="L10" s="266"/>
      <c r="M10" s="782"/>
      <c r="N10" s="3216"/>
    </row>
    <row r="11" spans="1:17" ht="13.5" customHeight="1" thickBot="1">
      <c r="A11" s="787">
        <v>1</v>
      </c>
      <c r="B11" s="788">
        <v>2</v>
      </c>
      <c r="C11" s="788">
        <v>3</v>
      </c>
      <c r="D11" s="789">
        <v>4</v>
      </c>
      <c r="E11" s="790">
        <v>5</v>
      </c>
      <c r="F11" s="791">
        <v>6</v>
      </c>
      <c r="G11" s="788">
        <v>7</v>
      </c>
      <c r="H11" s="791">
        <v>8</v>
      </c>
      <c r="I11" s="2992"/>
      <c r="J11" s="1382">
        <v>9</v>
      </c>
      <c r="K11" s="792">
        <v>10</v>
      </c>
      <c r="L11" s="1200"/>
      <c r="M11" s="3373" t="s">
        <v>40</v>
      </c>
      <c r="N11" s="3374"/>
    </row>
    <row r="12" spans="1:17" s="796" customFormat="1" ht="18.75" customHeight="1">
      <c r="A12" s="793" t="s">
        <v>6</v>
      </c>
      <c r="B12" s="794">
        <f>+B13+B14</f>
        <v>362967070</v>
      </c>
      <c r="C12" s="794">
        <f t="shared" ref="C12" si="0">+C13+C14</f>
        <v>433730114</v>
      </c>
      <c r="D12" s="794">
        <f t="shared" ref="D12:H12" si="1">+D13+D14</f>
        <v>374634479</v>
      </c>
      <c r="E12" s="794">
        <f t="shared" si="1"/>
        <v>327014229</v>
      </c>
      <c r="F12" s="794">
        <f t="shared" si="1"/>
        <v>127517730</v>
      </c>
      <c r="G12" s="794">
        <f t="shared" si="1"/>
        <v>39006835</v>
      </c>
      <c r="H12" s="794">
        <f t="shared" si="1"/>
        <v>35964179</v>
      </c>
      <c r="I12" s="794">
        <f>+I13+I14</f>
        <v>0</v>
      </c>
      <c r="J12" s="1383">
        <f>+J13+J14</f>
        <v>1700834636</v>
      </c>
      <c r="K12" s="795">
        <f>+K13+K14</f>
        <v>904137452</v>
      </c>
      <c r="L12" s="2993">
        <f>J12-B12-I12-C12-D12-E12-F12-G12-H12</f>
        <v>0</v>
      </c>
      <c r="M12" s="368">
        <f t="shared" ref="M12:M26" si="2">+I12+C12+D12+E12+F12+G12+H12+B12</f>
        <v>1700834636</v>
      </c>
      <c r="N12" s="3218">
        <f t="shared" ref="N12:N26" si="3">J12-M12</f>
        <v>0</v>
      </c>
      <c r="P12" s="2676">
        <v>898829129</v>
      </c>
      <c r="Q12" s="2676">
        <f>K12-P12</f>
        <v>5308323</v>
      </c>
    </row>
    <row r="13" spans="1:17" s="796" customFormat="1" ht="17.25" customHeight="1">
      <c r="A13" s="797" t="s">
        <v>7</v>
      </c>
      <c r="B13" s="798">
        <f>+'Tab. 6B Polit społ i rozwój prz'!E8+'Tab. 6D - Oświata'!E10+'Tab. 6A -Drogi'!E9+'Tab. 6E - Administracja'!E10+'Tab. 6G - Roln i ochrona środ.'!E9+'Tab. 6H - Kultura fiz. i turyst'!E8+'Tab.6I - Planow. przestrz.'!E9+'Tab. 6C - Ochrona zdrowia'!E7</f>
        <v>92231709</v>
      </c>
      <c r="C13" s="798">
        <f>+'Tab. 6B Polit społ i rozwój prz'!F8+'Tab. 6D - Oświata'!F10+'Tab. 6A -Drogi'!F9+'Tab. 6E - Administracja'!F10+'Tab. 6G - Roln i ochrona środ.'!F9+'Tab. 6H - Kultura fiz. i turyst'!F8+'Tab.6I - Planow. przestrz.'!F9+'Tab. 6C - Ochrona zdrowia'!F7</f>
        <v>68741222</v>
      </c>
      <c r="D13" s="798">
        <f>+'Tab. 6B Polit społ i rozwój prz'!G8+'Tab. 6D - Oświata'!G10+'Tab. 6A -Drogi'!G9+'Tab. 6E - Administracja'!G10+'Tab. 6G - Roln i ochrona środ.'!G9+'Tab. 6H - Kultura fiz. i turyst'!G8+'Tab.6I - Planow. przestrz.'!G9+'Tab. 6C - Ochrona zdrowia'!G7</f>
        <v>80510723</v>
      </c>
      <c r="E13" s="798">
        <f>+'Tab. 6B Polit społ i rozwój prz'!H8+'Tab. 6D - Oświata'!H10+'Tab. 6A -Drogi'!H9+'Tab. 6E - Administracja'!H10+'Tab. 6G - Roln i ochrona środ.'!H9+'Tab. 6H - Kultura fiz. i turyst'!H8+'Tab.6I - Planow. przestrz.'!H9+'Tab. 6C - Ochrona zdrowia'!H7</f>
        <v>64708428</v>
      </c>
      <c r="F13" s="798">
        <f>+'Tab. 6B Polit społ i rozwój prz'!I8+'Tab. 6D - Oświata'!I10+'Tab. 6A -Drogi'!I9+'Tab. 6E - Administracja'!I10+'Tab. 6G - Roln i ochrona środ.'!I9+'Tab. 6H - Kultura fiz. i turyst'!I8+'Tab.6I - Planow. przestrz.'!I9+'Tab. 6C - Ochrona zdrowia'!I7</f>
        <v>43469276</v>
      </c>
      <c r="G13" s="798">
        <f>+'Tab. 6B Polit społ i rozwój prz'!J8+'Tab. 6D - Oświata'!J10+'Tab. 6A -Drogi'!J9+'Tab. 6E - Administracja'!J10+'Tab. 6G - Roln i ochrona środ.'!J9+'Tab. 6H - Kultura fiz. i turyst'!J8+'Tab.6I - Planow. przestrz.'!J9+'Tab. 6C - Ochrona zdrowia'!J7</f>
        <v>38806835</v>
      </c>
      <c r="H13" s="798">
        <f>+'Tab. 6B Polit społ i rozwój prz'!K8+'Tab. 6D - Oświata'!K10+'Tab. 6A -Drogi'!K9+'Tab. 6E - Administracja'!K10+'Tab. 6G - Roln i ochrona środ.'!K9+'Tab. 6H - Kultura fiz. i turyst'!K8+'Tab.6I - Planow. przestrz.'!K9+'Tab. 6C - Ochrona zdrowia'!K7</f>
        <v>35819679</v>
      </c>
      <c r="I13" s="2994">
        <f>+'Tab. 6B Polit społ i rozwój prz'!L8+'Tab. 6D - Oświata'!L10+'Tab. 6A -Drogi'!L9+'Tab. 6E - Administracja'!L10+'Tab. 6G - Roln i ochrona środ.'!L9+'Tab. 6H - Kultura fiz. i turyst'!L8+'Tab.6I - Planow. przestrz.'!L9</f>
        <v>0</v>
      </c>
      <c r="J13" s="1384">
        <f>'Tab. 6A -Drogi'!D9+'Tab. 6B Polit społ i rozwój prz'!D8+'Tab. 6D - Oświata'!D10+'Tab. 6E - Administracja'!D10+'Tab. 6G - Roln i ochrona środ.'!D9+'Tab. 6H - Kultura fiz. i turyst'!D8+'Tab.6I - Planow. przestrz.'!D9+'Tab. 6C - Ochrona zdrowia'!D7</f>
        <v>424287872</v>
      </c>
      <c r="K13" s="956">
        <f>SUM(D13:H13)</f>
        <v>263314941</v>
      </c>
      <c r="L13" s="2993">
        <f>J13-B13-I13-C13-D13-E13-F13-G13-H13</f>
        <v>0</v>
      </c>
      <c r="M13" s="368">
        <f t="shared" si="2"/>
        <v>424287872</v>
      </c>
      <c r="N13" s="3219">
        <f t="shared" si="3"/>
        <v>0</v>
      </c>
      <c r="P13" s="2676">
        <v>263278060</v>
      </c>
      <c r="Q13" s="2676">
        <f t="shared" ref="Q13:Q26" si="4">K13-P13</f>
        <v>36881</v>
      </c>
    </row>
    <row r="14" spans="1:17" s="796" customFormat="1" ht="17.25" customHeight="1" thickBot="1">
      <c r="A14" s="800" t="s">
        <v>8</v>
      </c>
      <c r="B14" s="801">
        <f>+'Tab. 6D - Oświata'!E11+'Tab. 6A -Drogi'!E10+'Tab. 6E - Administracja'!E11+'Tab. 6G - Roln i ochrona środ.'!E10+'Tab. 6H - Kultura fiz. i turyst'!E9+'Tab. 6B Polit społ i rozwój prz'!E9+'Tab.6I - Planow. przestrz.'!E10</f>
        <v>270735361</v>
      </c>
      <c r="C14" s="801">
        <f>+'Tab. 6D - Oświata'!F11+'Tab. 6A -Drogi'!F10+'Tab. 6E - Administracja'!F11+'Tab. 6G - Roln i ochrona środ.'!F10+'Tab. 6H - Kultura fiz. i turyst'!F9+'Tab. 6B Polit społ i rozwój prz'!F9+'Tab.6I - Planow. przestrz.'!F10+'Tab. 6C - Ochrona zdrowia'!F8</f>
        <v>364988892</v>
      </c>
      <c r="D14" s="801">
        <f>+'Tab. 6D - Oświata'!G11+'Tab. 6A -Drogi'!G10+'Tab. 6E - Administracja'!G11+'Tab. 6G - Roln i ochrona środ.'!G10+'Tab. 6H - Kultura fiz. i turyst'!G9+'Tab. 6B Polit społ i rozwój prz'!G9+'Tab.6I - Planow. przestrz.'!G10+'Tab. 6C - Ochrona zdrowia'!G8</f>
        <v>294123756</v>
      </c>
      <c r="E14" s="801">
        <f>+'Tab. 6D - Oświata'!H11+'Tab. 6A -Drogi'!H10+'Tab. 6E - Administracja'!H11+'Tab. 6G - Roln i ochrona środ.'!H10+'Tab. 6H - Kultura fiz. i turyst'!H9+'Tab. 6B Polit społ i rozwój prz'!H9+'Tab.6I - Planow. przestrz.'!H10+'Tab. 6C - Ochrona zdrowia'!H8</f>
        <v>262305801</v>
      </c>
      <c r="F14" s="801">
        <f>+'Tab. 6D - Oświata'!I11+'Tab. 6A -Drogi'!I10+'Tab. 6E - Administracja'!I11+'Tab. 6G - Roln i ochrona środ.'!I10+'Tab. 6H - Kultura fiz. i turyst'!I9+'Tab. 6B Polit społ i rozwój prz'!I9+'Tab.6I - Planow. przestrz.'!I10+'Tab. 6C - Ochrona zdrowia'!I8</f>
        <v>84048454</v>
      </c>
      <c r="G14" s="801">
        <f>+'Tab. 6D - Oświata'!J11+'Tab. 6A -Drogi'!J10+'Tab. 6E - Administracja'!J11+'Tab. 6G - Roln i ochrona środ.'!J10+'Tab. 6H - Kultura fiz. i turyst'!J9+'Tab. 6B Polit społ i rozwój prz'!J9+'Tab.6I - Planow. przestrz.'!J10+'Tab. 6C - Ochrona zdrowia'!J8</f>
        <v>200000</v>
      </c>
      <c r="H14" s="801">
        <f>+'Tab. 6D - Oświata'!K11+'Tab. 6A -Drogi'!K10+'Tab. 6E - Administracja'!K11+'Tab. 6G - Roln i ochrona środ.'!K10+'Tab. 6H - Kultura fiz. i turyst'!K9+'Tab. 6B Polit społ i rozwój prz'!K9+'Tab.6I - Planow. przestrz.'!K10+'Tab. 6C - Ochrona zdrowia'!K8</f>
        <v>144500</v>
      </c>
      <c r="I14" s="2995">
        <f>+'Tab. 6D - Oświata'!L11+'Tab. 6A -Drogi'!L10+'Tab. 6E - Administracja'!L11+'Tab. 6G - Roln i ochrona środ.'!L10+'Tab. 6H - Kultura fiz. i turyst'!L9+'Tab. 6B Polit społ i rozwój prz'!L9+'Tab.6I - Planow. przestrz.'!L10</f>
        <v>0</v>
      </c>
      <c r="J14" s="1385">
        <f>'Tab. 6A -Drogi'!D10+'Tab. 6B Polit społ i rozwój prz'!D9+'Tab. 6D - Oświata'!D11+'Tab. 6E - Administracja'!D11+'Tab. 6G - Roln i ochrona środ.'!D10+'Tab. 6H - Kultura fiz. i turyst'!D9+'Tab.6I - Planow. przestrz.'!D10+'Tab. 6C - Ochrona zdrowia'!D8</f>
        <v>1276546764</v>
      </c>
      <c r="K14" s="957">
        <f>SUM(D14:H14)</f>
        <v>640822511</v>
      </c>
      <c r="L14" s="2993">
        <f>J14-B14-I14-C14-D14-E14-F14-G14-H14</f>
        <v>0</v>
      </c>
      <c r="M14" s="368">
        <f t="shared" si="2"/>
        <v>1276546764</v>
      </c>
      <c r="N14" s="3219">
        <f t="shared" si="3"/>
        <v>0</v>
      </c>
      <c r="P14" s="2676">
        <v>635551069</v>
      </c>
      <c r="Q14" s="2676">
        <f t="shared" si="4"/>
        <v>5271442</v>
      </c>
    </row>
    <row r="15" spans="1:17" s="369" customFormat="1">
      <c r="A15" s="802"/>
      <c r="B15" s="803"/>
      <c r="C15" s="803"/>
      <c r="D15" s="803"/>
      <c r="E15" s="803"/>
      <c r="F15" s="803"/>
      <c r="G15" s="803"/>
      <c r="H15" s="803"/>
      <c r="I15" s="803"/>
      <c r="J15" s="803"/>
      <c r="K15" s="1395"/>
      <c r="L15" s="815"/>
      <c r="M15" s="368">
        <f t="shared" si="2"/>
        <v>0</v>
      </c>
      <c r="N15" s="3219">
        <f t="shared" si="3"/>
        <v>0</v>
      </c>
      <c r="P15" s="2676">
        <v>0</v>
      </c>
      <c r="Q15" s="2676">
        <f t="shared" si="4"/>
        <v>0</v>
      </c>
    </row>
    <row r="16" spans="1:17" s="804" customFormat="1" ht="18" customHeight="1">
      <c r="A16" s="3220" t="s">
        <v>9</v>
      </c>
      <c r="B16" s="3221">
        <f t="shared" ref="B16:K16" si="5">+B17+B24</f>
        <v>363748065.30000001</v>
      </c>
      <c r="C16" s="3221">
        <f t="shared" si="5"/>
        <v>434517940</v>
      </c>
      <c r="D16" s="3221">
        <f t="shared" si="5"/>
        <v>375749475</v>
      </c>
      <c r="E16" s="3221">
        <f t="shared" si="5"/>
        <v>327349703</v>
      </c>
      <c r="F16" s="3221">
        <f t="shared" si="5"/>
        <v>127581749</v>
      </c>
      <c r="G16" s="3221">
        <f t="shared" si="5"/>
        <v>39070853</v>
      </c>
      <c r="H16" s="3221">
        <f t="shared" si="5"/>
        <v>36028197</v>
      </c>
      <c r="I16" s="3221">
        <f>+I17+I24</f>
        <v>0</v>
      </c>
      <c r="J16" s="1386">
        <f t="shared" si="5"/>
        <v>1704045982.3</v>
      </c>
      <c r="K16" s="3222">
        <f t="shared" si="5"/>
        <v>904137452</v>
      </c>
      <c r="L16" s="2852"/>
      <c r="M16" s="368">
        <f t="shared" si="2"/>
        <v>1704045982.3</v>
      </c>
      <c r="N16" s="3219">
        <f t="shared" si="3"/>
        <v>0</v>
      </c>
      <c r="P16" s="2676">
        <f>898041303+C23</f>
        <v>898829129</v>
      </c>
      <c r="Q16" s="2676">
        <f t="shared" si="4"/>
        <v>5308323</v>
      </c>
    </row>
    <row r="17" spans="1:17" s="808" customFormat="1" ht="17.25" customHeight="1">
      <c r="A17" s="805" t="s">
        <v>10</v>
      </c>
      <c r="B17" s="806">
        <f t="shared" ref="B17:H17" si="6">SUM(B18:B23)</f>
        <v>66962901.299999997</v>
      </c>
      <c r="C17" s="806">
        <f t="shared" si="6"/>
        <v>73585104</v>
      </c>
      <c r="D17" s="806">
        <f>SUM(D18:D23)</f>
        <v>82746776</v>
      </c>
      <c r="E17" s="806">
        <f t="shared" si="6"/>
        <v>59654424</v>
      </c>
      <c r="F17" s="806">
        <f>SUM(F18:F23)</f>
        <v>26843109</v>
      </c>
      <c r="G17" s="806">
        <f>SUM(G18:G23)</f>
        <v>5332165</v>
      </c>
      <c r="H17" s="806">
        <f t="shared" si="6"/>
        <v>5072234</v>
      </c>
      <c r="I17" s="806">
        <f>SUM(I18:I23)</f>
        <v>0</v>
      </c>
      <c r="J17" s="1387">
        <f>SUM(J18:J23)</f>
        <v>320196713.30000001</v>
      </c>
      <c r="K17" s="807">
        <f>SUM(K18:K23)</f>
        <v>178006183</v>
      </c>
      <c r="L17" s="2852"/>
      <c r="M17" s="368">
        <f t="shared" si="2"/>
        <v>320196713.30000001</v>
      </c>
      <c r="N17" s="3219">
        <f t="shared" si="3"/>
        <v>0</v>
      </c>
      <c r="P17" s="2676">
        <f>175795075+C23</f>
        <v>176582901</v>
      </c>
      <c r="Q17" s="2676">
        <f t="shared" si="4"/>
        <v>1423282</v>
      </c>
    </row>
    <row r="18" spans="1:17" s="369" customFormat="1" ht="14.25" customHeight="1">
      <c r="A18" s="809" t="s">
        <v>11</v>
      </c>
      <c r="B18" s="810">
        <f>+'Tab. 6B Polit społ i rozwój prz'!E12+'Tab. 6D - Oświata'!E14+'Tab. 6A -Drogi'!E13+'Tab. 6E - Administracja'!E14+'Tab. 6G - Roln i ochrona środ.'!E13+'Tab. 6H - Kultura fiz. i turyst'!E12+'Tab.6I - Planow. przestrz.'!E13+0.3</f>
        <v>49532895.299999997</v>
      </c>
      <c r="C18" s="810">
        <f>+'Tab. 6B Polit społ i rozwój prz'!F12+'Tab. 6D - Oświata'!F14+'Tab. 6A -Drogi'!F13+'Tab. 6E - Administracja'!F14+'Tab. 6G - Roln i ochrona środ.'!F13+'Tab. 6H - Kultura fiz. i turyst'!F12+'Tab.6I - Planow. przestrz.'!F13+'Tab. 6C - Ochrona zdrowia'!F11</f>
        <v>49118501</v>
      </c>
      <c r="D18" s="810">
        <f>+'Tab. 6B Polit społ i rozwój prz'!G12+'Tab. 6D - Oświata'!G14+'Tab. 6A -Drogi'!G13+'Tab. 6E - Administracja'!G14+'Tab. 6G - Roln i ochrona środ.'!G13+'Tab. 6H - Kultura fiz. i turyst'!G12+'Tab.6I - Planow. przestrz.'!G13+'Tab. 6C - Ochrona zdrowia'!G11</f>
        <v>69705972</v>
      </c>
      <c r="E18" s="810">
        <f>+'Tab. 6B Polit społ i rozwój prz'!H12+'Tab. 6D - Oświata'!H14+'Tab. 6A -Drogi'!H13+'Tab. 6E - Administracja'!H14+'Tab. 6G - Roln i ochrona środ.'!H13+'Tab. 6H - Kultura fiz. i turyst'!H12+'Tab.6I - Planow. przestrz.'!H13+'Tab. 6C - Ochrona zdrowia'!H11</f>
        <v>50854853</v>
      </c>
      <c r="F18" s="810">
        <f>+'Tab. 6B Polit społ i rozwój prz'!I12+'Tab. 6D - Oświata'!I14+'Tab. 6A -Drogi'!I13+'Tab. 6E - Administracja'!I14+'Tab. 6G - Roln i ochrona środ.'!I13+'Tab. 6H - Kultura fiz. i turyst'!I12+'Tab.6I - Planow. przestrz.'!I13+'Tab. 6C - Ochrona zdrowia'!I11</f>
        <v>24817617</v>
      </c>
      <c r="G18" s="810">
        <f>+'Tab. 6B Polit społ i rozwój prz'!J12+'Tab. 6D - Oświata'!J14+'Tab. 6A -Drogi'!J13+'Tab. 6E - Administracja'!J14+'Tab. 6G - Roln i ochrona środ.'!J13+'Tab. 6H - Kultura fiz. i turyst'!J12+'Tab.6I - Planow. przestrz.'!J13+'Tab. 6C - Ochrona zdrowia'!J11</f>
        <v>4601835</v>
      </c>
      <c r="H18" s="810">
        <f>+'Tab. 6B Polit społ i rozwój prz'!K12+'Tab. 6D - Oświata'!K14+'Tab. 6A -Drogi'!K13+'Tab. 6E - Administracja'!K14+'Tab. 6G - Roln i ochrona środ.'!K13+'Tab. 6H - Kultura fiz. i turyst'!K12+'Tab.6I - Planow. przestrz.'!K13+'Tab. 6C - Ochrona zdrowia'!K11</f>
        <v>4367630</v>
      </c>
      <c r="I18" s="810">
        <f>+'Tab. 6B Polit społ i rozwój prz'!L12+'Tab. 6D - Oświata'!L14+'Tab. 6A -Drogi'!L13+'Tab. 6E - Administracja'!L14+'Tab. 6G - Roln i ochrona środ.'!L13+'Tab. 6H - Kultura fiz. i turyst'!L12+'Tab.6I - Planow. przestrz.'!L13</f>
        <v>0</v>
      </c>
      <c r="J18" s="1388">
        <f t="shared" ref="J18:J23" si="7">B18+I18+C18+D18+E18+F18+G18+H18</f>
        <v>252999303.30000001</v>
      </c>
      <c r="K18" s="799">
        <f>SUM(D18:H18)</f>
        <v>154347907</v>
      </c>
      <c r="L18" s="2852"/>
      <c r="M18" s="368">
        <f t="shared" si="2"/>
        <v>252999303.30000001</v>
      </c>
      <c r="N18" s="3219">
        <f t="shared" si="3"/>
        <v>0</v>
      </c>
      <c r="P18" s="2676">
        <v>152920631</v>
      </c>
      <c r="Q18" s="2676">
        <f t="shared" si="4"/>
        <v>1427276</v>
      </c>
    </row>
    <row r="19" spans="1:17" s="369" customFormat="1" ht="15.75" customHeight="1">
      <c r="A19" s="3223" t="s">
        <v>12</v>
      </c>
      <c r="B19" s="810">
        <f>+'Tab. 6B Polit społ i rozwój prz'!E13+'Tab. 6A -Drogi'!E14+'Tab. 6E - Administracja'!E15+'Tab. 6G - Roln i ochrona środ.'!E14+'Tab.6I - Planow. przestrz.'!E14</f>
        <v>5035119</v>
      </c>
      <c r="C19" s="810">
        <f>+'Tab. 6B Polit społ i rozwój prz'!F13+'Tab. 6A -Drogi'!F14+'Tab. 6E - Administracja'!F15+'Tab. 6G - Roln i ochrona środ.'!F14+'Tab.6I - Planow. przestrz.'!F14+'Tab. 6D - Oświata'!F15</f>
        <v>3660447</v>
      </c>
      <c r="D19" s="810">
        <f>+'Tab. 6B Polit społ i rozwój prz'!G13+'Tab. 6A -Drogi'!G14+'Tab. 6E - Administracja'!G15+'Tab. 6G - Roln i ochrona środ.'!G14+'Tab.6I - Planow. przestrz.'!G14+'Tab. 6D - Oświata'!G15</f>
        <v>4578989</v>
      </c>
      <c r="E19" s="810">
        <f>+'Tab. 6B Polit społ i rozwój prz'!H13+'Tab. 6A -Drogi'!H14+'Tab. 6E - Administracja'!H15+'Tab. 6G - Roln i ochrona środ.'!H14+'Tab.6I - Planow. przestrz.'!H14</f>
        <v>3882448</v>
      </c>
      <c r="F19" s="810">
        <f>+'Tab. 6B Polit społ i rozwój prz'!I13+'Tab. 6A -Drogi'!I14+'Tab. 6E - Administracja'!I15+'Tab. 6G - Roln i ochrona środ.'!I14+'Tab.6I - Planow. przestrz.'!I14</f>
        <v>1075392</v>
      </c>
      <c r="G19" s="810">
        <f>+'Tab. 6B Polit społ i rozwój prz'!J13+'Tab. 6A -Drogi'!J14+'Tab. 6E - Administracja'!J15+'Tab. 6G - Roln i ochrona środ.'!J14+'Tab.6I - Planow. przestrz.'!J14</f>
        <v>666312</v>
      </c>
      <c r="H19" s="810">
        <f>+'Tab. 6B Polit społ i rozwój prz'!K13+'Tab. 6A -Drogi'!K14+'Tab. 6E - Administracja'!K15+'Tab. 6G - Roln i ochrona środ.'!K14+'Tab.6I - Planow. przestrz.'!K14</f>
        <v>640586</v>
      </c>
      <c r="I19" s="810">
        <f>+'Tab. 6B Polit społ i rozwój prz'!L13+'Tab. 6A -Drogi'!L14+'Tab. 6E - Administracja'!L15+'Tab. 6G - Roln i ochrona środ.'!L14+'Tab.6I - Planow. przestrz.'!L14</f>
        <v>0</v>
      </c>
      <c r="J19" s="1388">
        <f t="shared" si="7"/>
        <v>19539293</v>
      </c>
      <c r="K19" s="799">
        <f>SUM(D19:H19)</f>
        <v>10843727</v>
      </c>
      <c r="L19" s="2852"/>
      <c r="M19" s="368">
        <f t="shared" si="2"/>
        <v>19539293</v>
      </c>
      <c r="N19" s="3219">
        <f t="shared" si="3"/>
        <v>0</v>
      </c>
      <c r="P19" s="2676">
        <v>10847721</v>
      </c>
      <c r="Q19" s="2676">
        <f t="shared" si="4"/>
        <v>-3994</v>
      </c>
    </row>
    <row r="20" spans="1:17" s="369" customFormat="1" ht="15.75" customHeight="1">
      <c r="A20" s="3223" t="s">
        <v>14</v>
      </c>
      <c r="B20" s="3224">
        <f>+'Tab. 6A -Drogi'!E15+'Tab. 6H - Kultura fiz. i turyst'!E14</f>
        <v>11613892</v>
      </c>
      <c r="C20" s="810">
        <f>+'Tab. 6A -Drogi'!F15+'Tab. 6H - Kultura fiz. i turyst'!F14</f>
        <v>6828572</v>
      </c>
      <c r="D20" s="810">
        <f>+'Tab. 6A -Drogi'!G15+'Tab. 6H - Kultura fiz. i turyst'!G14</f>
        <v>4157433</v>
      </c>
      <c r="E20" s="3225">
        <f>+'Tab. 6A -Drogi'!H15+'Tab. 6H - Kultura fiz. i turyst'!H14</f>
        <v>0</v>
      </c>
      <c r="F20" s="3225">
        <f>+'Tab. 6A -Drogi'!I15+'Tab. 6H - Kultura fiz. i turyst'!I14</f>
        <v>0</v>
      </c>
      <c r="G20" s="3225">
        <f>+'Tab. 6A -Drogi'!J15+'Tab. 6H - Kultura fiz. i turyst'!J14</f>
        <v>0</v>
      </c>
      <c r="H20" s="3225">
        <f>+'Tab. 6A -Drogi'!K15+'Tab. 6H - Kultura fiz. i turyst'!K14</f>
        <v>0</v>
      </c>
      <c r="I20" s="810">
        <f>+'Tab. 6A -Drogi'!L15+'Tab. 6H - Kultura fiz. i turyst'!L14</f>
        <v>0</v>
      </c>
      <c r="J20" s="1388">
        <f t="shared" si="7"/>
        <v>22599897</v>
      </c>
      <c r="K20" s="799">
        <f>SUM(D20:H20)</f>
        <v>4157433</v>
      </c>
      <c r="L20" s="2852"/>
      <c r="M20" s="368">
        <f t="shared" si="2"/>
        <v>22599897</v>
      </c>
      <c r="N20" s="3219">
        <f t="shared" si="3"/>
        <v>0</v>
      </c>
      <c r="P20" s="2676">
        <v>4157433</v>
      </c>
      <c r="Q20" s="2676">
        <f t="shared" si="4"/>
        <v>0</v>
      </c>
    </row>
    <row r="21" spans="1:17" s="369" customFormat="1" ht="15.75" customHeight="1">
      <c r="A21" s="3223" t="s">
        <v>15</v>
      </c>
      <c r="B21" s="3225">
        <f>+'Tab. 6A -Drogi'!E16+'Tab. 6G - Roln i ochrona środ.'!E15+'Tab. 6E - Administracja'!E16+'Tab. 6H - Kultura fiz. i turyst'!E13</f>
        <v>0</v>
      </c>
      <c r="C21" s="3226">
        <f>+'Tab. 6A -Drogi'!F16+'Tab. 6G - Roln i ochrona środ.'!F15+'Tab. 6E - Administracja'!F16+'Tab. 6H - Kultura fiz. i turyst'!F13</f>
        <v>320000</v>
      </c>
      <c r="D21" s="3225">
        <f>+'Tab. 6A -Drogi'!G16+'Tab. 6G - Roln i ochrona środ.'!G15+'Tab. 6E - Administracja'!G16+'Tab. 6H - Kultura fiz. i turyst'!G13</f>
        <v>0</v>
      </c>
      <c r="E21" s="3225">
        <f>+'Tab. 6A -Drogi'!H16+'Tab. 6G - Roln i ochrona środ.'!H15+'Tab. 6E - Administracja'!H16+'Tab. 6H - Kultura fiz. i turyst'!H13</f>
        <v>0</v>
      </c>
      <c r="F21" s="3225">
        <f>+'Tab. 6A -Drogi'!I16+'Tab. 6G - Roln i ochrona środ.'!I15+'Tab. 6E - Administracja'!I16+'Tab. 6H - Kultura fiz. i turyst'!I13</f>
        <v>0</v>
      </c>
      <c r="G21" s="3225">
        <f>+'Tab. 6A -Drogi'!J16+'Tab. 6G - Roln i ochrona środ.'!J15+'Tab. 6E - Administracja'!J16+'Tab. 6H - Kultura fiz. i turyst'!J13</f>
        <v>0</v>
      </c>
      <c r="H21" s="3225">
        <f>+'Tab. 6A -Drogi'!K16+'Tab. 6G - Roln i ochrona środ.'!K15+'Tab. 6E - Administracja'!K16+'Tab. 6H - Kultura fiz. i turyst'!K13</f>
        <v>0</v>
      </c>
      <c r="I21" s="3226">
        <f>+'Tab. 6A -Drogi'!L16+'Tab. 6G - Roln i ochrona środ.'!L15+'Tab. 6E - Administracja'!L16+'Tab. 6H - Kultura fiz. i turyst'!L13</f>
        <v>0</v>
      </c>
      <c r="J21" s="1388">
        <f t="shared" si="7"/>
        <v>320000</v>
      </c>
      <c r="K21" s="799">
        <f>SUM(D21:H21)</f>
        <v>0</v>
      </c>
      <c r="L21" s="2852"/>
      <c r="M21" s="368">
        <f t="shared" si="2"/>
        <v>320000</v>
      </c>
      <c r="N21" s="3219">
        <f t="shared" si="3"/>
        <v>0</v>
      </c>
      <c r="P21" s="2676">
        <v>0</v>
      </c>
      <c r="Q21" s="2676">
        <f t="shared" si="4"/>
        <v>0</v>
      </c>
    </row>
    <row r="22" spans="1:17" s="369" customFormat="1" ht="15.75" customHeight="1">
      <c r="A22" s="3223" t="s">
        <v>16</v>
      </c>
      <c r="B22" s="3225">
        <f>+'Tab. 6A -Drogi'!E17</f>
        <v>0</v>
      </c>
      <c r="C22" s="3226">
        <f>+'Tab. 6A -Drogi'!F17+'Tab. 6C - Ochrona zdrowia'!F13+'Tab.6I - Planow. przestrz.'!F15</f>
        <v>12869758</v>
      </c>
      <c r="D22" s="3226">
        <f>+'Tab. 6A -Drogi'!G17+'Tab. 6C - Ochrona zdrowia'!G13+'Tab.6I - Planow. przestrz.'!G15</f>
        <v>3189386</v>
      </c>
      <c r="E22" s="3226">
        <f>+'Tab. 6A -Drogi'!H17+'Tab. 6C - Ochrona zdrowia'!H13+'Tab.6I - Planow. przestrz.'!H15</f>
        <v>4581649</v>
      </c>
      <c r="F22" s="3226">
        <f>+'Tab. 6A -Drogi'!I17+'Tab. 6C - Ochrona zdrowia'!I13+'Tab.6I - Planow. przestrz.'!I15</f>
        <v>886081</v>
      </c>
      <c r="G22" s="3226">
        <f>+'Tab. 6A -Drogi'!J17+'Tab. 6C - Ochrona zdrowia'!J13+'Tab.6I - Planow. przestrz.'!J15</f>
        <v>0</v>
      </c>
      <c r="H22" s="3226">
        <f>+'Tab. 6A -Drogi'!K17+'Tab. 6C - Ochrona zdrowia'!K13+'Tab.6I - Planow. przestrz.'!K15</f>
        <v>0</v>
      </c>
      <c r="I22" s="3227">
        <f>+'Tab. 6A -Drogi'!L17</f>
        <v>0</v>
      </c>
      <c r="J22" s="1388">
        <f t="shared" si="7"/>
        <v>21526874</v>
      </c>
      <c r="K22" s="799">
        <f>SUM(D22:H22)</f>
        <v>8657116</v>
      </c>
      <c r="L22" s="2852"/>
      <c r="M22" s="368">
        <f t="shared" si="2"/>
        <v>21526874</v>
      </c>
      <c r="N22" s="3219">
        <f t="shared" si="3"/>
        <v>0</v>
      </c>
      <c r="P22" s="2676">
        <v>8657116</v>
      </c>
      <c r="Q22" s="2676">
        <f t="shared" si="4"/>
        <v>0</v>
      </c>
    </row>
    <row r="23" spans="1:17" s="369" customFormat="1" ht="15.75" customHeight="1">
      <c r="A23" s="3223" t="s">
        <v>30</v>
      </c>
      <c r="B23" s="812">
        <f>'Tab. 6E - Administracja'!E17+'Tab. 6B Polit społ i rozwój prz'!E14</f>
        <v>780995</v>
      </c>
      <c r="C23" s="812">
        <f>'Tab. 6E - Administracja'!F17+'Tab. 6B Polit społ i rozwój prz'!F14+'Tab. 6C - Ochrona zdrowia'!F12</f>
        <v>787826</v>
      </c>
      <c r="D23" s="812">
        <f>'Tab. 6E - Administracja'!G17+'Tab. 6B Polit społ i rozwój prz'!G14+'Tab. 6C - Ochrona zdrowia'!G12</f>
        <v>1114996</v>
      </c>
      <c r="E23" s="812">
        <f>'Tab. 6E - Administracja'!H17+'Tab. 6B Polit społ i rozwój prz'!H14+'Tab. 6C - Ochrona zdrowia'!H12</f>
        <v>335474</v>
      </c>
      <c r="F23" s="812">
        <f>'Tab. 6E - Administracja'!I17+'Tab. 6B Polit społ i rozwój prz'!I14+'Tab. 6C - Ochrona zdrowia'!I12</f>
        <v>64019</v>
      </c>
      <c r="G23" s="812">
        <f>'Tab. 6E - Administracja'!J17+'Tab. 6B Polit społ i rozwój prz'!J14+'Tab. 6C - Ochrona zdrowia'!J12</f>
        <v>64018</v>
      </c>
      <c r="H23" s="812">
        <f>'Tab. 6E - Administracja'!K17+'Tab. 6B Polit społ i rozwój prz'!K14+'Tab. 6C - Ochrona zdrowia'!K12</f>
        <v>64018</v>
      </c>
      <c r="I23" s="812">
        <f>'Tab. 6E - Administracja'!L17+'Tab. 6B Polit społ i rozwój prz'!L14</f>
        <v>0</v>
      </c>
      <c r="J23" s="1388">
        <f t="shared" si="7"/>
        <v>3211346</v>
      </c>
      <c r="K23" s="1208" t="s">
        <v>52</v>
      </c>
      <c r="L23" s="2852"/>
      <c r="M23" s="368">
        <f t="shared" si="2"/>
        <v>3211346</v>
      </c>
      <c r="N23" s="3219">
        <f t="shared" si="3"/>
        <v>0</v>
      </c>
      <c r="P23" s="2676"/>
      <c r="Q23" s="2676"/>
    </row>
    <row r="24" spans="1:17" s="369" customFormat="1" ht="17.25" customHeight="1">
      <c r="A24" s="367" t="s">
        <v>17</v>
      </c>
      <c r="B24" s="3228">
        <f t="shared" ref="B24:K24" si="8">SUM(B25:B26)</f>
        <v>296785164</v>
      </c>
      <c r="C24" s="3228">
        <f t="shared" si="8"/>
        <v>360932836</v>
      </c>
      <c r="D24" s="3228">
        <f t="shared" si="8"/>
        <v>293002699</v>
      </c>
      <c r="E24" s="3228">
        <f t="shared" si="8"/>
        <v>267695279</v>
      </c>
      <c r="F24" s="3228">
        <f t="shared" si="8"/>
        <v>100738640</v>
      </c>
      <c r="G24" s="3228">
        <f t="shared" si="8"/>
        <v>33738688</v>
      </c>
      <c r="H24" s="3228">
        <f t="shared" si="8"/>
        <v>30955963</v>
      </c>
      <c r="I24" s="3228">
        <f>SUM(I25:I26)</f>
        <v>0</v>
      </c>
      <c r="J24" s="1389">
        <f t="shared" si="8"/>
        <v>1383849269</v>
      </c>
      <c r="K24" s="3229">
        <f t="shared" si="8"/>
        <v>726131269</v>
      </c>
      <c r="L24" s="2852"/>
      <c r="M24" s="368">
        <f t="shared" si="2"/>
        <v>1383849269</v>
      </c>
      <c r="N24" s="3219">
        <f t="shared" si="3"/>
        <v>0</v>
      </c>
      <c r="P24" s="2676">
        <v>722246228</v>
      </c>
      <c r="Q24" s="2676">
        <f t="shared" si="4"/>
        <v>3885041</v>
      </c>
    </row>
    <row r="25" spans="1:17" s="369" customFormat="1" ht="14.25" customHeight="1">
      <c r="A25" s="3223" t="s">
        <v>18</v>
      </c>
      <c r="B25" s="810">
        <f>+'Tab. 6D - Oświata'!E18+'Tab. 6A -Drogi'!E19+'Tab. 6G - Roln i ochrona środ.'!E20+'Tab.6I - Planow. przestrz.'!E18+'Tab. 6B Polit społ i rozwój prz'!E16</f>
        <v>1601732</v>
      </c>
      <c r="C25" s="810">
        <f>+'Tab. 6D - Oświata'!F18+'Tab. 6A -Drogi'!F19+'Tab. 6G - Roln i ochrona środ.'!F20+'Tab.6I - Planow. przestrz.'!F18+'Tab. 6B Polit społ i rozwój prz'!F16</f>
        <v>966412</v>
      </c>
      <c r="D25" s="810">
        <f>+'Tab. 6D - Oświata'!G18+'Tab. 6A -Drogi'!G19+'Tab. 6G - Roln i ochrona środ.'!G20+'Tab.6I - Planow. przestrz.'!G18+'Tab. 6B Polit społ i rozwój prz'!G16</f>
        <v>13577874</v>
      </c>
      <c r="E25" s="810">
        <f>+'Tab. 6D - Oświata'!H18+'Tab. 6A -Drogi'!H19+'Tab. 6G - Roln i ochrona środ.'!H20+'Tab.6I - Planow. przestrz.'!H18+'Tab. 6B Polit społ i rozwój prz'!H16</f>
        <v>25984348</v>
      </c>
      <c r="F25" s="810">
        <f>+'Tab. 6D - Oświata'!I18+'Tab. 6A -Drogi'!I19+'Tab. 6G - Roln i ochrona środ.'!I20+'Tab.6I - Planow. przestrz.'!I18+'Tab. 6B Polit społ i rozwój prz'!I16</f>
        <v>5606076</v>
      </c>
      <c r="G25" s="810">
        <f>+'Tab. 6D - Oświata'!J18+'Tab. 6A -Drogi'!J19+'Tab. 6G - Roln i ochrona środ.'!J20+'Tab.6I - Planow. przestrz.'!J18+'Tab. 6B Polit społ i rozwój prz'!J16</f>
        <v>0</v>
      </c>
      <c r="H25" s="810">
        <f>+'Tab. 6D - Oświata'!K18+'Tab. 6A -Drogi'!K19+'Tab. 6G - Roln i ochrona środ.'!K20+'Tab.6I - Planow. przestrz.'!K18+'Tab. 6B Polit społ i rozwój prz'!K16</f>
        <v>0</v>
      </c>
      <c r="I25" s="810">
        <f>+'Tab. 6D - Oświata'!L18+'Tab. 6A -Drogi'!L19+'Tab. 6G - Roln i ochrona środ.'!L20+'Tab.6I - Planow. przestrz.'!L18+'Tab. 6B Polit społ i rozwój prz'!L16</f>
        <v>0</v>
      </c>
      <c r="J25" s="1388">
        <f>B25+I25+C25+D25+E25+F25+G25+H25</f>
        <v>47736442</v>
      </c>
      <c r="K25" s="799">
        <f>SUM(D25:H25)</f>
        <v>45168298</v>
      </c>
      <c r="L25" s="2852"/>
      <c r="M25" s="368">
        <f t="shared" si="2"/>
        <v>47736442</v>
      </c>
      <c r="N25" s="3219">
        <f t="shared" si="3"/>
        <v>0</v>
      </c>
      <c r="P25" s="2676">
        <v>45168298</v>
      </c>
      <c r="Q25" s="2676">
        <f t="shared" si="4"/>
        <v>0</v>
      </c>
    </row>
    <row r="26" spans="1:17" s="369" customFormat="1" ht="14.25" customHeight="1">
      <c r="A26" s="3223" t="s">
        <v>19</v>
      </c>
      <c r="B26" s="3224">
        <f>+'Tab. 6B Polit społ i rozwój prz'!E17+'Tab. 6A -Drogi'!E20+'Tab. 6E - Administracja'!E19+'Tab. 6G - Roln i ochrona środ.'!E18+'Tab. 6H - Kultura fiz. i turyst'!E16+'Tab.6I - Planow. przestrz.'!E17+'Tab. 6D - Oświata'!E17+'Tab. 6C - Ochrona zdrowia'!E15</f>
        <v>295183432</v>
      </c>
      <c r="C26" s="3224">
        <f>+'Tab. 6B Polit społ i rozwój prz'!F17+'Tab. 6A -Drogi'!F20+'Tab. 6E - Administracja'!F19+'Tab. 6G - Roln i ochrona środ.'!F18+'Tab. 6H - Kultura fiz. i turyst'!F16+'Tab.6I - Planow. przestrz.'!F17+'Tab. 6D - Oświata'!F17+'Tab. 6C - Ochrona zdrowia'!F15</f>
        <v>359966424</v>
      </c>
      <c r="D26" s="3224">
        <f>+'Tab. 6B Polit społ i rozwój prz'!G17+'Tab. 6A -Drogi'!G20+'Tab. 6E - Administracja'!G19+'Tab. 6G - Roln i ochrona środ.'!G18+'Tab. 6H - Kultura fiz. i turyst'!G16+'Tab.6I - Planow. przestrz.'!G17+'Tab. 6D - Oświata'!G17+'Tab. 6C - Ochrona zdrowia'!G15</f>
        <v>279424825</v>
      </c>
      <c r="E26" s="3224">
        <f>+'Tab. 6B Polit społ i rozwój prz'!H17+'Tab. 6A -Drogi'!H20+'Tab. 6E - Administracja'!H19+'Tab. 6G - Roln i ochrona środ.'!H18+'Tab. 6H - Kultura fiz. i turyst'!H16+'Tab.6I - Planow. przestrz.'!H17+'Tab. 6D - Oświata'!H17+'Tab. 6C - Ochrona zdrowia'!H15</f>
        <v>241710931</v>
      </c>
      <c r="F26" s="3224">
        <f>+'Tab. 6B Polit społ i rozwój prz'!I17+'Tab. 6A -Drogi'!I20+'Tab. 6E - Administracja'!I19+'Tab. 6G - Roln i ochrona środ.'!I18+'Tab. 6H - Kultura fiz. i turyst'!I16+'Tab.6I - Planow. przestrz.'!I17+'Tab. 6D - Oświata'!I17+'Tab. 6C - Ochrona zdrowia'!I15</f>
        <v>95132564</v>
      </c>
      <c r="G26" s="3224">
        <f>+'Tab. 6B Polit społ i rozwój prz'!J17+'Tab. 6A -Drogi'!J20+'Tab. 6E - Administracja'!J19+'Tab. 6G - Roln i ochrona środ.'!J18+'Tab. 6H - Kultura fiz. i turyst'!J16+'Tab.6I - Planow. przestrz.'!J17+'Tab. 6D - Oświata'!J17+'Tab. 6C - Ochrona zdrowia'!J15</f>
        <v>33738688</v>
      </c>
      <c r="H26" s="3224">
        <f>+'Tab. 6B Polit społ i rozwój prz'!K17+'Tab. 6A -Drogi'!K20+'Tab. 6E - Administracja'!K19+'Tab. 6G - Roln i ochrona środ.'!K18+'Tab. 6H - Kultura fiz. i turyst'!K16+'Tab.6I - Planow. przestrz.'!K17+'Tab. 6D - Oświata'!K17+'Tab. 6C - Ochrona zdrowia'!K15</f>
        <v>30955963</v>
      </c>
      <c r="I26" s="3224">
        <f>+'Tab. 6B Polit społ i rozwój prz'!L17+'Tab. 6A -Drogi'!L20+'Tab. 6E - Administracja'!L19+'Tab. 6G - Roln i ochrona środ.'!L18+'Tab. 6H - Kultura fiz. i turyst'!L16+'Tab.6I - Planow. przestrz.'!L17</f>
        <v>0</v>
      </c>
      <c r="J26" s="1388">
        <f>B26+I26+C26+D26+E26+F26+G26+H26</f>
        <v>1336112827</v>
      </c>
      <c r="K26" s="799">
        <f>SUM(D26:H26)</f>
        <v>680962971</v>
      </c>
      <c r="L26" s="2852"/>
      <c r="M26" s="368">
        <f t="shared" si="2"/>
        <v>1336112827</v>
      </c>
      <c r="N26" s="3218">
        <f t="shared" si="3"/>
        <v>0</v>
      </c>
      <c r="P26" s="2676">
        <v>677077930</v>
      </c>
      <c r="Q26" s="2676">
        <f t="shared" si="4"/>
        <v>3885041</v>
      </c>
    </row>
    <row r="27" spans="1:17" s="813" customFormat="1" ht="15.75" customHeight="1">
      <c r="A27" s="3230" t="s">
        <v>20</v>
      </c>
      <c r="B27" s="3231">
        <f t="shared" ref="B27:J27" si="9">+B28+B33</f>
        <v>290143186</v>
      </c>
      <c r="C27" s="3231">
        <f t="shared" si="9"/>
        <v>390880128</v>
      </c>
      <c r="D27" s="3231">
        <f t="shared" si="9"/>
        <v>296689259</v>
      </c>
      <c r="E27" s="3231">
        <f t="shared" si="9"/>
        <v>259975251</v>
      </c>
      <c r="F27" s="3231">
        <f t="shared" si="9"/>
        <v>129723318</v>
      </c>
      <c r="G27" s="3231">
        <f t="shared" si="9"/>
        <v>34962740</v>
      </c>
      <c r="H27" s="3231">
        <f t="shared" si="9"/>
        <v>31994737</v>
      </c>
      <c r="I27" s="3232">
        <f>+I28+I33</f>
        <v>0</v>
      </c>
      <c r="J27" s="1390">
        <f t="shared" si="9"/>
        <v>1447835333</v>
      </c>
      <c r="K27" s="3377" t="s">
        <v>21</v>
      </c>
      <c r="L27" s="2852"/>
      <c r="N27" s="3233"/>
    </row>
    <row r="28" spans="1:17" s="369" customFormat="1" ht="17.25" customHeight="1">
      <c r="A28" s="367" t="s">
        <v>22</v>
      </c>
      <c r="B28" s="3234">
        <f t="shared" ref="B28:J28" si="10">SUM(B29:B32)</f>
        <v>16201988</v>
      </c>
      <c r="C28" s="3234">
        <f t="shared" si="10"/>
        <v>24079085</v>
      </c>
      <c r="D28" s="3234">
        <f t="shared" si="10"/>
        <v>11944056</v>
      </c>
      <c r="E28" s="3234">
        <f t="shared" si="10"/>
        <v>8458280</v>
      </c>
      <c r="F28" s="3234">
        <f t="shared" si="10"/>
        <v>1995757</v>
      </c>
      <c r="G28" s="3234">
        <f t="shared" si="10"/>
        <v>666312</v>
      </c>
      <c r="H28" s="3234">
        <f t="shared" si="10"/>
        <v>640586</v>
      </c>
      <c r="I28" s="3228">
        <f>SUM(I29:I32)</f>
        <v>0</v>
      </c>
      <c r="J28" s="1391">
        <f t="shared" si="10"/>
        <v>63986064</v>
      </c>
      <c r="K28" s="3378"/>
      <c r="L28" s="815" t="s">
        <v>196</v>
      </c>
      <c r="N28" s="3235"/>
    </row>
    <row r="29" spans="1:17" s="369" customFormat="1" ht="14.25" customHeight="1">
      <c r="A29" s="3223" t="s">
        <v>12</v>
      </c>
      <c r="B29" s="714">
        <f>+'Tab. 6B Polit społ i rozwój prz'!E20+'Tab. 6A -Drogi'!E24+'Tab. 6E - Administracja'!E22+'Tab. 6G - Roln i ochrona środ.'!E23+'Tab.6I - Planow. przestrz.'!E21+'Tab. 6D - Oświata'!E21</f>
        <v>4987390</v>
      </c>
      <c r="C29" s="714">
        <f>+'Tab. 6B Polit społ i rozwój prz'!F20+'Tab. 6A -Drogi'!F24+'Tab. 6E - Administracja'!F22+'Tab. 6G - Roln i ochrona środ.'!F23+'Tab.6I - Planow. przestrz.'!F21+'Tab. 6D - Oświata'!F21</f>
        <v>3661461</v>
      </c>
      <c r="D29" s="714">
        <f>+'Tab. 6B Polit społ i rozwój prz'!G20+'Tab. 6A -Drogi'!G24+'Tab. 6E - Administracja'!G22+'Tab. 6G - Roln i ochrona środ.'!G23+'Tab.6I - Planow. przestrz.'!G21+'Tab. 6D - Oświata'!G21</f>
        <v>4597237</v>
      </c>
      <c r="E29" s="714">
        <f>+'Tab. 6B Polit społ i rozwój prz'!H20+'Tab. 6A -Drogi'!H24+'Tab. 6E - Administracja'!H22+'Tab. 6G - Roln i ochrona środ.'!H23+'Tab.6I - Planow. przestrz.'!H21</f>
        <v>3876631</v>
      </c>
      <c r="F29" s="714">
        <f>+'Tab. 6B Polit społ i rozwój prz'!I20+'Tab. 6A -Drogi'!I24+'Tab. 6E - Administracja'!I22+'Tab. 6G - Roln i ochrona środ.'!I23+'Tab.6I - Planow. przestrz.'!I21</f>
        <v>1109676</v>
      </c>
      <c r="G29" s="714">
        <f>+'Tab. 6B Polit społ i rozwój prz'!J20+'Tab. 6A -Drogi'!J24+'Tab. 6E - Administracja'!J22+'Tab. 6G - Roln i ochrona środ.'!J23+'Tab.6I - Planow. przestrz.'!J21</f>
        <v>666312</v>
      </c>
      <c r="H29" s="714">
        <f>+'Tab. 6B Polit społ i rozwój prz'!K20+'Tab. 6A -Drogi'!K24+'Tab. 6E - Administracja'!K22+'Tab. 6G - Roln i ochrona środ.'!K23+'Tab.6I - Planow. przestrz.'!K21</f>
        <v>640586</v>
      </c>
      <c r="I29" s="212">
        <f>+'Tab. 6B Polit społ i rozwój prz'!L20+'Tab. 6A -Drogi'!L24+'Tab. 6E - Administracja'!L22+'Tab. 6G - Roln i ochrona środ.'!L23+'Tab.6I - Planow. przestrz.'!L21</f>
        <v>0</v>
      </c>
      <c r="J29" s="1388">
        <f>B29+I29+C29+D29+E29+F29+G29+H29</f>
        <v>19539293</v>
      </c>
      <c r="K29" s="3378"/>
      <c r="L29" s="815">
        <f>J19-J29</f>
        <v>0</v>
      </c>
      <c r="N29" s="3235"/>
    </row>
    <row r="30" spans="1:17" s="369" customFormat="1" ht="14.25" customHeight="1">
      <c r="A30" s="3223" t="s">
        <v>14</v>
      </c>
      <c r="B30" s="810">
        <f>+'Tab. 6A -Drogi'!E25+'Tab. 6H - Kultura fiz. i turyst'!E21</f>
        <v>11214598</v>
      </c>
      <c r="C30" s="810">
        <f>+'Tab. 6A -Drogi'!F25+'Tab. 6H - Kultura fiz. i turyst'!F21</f>
        <v>7227866</v>
      </c>
      <c r="D30" s="810">
        <f>+'Tab. 6A -Drogi'!G25+'Tab. 6H - Kultura fiz. i turyst'!G21</f>
        <v>4157433</v>
      </c>
      <c r="E30" s="3225">
        <f>+'Tab. 6A -Drogi'!H25+'Tab. 6H - Kultura fiz. i turyst'!H21</f>
        <v>0</v>
      </c>
      <c r="F30" s="3225">
        <f>+'Tab. 6A -Drogi'!I25+'Tab. 6H - Kultura fiz. i turyst'!I21</f>
        <v>0</v>
      </c>
      <c r="G30" s="3225">
        <f>+'Tab. 6A -Drogi'!J25+'Tab. 6H - Kultura fiz. i turyst'!J21</f>
        <v>0</v>
      </c>
      <c r="H30" s="3225">
        <f>+'Tab. 6A -Drogi'!K25+'Tab. 6G - Roln i ochrona środ.'!K24+'Tab. 6E - Administracja'!K22+'Tab. 6H - Kultura fiz. i turyst'!K19</f>
        <v>0</v>
      </c>
      <c r="I30" s="810">
        <f>+'Tab. 6A -Drogi'!L25+'Tab. 6H - Kultura fiz. i turyst'!L21</f>
        <v>0</v>
      </c>
      <c r="J30" s="1388">
        <f>B30+I30+C30+D30+E30+F30+G30+H30</f>
        <v>22599897</v>
      </c>
      <c r="K30" s="3378"/>
      <c r="L30" s="815">
        <f>J30-J20</f>
        <v>0</v>
      </c>
      <c r="M30" s="815"/>
      <c r="N30" s="3235"/>
    </row>
    <row r="31" spans="1:17" s="369" customFormat="1" ht="12.75" customHeight="1">
      <c r="A31" s="3223" t="s">
        <v>15</v>
      </c>
      <c r="B31" s="3225">
        <f>+'Tab. 6A -Drogi'!E26+'Tab. 6G - Roln i ochrona środ.'!E25+'Tab. 6E - Administracja'!E23+'Tab. 6H - Kultura fiz. i turyst'!E20</f>
        <v>0</v>
      </c>
      <c r="C31" s="3226">
        <f>+'Tab. 6A -Drogi'!F26+'Tab. 6G - Roln i ochrona środ.'!F25+'Tab. 6E - Administracja'!F23+'Tab. 6H - Kultura fiz. i turyst'!F20</f>
        <v>320000</v>
      </c>
      <c r="D31" s="3225">
        <f>+'Tab. 6A -Drogi'!G26+'Tab. 6G - Roln i ochrona środ.'!G25+'Tab. 6E - Administracja'!G23+'Tab. 6H - Kultura fiz. i turyst'!G20</f>
        <v>0</v>
      </c>
      <c r="E31" s="3225">
        <f>+'Tab. 6A -Drogi'!H26+'Tab. 6G - Roln i ochrona środ.'!H25+'Tab. 6E - Administracja'!H23+'Tab. 6H - Kultura fiz. i turyst'!H20</f>
        <v>0</v>
      </c>
      <c r="F31" s="3225">
        <f>+'Tab. 6A -Drogi'!I26+'Tab. 6G - Roln i ochrona środ.'!I25+'Tab. 6E - Administracja'!I23+'Tab. 6H - Kultura fiz. i turyst'!I20</f>
        <v>0</v>
      </c>
      <c r="G31" s="3225">
        <f>+'Tab. 6A -Drogi'!J26+'Tab. 6G - Roln i ochrona środ.'!J25+'Tab. 6E - Administracja'!J23+'Tab. 6H - Kultura fiz. i turyst'!J20</f>
        <v>0</v>
      </c>
      <c r="H31" s="3225">
        <f>+'Tab. 6A -Drogi'!K26+'Tab. 6G - Roln i ochrona środ.'!K25+'Tab. 6E - Administracja'!K23+'Tab. 6H - Kultura fiz. i turyst'!K20</f>
        <v>0</v>
      </c>
      <c r="I31" s="3226">
        <f>+'Tab. 6A -Drogi'!L26+'Tab. 6G - Roln i ochrona środ.'!L25+'Tab. 6E - Administracja'!L23+'Tab. 6H - Kultura fiz. i turyst'!L20</f>
        <v>0</v>
      </c>
      <c r="J31" s="1388">
        <f>B31+I31+C31+D31+E31+F31+G31+H31</f>
        <v>320000</v>
      </c>
      <c r="K31" s="3378"/>
      <c r="L31" s="815">
        <f>J31-J21</f>
        <v>0</v>
      </c>
      <c r="N31" s="3235"/>
    </row>
    <row r="32" spans="1:17" s="369" customFormat="1" ht="15" customHeight="1">
      <c r="A32" s="3223" t="s">
        <v>16</v>
      </c>
      <c r="B32" s="811">
        <f>+'Tab. 6A -Drogi'!E27</f>
        <v>0</v>
      </c>
      <c r="C32" s="3226">
        <f>+'Tab. 6A -Drogi'!F27+'Tab. 6C - Ochrona zdrowia'!F18+'Tab.6I - Planow. przestrz.'!F22</f>
        <v>12869758</v>
      </c>
      <c r="D32" s="3226">
        <f>+'Tab. 6A -Drogi'!G27+'Tab. 6C - Ochrona zdrowia'!G18+'Tab.6I - Planow. przestrz.'!G22</f>
        <v>3189386</v>
      </c>
      <c r="E32" s="3226">
        <f>+'Tab. 6A -Drogi'!H27+'Tab. 6C - Ochrona zdrowia'!H18+'Tab.6I - Planow. przestrz.'!H22</f>
        <v>4581649</v>
      </c>
      <c r="F32" s="3226">
        <f>+'Tab. 6A -Drogi'!I27+'Tab. 6C - Ochrona zdrowia'!I18+'Tab.6I - Planow. przestrz.'!I22</f>
        <v>886081</v>
      </c>
      <c r="G32" s="3226">
        <f>+'Tab. 6A -Drogi'!J27+'Tab. 6C - Ochrona zdrowia'!J18+'Tab.6I - Planow. przestrz.'!J22</f>
        <v>0</v>
      </c>
      <c r="H32" s="3226">
        <f>+'Tab. 6A -Drogi'!K27+'Tab. 6C - Ochrona zdrowia'!K18+'Tab.6I - Planow. przestrz.'!K22</f>
        <v>0</v>
      </c>
      <c r="I32" s="811">
        <f>+'Tab. 6A -Drogi'!L27</f>
        <v>0</v>
      </c>
      <c r="J32" s="1388">
        <f>B32+I32+C32+D32+E32+F32+G32+H32</f>
        <v>21526874</v>
      </c>
      <c r="K32" s="3378"/>
      <c r="L32" s="815">
        <f>J32-J22</f>
        <v>0</v>
      </c>
      <c r="N32" s="3235"/>
    </row>
    <row r="33" spans="1:17" s="369" customFormat="1" ht="16.5" customHeight="1">
      <c r="A33" s="367" t="s">
        <v>17</v>
      </c>
      <c r="B33" s="3236">
        <f t="shared" ref="B33:J33" si="11">SUM(B34:B35)</f>
        <v>273941198</v>
      </c>
      <c r="C33" s="3236">
        <f t="shared" si="11"/>
        <v>366801043</v>
      </c>
      <c r="D33" s="3236">
        <f t="shared" si="11"/>
        <v>284745203</v>
      </c>
      <c r="E33" s="3236">
        <f t="shared" si="11"/>
        <v>251516971</v>
      </c>
      <c r="F33" s="3236">
        <f t="shared" si="11"/>
        <v>127727561</v>
      </c>
      <c r="G33" s="3236">
        <f t="shared" si="11"/>
        <v>34296428</v>
      </c>
      <c r="H33" s="3236">
        <f t="shared" si="11"/>
        <v>31354151</v>
      </c>
      <c r="I33" s="3237">
        <f>SUM(I34:I35)</f>
        <v>0</v>
      </c>
      <c r="J33" s="1391">
        <f t="shared" si="11"/>
        <v>1383849269</v>
      </c>
      <c r="K33" s="3378"/>
      <c r="L33" s="815"/>
      <c r="N33" s="3235"/>
    </row>
    <row r="34" spans="1:17" s="369" customFormat="1" ht="14.25" customHeight="1">
      <c r="A34" s="3223" t="s">
        <v>18</v>
      </c>
      <c r="B34" s="3224">
        <f>+'Tab. 6A -Drogi'!E31+'Tab. 6G - Roln i ochrona środ.'!E31+'Tab. 6D - Oświata'!E24+'Tab.6I - Planow. przestrz.'!E25+'Tab. 6B Polit społ i rozwój prz'!E22</f>
        <v>942649</v>
      </c>
      <c r="C34" s="3224">
        <f>+'Tab. 6A -Drogi'!F31+'Tab. 6G - Roln i ochrona środ.'!F31+'Tab. 6D - Oświata'!F24+'Tab.6I - Planow. przestrz.'!F25+'Tab. 6B Polit społ i rozwój prz'!F22</f>
        <v>980250</v>
      </c>
      <c r="D34" s="3224">
        <f>+'Tab. 6A -Drogi'!G31+'Tab. 6G - Roln i ochrona środ.'!G31+'Tab. 6D - Oświata'!G24+'Tab.6I - Planow. przestrz.'!G25+'Tab. 6B Polit społ i rozwój prz'!G22</f>
        <v>14147910</v>
      </c>
      <c r="E34" s="3224">
        <f>+'Tab. 6A -Drogi'!H31+'Tab. 6G - Roln i ochrona środ.'!H31+'Tab. 6D - Oświata'!H24+'Tab.6I - Planow. przestrz.'!H25+'Tab. 6B Polit społ i rozwój prz'!H22</f>
        <v>25977542</v>
      </c>
      <c r="F34" s="3224">
        <f>+'Tab. 6A -Drogi'!I31+'Tab. 6G - Roln i ochrona środ.'!I31+'Tab. 6D - Oświata'!I24+'Tab.6I - Planow. przestrz.'!I25+'Tab. 6B Polit społ i rozwój prz'!I22</f>
        <v>5688091</v>
      </c>
      <c r="G34" s="3224">
        <f>+'Tab. 6A -Drogi'!J31+'Tab. 6G - Roln i ochrona środ.'!J31+'Tab. 6D - Oświata'!J24+'Tab.6I - Planow. przestrz.'!J25+'Tab. 6B Polit społ i rozwój prz'!J22</f>
        <v>0</v>
      </c>
      <c r="H34" s="3224">
        <f>+'Tab. 6A -Drogi'!K31+'Tab. 6G - Roln i ochrona środ.'!K31+'Tab. 6D - Oświata'!K24+'Tab.6I - Planow. przestrz.'!K25+'Tab. 6B Polit społ i rozwój prz'!K22</f>
        <v>0</v>
      </c>
      <c r="I34" s="3224">
        <f>+'Tab. 6A -Drogi'!L31+'Tab. 6G - Roln i ochrona środ.'!L31+'Tab. 6D - Oświata'!L24+'Tab.6I - Planow. przestrz.'!L25+'Tab. 6B Polit społ i rozwój prz'!L22</f>
        <v>0</v>
      </c>
      <c r="J34" s="1388">
        <f>B34+I34+C34+D34+E34+F34+G34+H34</f>
        <v>47736442</v>
      </c>
      <c r="K34" s="3378"/>
      <c r="L34" s="815">
        <f>J34-J25</f>
        <v>0</v>
      </c>
      <c r="M34" s="815" t="s">
        <v>339</v>
      </c>
      <c r="N34" s="3235"/>
    </row>
    <row r="35" spans="1:17" s="369" customFormat="1" ht="15.75" customHeight="1" thickBot="1">
      <c r="A35" s="830" t="s">
        <v>19</v>
      </c>
      <c r="B35" s="3238">
        <f>+'Tab. 6B Polit społ i rozwój prz'!E23+'Tab. 6A -Drogi'!E32+'Tab. 6E - Administracja'!E25+'Tab. 6G - Roln i ochrona środ.'!E29+'Tab. 6H - Kultura fiz. i turyst'!E23+'Tab.6I - Planow. przestrz.'!E24+'Tab. 6D - Oświata'!E23+'Tab. 6C - Ochrona zdrowia'!E20</f>
        <v>272998549</v>
      </c>
      <c r="C35" s="3238">
        <f>+'Tab. 6B Polit społ i rozwój prz'!F23+'Tab. 6A -Drogi'!F32+'Tab. 6E - Administracja'!F25+'Tab. 6G - Roln i ochrona środ.'!F29+'Tab. 6H - Kultura fiz. i turyst'!F23+'Tab.6I - Planow. przestrz.'!F24+'Tab. 6D - Oświata'!F23+'Tab. 6C - Ochrona zdrowia'!F20</f>
        <v>365820793</v>
      </c>
      <c r="D35" s="3238">
        <f>+'Tab. 6B Polit społ i rozwój prz'!G23+'Tab. 6A -Drogi'!G32+'Tab. 6E - Administracja'!G25+'Tab. 6G - Roln i ochrona środ.'!G29+'Tab. 6H - Kultura fiz. i turyst'!G23+'Tab.6I - Planow. przestrz.'!G24+'Tab. 6D - Oświata'!G23+'Tab. 6C - Ochrona zdrowia'!G20</f>
        <v>270597293</v>
      </c>
      <c r="E35" s="3238">
        <f>+'Tab. 6B Polit społ i rozwój prz'!H23+'Tab. 6A -Drogi'!H32+'Tab. 6E - Administracja'!H25+'Tab. 6G - Roln i ochrona środ.'!H29+'Tab. 6H - Kultura fiz. i turyst'!H23+'Tab.6I - Planow. przestrz.'!H24+'Tab. 6D - Oświata'!H23+'Tab. 6C - Ochrona zdrowia'!H20</f>
        <v>225539429</v>
      </c>
      <c r="F35" s="3238">
        <f>+'Tab. 6B Polit społ i rozwój prz'!I23+'Tab. 6A -Drogi'!I32+'Tab. 6E - Administracja'!I25+'Tab. 6G - Roln i ochrona środ.'!I29+'Tab. 6H - Kultura fiz. i turyst'!I23+'Tab.6I - Planow. przestrz.'!I24+'Tab. 6D - Oświata'!I23+'Tab. 6C - Ochrona zdrowia'!I20</f>
        <v>122039470</v>
      </c>
      <c r="G35" s="3238">
        <f>+'Tab. 6B Polit społ i rozwój prz'!J23+'Tab. 6A -Drogi'!J32+'Tab. 6E - Administracja'!J25+'Tab. 6G - Roln i ochrona środ.'!J29+'Tab. 6H - Kultura fiz. i turyst'!J23+'Tab.6I - Planow. przestrz.'!J24+'Tab. 6D - Oświata'!J23+'Tab. 6C - Ochrona zdrowia'!J20</f>
        <v>34296428</v>
      </c>
      <c r="H35" s="3238">
        <f>+'Tab. 6B Polit społ i rozwój prz'!K23+'Tab. 6A -Drogi'!K32+'Tab. 6E - Administracja'!K25+'Tab. 6G - Roln i ochrona środ.'!K29+'Tab. 6H - Kultura fiz. i turyst'!K23+'Tab.6I - Planow. przestrz.'!K24+'Tab. 6D - Oświata'!K23+'Tab. 6C - Ochrona zdrowia'!K20</f>
        <v>31354151</v>
      </c>
      <c r="I35" s="3238">
        <f>+'Tab. 6B Polit społ i rozwój prz'!L23+'Tab. 6A -Drogi'!L32+'Tab. 6E - Administracja'!L25+'Tab. 6G - Roln i ochrona środ.'!L29+'Tab. 6H - Kultura fiz. i turyst'!L23+'Tab.6I - Planow. przestrz.'!L24+'Tab. 6D - Oświata'!L23+'Tab. 6C - Ochrona zdrowia'!L20</f>
        <v>0</v>
      </c>
      <c r="J35" s="1392">
        <f>B35+I35+C35+D35+E35+F35+G35+H35+2029435+2998719+2055406+3812897+2520257+11590+299481-61071-200000</f>
        <v>1336112827</v>
      </c>
      <c r="K35" s="3379"/>
      <c r="L35" s="815">
        <f>J35-J26</f>
        <v>0</v>
      </c>
      <c r="M35" s="815"/>
      <c r="N35" s="3235"/>
    </row>
    <row r="36" spans="1:17" s="369" customFormat="1" ht="21" customHeight="1" thickBot="1">
      <c r="A36" s="802"/>
      <c r="B36" s="803"/>
      <c r="C36" s="803"/>
      <c r="D36" s="803"/>
      <c r="E36" s="803"/>
      <c r="F36" s="803"/>
      <c r="G36" s="803"/>
      <c r="H36" s="803"/>
      <c r="I36" s="803"/>
      <c r="J36" s="803"/>
      <c r="K36" s="818"/>
      <c r="L36" s="815"/>
      <c r="N36" s="3235"/>
    </row>
    <row r="37" spans="1:17" s="804" customFormat="1" ht="18.75" customHeight="1" thickBot="1">
      <c r="A37" s="819" t="s">
        <v>25</v>
      </c>
      <c r="B37" s="820">
        <f t="shared" ref="B37:J37" si="12">+B16-B23</f>
        <v>362967070.30000001</v>
      </c>
      <c r="C37" s="820">
        <f t="shared" si="12"/>
        <v>433730114</v>
      </c>
      <c r="D37" s="820">
        <f t="shared" si="12"/>
        <v>374634479</v>
      </c>
      <c r="E37" s="820">
        <f t="shared" si="12"/>
        <v>327014229</v>
      </c>
      <c r="F37" s="820">
        <f t="shared" si="12"/>
        <v>127517730</v>
      </c>
      <c r="G37" s="820">
        <f t="shared" si="12"/>
        <v>39006835</v>
      </c>
      <c r="H37" s="820">
        <f t="shared" si="12"/>
        <v>35964179</v>
      </c>
      <c r="I37" s="2996">
        <f>+I16-I23</f>
        <v>0</v>
      </c>
      <c r="J37" s="1393">
        <f t="shared" si="12"/>
        <v>1700834636.3</v>
      </c>
      <c r="K37" s="821">
        <f>+D37+E37+F37+G37+H37</f>
        <v>904137452</v>
      </c>
      <c r="L37" s="822">
        <f>B37+I37+C37+D37+E37+F37+G37+H37</f>
        <v>1700834636.3</v>
      </c>
      <c r="M37" s="822">
        <f>L37-J37</f>
        <v>0</v>
      </c>
      <c r="N37" s="3239"/>
    </row>
    <row r="38" spans="1:17" s="804" customFormat="1" ht="16.5" customHeight="1" thickBot="1">
      <c r="A38" s="819" t="s">
        <v>26</v>
      </c>
      <c r="B38" s="823">
        <f>+B27</f>
        <v>290143186</v>
      </c>
      <c r="C38" s="823">
        <f>+C27</f>
        <v>390880128</v>
      </c>
      <c r="D38" s="823">
        <f t="shared" ref="D38:H38" si="13">+D27</f>
        <v>296689259</v>
      </c>
      <c r="E38" s="823">
        <f t="shared" si="13"/>
        <v>259975251</v>
      </c>
      <c r="F38" s="823">
        <f t="shared" si="13"/>
        <v>129723318</v>
      </c>
      <c r="G38" s="823">
        <f t="shared" si="13"/>
        <v>34962740</v>
      </c>
      <c r="H38" s="823">
        <f t="shared" si="13"/>
        <v>31994737</v>
      </c>
      <c r="I38" s="2997">
        <f>+I27</f>
        <v>0</v>
      </c>
      <c r="J38" s="1394">
        <f>+J27</f>
        <v>1447835333</v>
      </c>
      <c r="K38" s="824" t="s">
        <v>21</v>
      </c>
      <c r="L38" s="822">
        <v>105067692</v>
      </c>
      <c r="M38" s="822" t="s">
        <v>208</v>
      </c>
      <c r="N38" s="3240"/>
    </row>
    <row r="39" spans="1:17" s="369" customFormat="1" ht="18.75" hidden="1" customHeight="1">
      <c r="A39" s="802"/>
      <c r="B39" s="803">
        <f>'Tab. 6A -Drogi'!E16+'Tab. 6E - Administracja'!E16+'Tab. 6G - Roln i ochrona środ.'!E15</f>
        <v>0</v>
      </c>
      <c r="C39" s="803"/>
      <c r="D39" s="803"/>
      <c r="E39" s="803"/>
      <c r="F39" s="803"/>
      <c r="G39" s="803"/>
      <c r="H39" s="803"/>
      <c r="I39" s="803"/>
      <c r="J39" s="818"/>
      <c r="K39" s="815"/>
      <c r="L39" s="815">
        <f>L38+L37</f>
        <v>1805902328.3</v>
      </c>
      <c r="M39" s="815">
        <f>J37-L39</f>
        <v>-105067692</v>
      </c>
      <c r="N39" s="3235"/>
    </row>
    <row r="40" spans="1:17" s="369" customFormat="1" ht="12.75" hidden="1" customHeight="1">
      <c r="A40" s="3241"/>
      <c r="B40" s="803">
        <f>'Tab. 6A -Drogi'!E32+'Tab. 6B Polit społ i rozwój prz'!E23+'Tab. 6E - Administracja'!E25+'Tab. 6H - Kultura fiz. i turyst'!E23+'Tab.6I - Planow. przestrz.'!E24+'Tab. 6G - Roln i ochrona środ.'!E29</f>
        <v>272998549</v>
      </c>
      <c r="C40" s="803">
        <f>'Tab. 6A -Drogi'!F32+'Tab. 6B Polit społ i rozwój prz'!F23+'Tab. 6E - Administracja'!F25+'Tab. 6H - Kultura fiz. i turyst'!F23+'Tab.6I - Planow. przestrz.'!F24+'Tab. 6G - Roln i ochrona środ.'!F29</f>
        <v>360731351</v>
      </c>
      <c r="D40" s="803">
        <f>'Tab. 6A -Drogi'!G32+'Tab. 6B Polit społ i rozwój prz'!G23+'Tab. 6E - Administracja'!G25+'Tab. 6H - Kultura fiz. i turyst'!G23+'Tab.6I - Planow. przestrz.'!G24+'Tab. 6G - Roln i ochrona środ.'!G29</f>
        <v>256796215</v>
      </c>
      <c r="E40" s="803">
        <f>'Tab. 6A -Drogi'!H32+'Tab. 6B Polit społ i rozwój prz'!H23+'Tab. 6E - Administracja'!H25+'Tab. 6H - Kultura fiz. i turyst'!H23+'Tab.6I - Planow. przestrz.'!H24+'Tab. 6G - Roln i ochrona środ.'!H29</f>
        <v>212361990</v>
      </c>
      <c r="F40" s="803">
        <f>'Tab. 6A -Drogi'!I32+'Tab. 6B Polit społ i rozwój prz'!I23+'Tab. 6E - Administracja'!I25+'Tab. 6H - Kultura fiz. i turyst'!I23+'Tab.6I - Planow. przestrz.'!I24+'Tab. 6G - Roln i ochrona środ.'!I29</f>
        <v>120113853</v>
      </c>
      <c r="G40" s="803">
        <f>'Tab. 6A -Drogi'!J32+'Tab. 6B Polit społ i rozwój prz'!J23+'Tab. 6E - Administracja'!J25+'Tab. 6H - Kultura fiz. i turyst'!J23+'Tab.6I - Planow. przestrz.'!J24+'Tab. 6G - Roln i ochrona środ.'!J29</f>
        <v>34296428</v>
      </c>
      <c r="H40" s="803">
        <f>'Tab. 6A -Drogi'!K32+'Tab. 6B Polit społ i rozwój prz'!K23+'Tab. 6E - Administracja'!K25+'Tab. 6H - Kultura fiz. i turyst'!K23+'Tab.6I - Planow. przestrz.'!K24+'Tab. 6G - Roln i ochrona środ.'!K29</f>
        <v>31354151</v>
      </c>
      <c r="I40" s="803"/>
      <c r="J40" s="803" t="e">
        <f>B40+#REF!+#REF!+#REF!+C40+D40+E40+F40+G40+H40</f>
        <v>#REF!</v>
      </c>
      <c r="K40" s="815"/>
      <c r="L40" s="815"/>
      <c r="N40" s="3235"/>
    </row>
    <row r="41" spans="1:17" s="369" customFormat="1" hidden="1">
      <c r="A41" s="3242"/>
      <c r="B41" s="803">
        <f>B35-B40</f>
        <v>0</v>
      </c>
      <c r="C41" s="803">
        <f t="shared" ref="C41:H41" si="14">C35-C40</f>
        <v>5089442</v>
      </c>
      <c r="D41" s="803">
        <f t="shared" si="14"/>
        <v>13801078</v>
      </c>
      <c r="E41" s="803">
        <f t="shared" si="14"/>
        <v>13177439</v>
      </c>
      <c r="F41" s="803">
        <f t="shared" si="14"/>
        <v>1925617</v>
      </c>
      <c r="G41" s="803">
        <f t="shared" si="14"/>
        <v>0</v>
      </c>
      <c r="H41" s="803">
        <f t="shared" si="14"/>
        <v>0</v>
      </c>
      <c r="I41" s="803"/>
      <c r="J41" s="803"/>
      <c r="K41" s="815"/>
      <c r="L41" s="815"/>
      <c r="N41" s="3235"/>
    </row>
    <row r="42" spans="1:17" s="369" customFormat="1">
      <c r="A42" s="825"/>
      <c r="B42" s="803"/>
      <c r="C42" s="803"/>
      <c r="D42" s="803"/>
      <c r="E42" s="803"/>
      <c r="F42" s="803"/>
      <c r="G42" s="803"/>
      <c r="H42" s="803"/>
      <c r="I42" s="803"/>
      <c r="J42" s="818"/>
      <c r="K42" s="815"/>
      <c r="L42" s="815"/>
      <c r="N42" s="3235"/>
    </row>
    <row r="43" spans="1:17" ht="31.5" customHeight="1" thickBot="1">
      <c r="A43" s="3366" t="s">
        <v>27</v>
      </c>
      <c r="B43" s="3367"/>
      <c r="C43" s="3367"/>
      <c r="D43" s="3367"/>
      <c r="E43" s="3367"/>
      <c r="F43" s="3367"/>
      <c r="G43" s="3367"/>
      <c r="H43" s="3367"/>
      <c r="I43" s="3367"/>
      <c r="J43" s="3367"/>
      <c r="K43" s="826"/>
      <c r="L43" s="1200"/>
      <c r="M43" s="775"/>
      <c r="N43" s="3216"/>
    </row>
    <row r="44" spans="1:17" s="775" customFormat="1" ht="34.5" customHeight="1">
      <c r="A44" s="781"/>
      <c r="B44" s="3364" t="s">
        <v>216</v>
      </c>
      <c r="C44" s="3371" t="s">
        <v>542</v>
      </c>
      <c r="D44" s="3349" t="s">
        <v>543</v>
      </c>
      <c r="E44" s="3350"/>
      <c r="F44" s="3350"/>
      <c r="G44" s="3350"/>
      <c r="H44" s="3351"/>
      <c r="I44" s="3368">
        <v>2024</v>
      </c>
      <c r="J44" s="3361" t="s">
        <v>3</v>
      </c>
      <c r="K44" s="3375" t="s">
        <v>539</v>
      </c>
      <c r="N44" s="3216"/>
    </row>
    <row r="45" spans="1:17" ht="19.5" customHeight="1">
      <c r="A45" s="783" t="s">
        <v>4</v>
      </c>
      <c r="B45" s="3365"/>
      <c r="C45" s="3372"/>
      <c r="D45" s="3352"/>
      <c r="E45" s="3353"/>
      <c r="F45" s="3353"/>
      <c r="G45" s="3353"/>
      <c r="H45" s="3354"/>
      <c r="I45" s="3369"/>
      <c r="J45" s="3362"/>
      <c r="K45" s="3376"/>
      <c r="L45" s="1200"/>
      <c r="M45" s="775"/>
      <c r="N45" s="3216"/>
    </row>
    <row r="46" spans="1:17" ht="24" customHeight="1" thickBot="1">
      <c r="A46" s="783"/>
      <c r="B46" s="784" t="s">
        <v>541</v>
      </c>
      <c r="C46" s="785" t="s">
        <v>5</v>
      </c>
      <c r="D46" s="785" t="s">
        <v>169</v>
      </c>
      <c r="E46" s="785" t="s">
        <v>170</v>
      </c>
      <c r="F46" s="785" t="s">
        <v>210</v>
      </c>
      <c r="G46" s="785" t="s">
        <v>211</v>
      </c>
      <c r="H46" s="3217" t="s">
        <v>209</v>
      </c>
      <c r="I46" s="3370"/>
      <c r="J46" s="3363"/>
      <c r="K46" s="3376"/>
      <c r="L46" s="1200"/>
      <c r="M46" s="775"/>
      <c r="N46" s="3216"/>
    </row>
    <row r="47" spans="1:17" ht="13.5" customHeight="1" thickBot="1">
      <c r="A47" s="787">
        <v>1</v>
      </c>
      <c r="B47" s="788">
        <v>2</v>
      </c>
      <c r="C47" s="788">
        <v>4</v>
      </c>
      <c r="D47" s="789">
        <v>5</v>
      </c>
      <c r="E47" s="790">
        <v>6</v>
      </c>
      <c r="F47" s="791">
        <v>7</v>
      </c>
      <c r="G47" s="788">
        <v>8</v>
      </c>
      <c r="H47" s="791">
        <v>9</v>
      </c>
      <c r="I47" s="2992"/>
      <c r="J47" s="1382">
        <v>10</v>
      </c>
      <c r="K47" s="792">
        <v>11</v>
      </c>
      <c r="L47" s="1200"/>
      <c r="M47" s="775"/>
      <c r="N47" s="3216"/>
    </row>
    <row r="48" spans="1:17" ht="18.75" customHeight="1">
      <c r="A48" s="793" t="s">
        <v>6</v>
      </c>
      <c r="B48" s="794">
        <f>+B49+B50</f>
        <v>584827259</v>
      </c>
      <c r="C48" s="794">
        <f t="shared" ref="C48:J48" si="15">+C49+C50</f>
        <v>225308093</v>
      </c>
      <c r="D48" s="794">
        <f t="shared" ref="D48:I48" si="16">+D49+D50</f>
        <v>290843941</v>
      </c>
      <c r="E48" s="794">
        <f t="shared" si="16"/>
        <v>232474212</v>
      </c>
      <c r="F48" s="794">
        <f t="shared" si="16"/>
        <v>65311387</v>
      </c>
      <c r="G48" s="794">
        <f t="shared" si="16"/>
        <v>33173283</v>
      </c>
      <c r="H48" s="794">
        <f t="shared" si="16"/>
        <v>10208912</v>
      </c>
      <c r="I48" s="794">
        <f t="shared" si="16"/>
        <v>0</v>
      </c>
      <c r="J48" s="1396">
        <f t="shared" si="15"/>
        <v>1475783412</v>
      </c>
      <c r="K48" s="795">
        <f>+K49+K50</f>
        <v>665648060</v>
      </c>
      <c r="L48" s="2852">
        <f>+K52-K48</f>
        <v>0</v>
      </c>
      <c r="M48" s="368">
        <f>+I48+C48+D48+E48+F48+G48+H48+B48+'Tab. 6C - Ochrona zdrowia'!O88+'Tab. 6C - Ochrona zdrowia'!O93</f>
        <v>1475783412</v>
      </c>
      <c r="N48" s="3219">
        <f>J48-M48</f>
        <v>0</v>
      </c>
      <c r="P48" s="2676">
        <v>653048060</v>
      </c>
      <c r="Q48" s="2676">
        <f t="shared" ref="Q48:Q55" si="17">K48-P48</f>
        <v>12600000</v>
      </c>
    </row>
    <row r="49" spans="1:17" s="796" customFormat="1" ht="15" customHeight="1">
      <c r="A49" s="797" t="s">
        <v>301</v>
      </c>
      <c r="B49" s="798">
        <f>'Tab. 6A -Drogi'!E527+'Tab. 6C - Ochrona zdrowia'!E48+'Tab. 6D - Oświata'!E104+'Tab. 6E - Administracja'!E239+'Tab. 6F - Kultura'!E8+'Tab. 6G - Roln i ochrona środ.'!E106+'Tab. 6H - Kultura fiz. i turyst'!E270+'Tab.6I - Planow. przestrz.'!E99+'Tab. 6D - Oświata'!E88+'Tab. 6B Polit społ i rozwój prz'!E284</f>
        <v>500939759</v>
      </c>
      <c r="C49" s="798">
        <f>'Tab. 6A -Drogi'!F527+'Tab. 6C - Ochrona zdrowia'!F48+'Tab. 6D - Oświata'!F104+'Tab. 6E - Administracja'!F239+'Tab. 6F - Kultura'!F8+'Tab. 6G - Roln i ochrona środ.'!F106+'Tab. 6H - Kultura fiz. i turyst'!F270+'Tab.6I - Planow. przestrz.'!F99+'Tab. 6D - Oświata'!F88+'Tab. 6B Polit społ i rozwój prz'!E284</f>
        <v>162270734</v>
      </c>
      <c r="D49" s="798">
        <f>'Tab. 6A -Drogi'!G527+'Tab. 6C - Ochrona zdrowia'!G48+'Tab. 6D - Oświata'!G104+'Tab. 6E - Administracja'!G239+'Tab. 6F - Kultura'!G8+'Tab. 6G - Roln i ochrona środ.'!G106+'Tab. 6H - Kultura fiz. i turyst'!G270+'Tab.6I - Planow. przestrz.'!G99+'Tab. 6D - Oświata'!G88+'Tab. 6B Polit społ i rozwój prz'!G284</f>
        <v>178272182</v>
      </c>
      <c r="E49" s="798">
        <f>'Tab. 6A -Drogi'!H527+'Tab. 6C - Ochrona zdrowia'!H48+'Tab. 6D - Oświata'!H104+'Tab. 6E - Administracja'!H239+'Tab. 6F - Kultura'!H8+'Tab. 6G - Roln i ochrona środ.'!H106+'Tab. 6H - Kultura fiz. i turyst'!H270+'Tab.6I - Planow. przestrz.'!H99+'Tab. 6D - Oświata'!H88+'Tab. 6B Polit społ i rozwój prz'!H284</f>
        <v>162660919</v>
      </c>
      <c r="F49" s="798">
        <f>'Tab. 6A -Drogi'!I527+'Tab. 6C - Ochrona zdrowia'!I48+'Tab. 6D - Oświata'!I104+'Tab. 6E - Administracja'!I239+'Tab. 6F - Kultura'!I8+'Tab. 6G - Roln i ochrona środ.'!I106+'Tab. 6H - Kultura fiz. i turyst'!I270+'Tab.6I - Planow. przestrz.'!I99+'Tab. 6D - Oświata'!I88+'Tab. 6B Polit społ i rozwój prz'!I284</f>
        <v>43955167</v>
      </c>
      <c r="G49" s="798">
        <f>'Tab. 6A -Drogi'!J527+'Tab. 6C - Ochrona zdrowia'!J48+'Tab. 6D - Oświata'!J104+'Tab. 6E - Administracja'!J239+'Tab. 6F - Kultura'!J8+'Tab. 6G - Roln i ochrona środ.'!J106+'Tab. 6H - Kultura fiz. i turyst'!J270+'Tab.6I - Planow. przestrz.'!J99+'Tab. 6D - Oświata'!J88+'Tab. 6B Polit społ i rozwój prz'!J284</f>
        <v>31701038</v>
      </c>
      <c r="H49" s="798">
        <f>'Tab. 6A -Drogi'!K527+'Tab. 6C - Ochrona zdrowia'!K48+'Tab. 6D - Oświata'!K104+'Tab. 6E - Administracja'!K239+'Tab. 6F - Kultura'!K8+'Tab. 6G - Roln i ochrona środ.'!K106+'Tab. 6H - Kultura fiz. i turyst'!K270+'Tab.6I - Planow. przestrz.'!K99+'Tab. 6D - Oświata'!K88+'Tab. 6B Polit społ i rozwój prz'!K284</f>
        <v>10208912</v>
      </c>
      <c r="I49" s="798">
        <f>'Tab. 6A -Drogi'!L527+'Tab. 6C - Ochrona zdrowia'!L48+'Tab. 6D - Oświata'!L104+'Tab. 6E - Administracja'!L239+'Tab. 6F - Kultura'!L8+'Tab. 6G - Roln i ochrona środ.'!L106+'Tab. 6H - Kultura fiz. i turyst'!L270+'Tab.6I - Planow. przestrz.'!L99+'Tab. 6D - Oświata'!L88</f>
        <v>0</v>
      </c>
      <c r="J49" s="1397">
        <f>'Tab. 6A -Drogi'!D527+'Tab. 6C - Ochrona zdrowia'!D48+'Tab. 6D - Oświata'!D104+'Tab. 6E - Administracja'!D239+'Tab. 6F - Kultura'!D8+'Tab. 6G - Roln i ochrona środ.'!D106+'Tab. 6H - Kultura fiz. i turyst'!D270+'Tab.6I - Planow. przestrz.'!D99+'Tab. 6D - Oświata'!D88+'Tab. 6B Polit społ i rozwój prz'!D284</f>
        <v>1123645036</v>
      </c>
      <c r="K49" s="956">
        <f>SUM(D49:H49)+'Tab. 6C - Ochrona zdrowia'!O88+'Tab. 6C - Ochrona zdrowia'!O93</f>
        <v>460434543</v>
      </c>
      <c r="L49" s="2993">
        <f>J49-B49-I49-C49-D49-E49-F49-G49-H49-L72</f>
        <v>0</v>
      </c>
      <c r="M49" s="368">
        <f>+I49+C49+D49+E49+F49+G49+H49+B49+'Tab. 6C - Ochrona zdrowia'!O88+'Tab. 6C - Ochrona zdrowia'!O93</f>
        <v>1123645036</v>
      </c>
      <c r="N49" s="3219">
        <f>J49-M49</f>
        <v>0</v>
      </c>
      <c r="P49" s="2676">
        <v>448434543</v>
      </c>
      <c r="Q49" s="2676">
        <f t="shared" si="17"/>
        <v>12000000</v>
      </c>
    </row>
    <row r="50" spans="1:17" ht="14.25" customHeight="1" thickBot="1">
      <c r="A50" s="827" t="s">
        <v>28</v>
      </c>
      <c r="B50" s="3243">
        <f>'Tab. 6A -Drogi'!E528+'Tab. 6C - Ochrona zdrowia'!E49+'Tab. 6D - Oświata'!E105+'Tab. 6E - Administracja'!E240+'Tab. 6F - Kultura'!E9+'Tab. 6G - Roln i ochrona środ.'!E107+'Tab. 6D - Oświata'!E89</f>
        <v>83887500</v>
      </c>
      <c r="C50" s="3243">
        <f>'Tab. 6A -Drogi'!F528+'Tab. 6C - Ochrona zdrowia'!F49+'Tab. 6D - Oświata'!F105+'Tab. 6E - Administracja'!F240+'Tab. 6F - Kultura'!F9+'Tab. 6G - Roln i ochrona środ.'!F107+'Tab. 6D - Oświata'!F93</f>
        <v>63037359</v>
      </c>
      <c r="D50" s="3243">
        <f>'Tab. 6A -Drogi'!G528+'Tab. 6C - Ochrona zdrowia'!G49+'Tab. 6D - Oświata'!G105+'Tab. 6E - Administracja'!G240+'Tab. 6F - Kultura'!G9+'Tab. 6G - Roln i ochrona środ.'!G107+'Tab. 6D - Oświata'!G93</f>
        <v>112571759</v>
      </c>
      <c r="E50" s="3243">
        <f>'Tab. 6A -Drogi'!H528+'Tab. 6C - Ochrona zdrowia'!H49+'Tab. 6D - Oświata'!H105+'Tab. 6E - Administracja'!H240+'Tab. 6F - Kultura'!H9+'Tab. 6G - Roln i ochrona środ.'!H107+'Tab. 6D - Oświata'!H93</f>
        <v>69813293</v>
      </c>
      <c r="F50" s="3243">
        <f>'Tab. 6A -Drogi'!I528+'Tab. 6C - Ochrona zdrowia'!I49+'Tab. 6D - Oświata'!I105+'Tab. 6E - Administracja'!I240+'Tab. 6F - Kultura'!I9+'Tab. 6G - Roln i ochrona środ.'!I107+'Tab. 6D - Oświata'!I89</f>
        <v>21356220</v>
      </c>
      <c r="G50" s="3243">
        <f>'Tab. 6A -Drogi'!J528+'Tab. 6C - Ochrona zdrowia'!J49+'Tab. 6D - Oświata'!J105+'Tab. 6E - Administracja'!J240+'Tab. 6F - Kultura'!J9+'Tab. 6G - Roln i ochrona środ.'!J107+'Tab. 6D - Oświata'!J89</f>
        <v>1472245</v>
      </c>
      <c r="H50" s="3243">
        <f>'Tab. 6A -Drogi'!K528+'Tab. 6C - Ochrona zdrowia'!K49+'Tab. 6D - Oświata'!K105+'Tab. 6E - Administracja'!K240+'Tab. 6F - Kultura'!K9+'Tab. 6G - Roln i ochrona środ.'!K107+'Tab. 6D - Oświata'!K89</f>
        <v>0</v>
      </c>
      <c r="I50" s="3243">
        <f>'Tab. 6A -Drogi'!L528+'Tab. 6C - Ochrona zdrowia'!L49+'Tab. 6D - Oświata'!L105+'Tab. 6E - Administracja'!L240+'Tab. 6F - Kultura'!L9+'Tab. 6G - Roln i ochrona środ.'!L107</f>
        <v>0</v>
      </c>
      <c r="J50" s="1398">
        <f>'Tab. 6A -Drogi'!D528+'Tab. 6C - Ochrona zdrowia'!D49+'Tab. 6D - Oświata'!D105+'Tab. 6E - Administracja'!D240+'Tab. 6F - Kultura'!D9+'Tab. 6G - Roln i ochrona środ.'!D107+'Tab. 6D - Oświata'!D89</f>
        <v>352138376</v>
      </c>
      <c r="K50" s="957">
        <f>SUM(D50:H50)</f>
        <v>205213517</v>
      </c>
      <c r="L50" s="2993">
        <f>J50-B50-I50-C50-D50-E50-F50-G50-H50</f>
        <v>0</v>
      </c>
      <c r="M50" s="368">
        <f>+I50+C50+D50+E50+F50+G50+H50+B50</f>
        <v>352138376</v>
      </c>
      <c r="N50" s="3219">
        <f>J50-M50</f>
        <v>0</v>
      </c>
      <c r="P50" s="2676">
        <v>204613517</v>
      </c>
      <c r="Q50" s="2676">
        <f t="shared" si="17"/>
        <v>600000</v>
      </c>
    </row>
    <row r="51" spans="1:17" s="369" customFormat="1" ht="4.5" customHeight="1">
      <c r="A51" s="802"/>
      <c r="B51" s="803"/>
      <c r="C51" s="817"/>
      <c r="D51" s="803"/>
      <c r="E51" s="803"/>
      <c r="F51" s="803"/>
      <c r="G51" s="803"/>
      <c r="H51" s="803"/>
      <c r="I51" s="803"/>
      <c r="J51" s="818"/>
      <c r="K51" s="1403"/>
      <c r="L51" s="815"/>
      <c r="M51" s="368"/>
      <c r="N51" s="3219"/>
      <c r="P51" s="2676"/>
      <c r="Q51" s="2676">
        <f t="shared" si="17"/>
        <v>0</v>
      </c>
    </row>
    <row r="52" spans="1:17" s="813" customFormat="1" ht="18" customHeight="1">
      <c r="A52" s="3220" t="s">
        <v>9</v>
      </c>
      <c r="B52" s="3221">
        <f t="shared" ref="B52:J52" si="18">+B53+B60</f>
        <v>588535831.63999999</v>
      </c>
      <c r="C52" s="3221">
        <f t="shared" si="18"/>
        <v>233626664</v>
      </c>
      <c r="D52" s="3221">
        <f t="shared" si="18"/>
        <v>325163744</v>
      </c>
      <c r="E52" s="3221">
        <f t="shared" si="18"/>
        <v>280189311</v>
      </c>
      <c r="F52" s="3221">
        <f t="shared" si="18"/>
        <v>81655879</v>
      </c>
      <c r="G52" s="3221">
        <f t="shared" si="18"/>
        <v>43265783</v>
      </c>
      <c r="H52" s="3221">
        <f t="shared" si="18"/>
        <v>10208912</v>
      </c>
      <c r="I52" s="3221">
        <f t="shared" ref="I52" si="19">+I53+I60</f>
        <v>0</v>
      </c>
      <c r="J52" s="1386">
        <f t="shared" si="18"/>
        <v>1596282449.6400001</v>
      </c>
      <c r="K52" s="3222">
        <f>+K53</f>
        <v>665648060</v>
      </c>
      <c r="L52" s="822"/>
      <c r="M52" s="368">
        <f>+I52+C52+D52+E52+F52+G52+H52+B52+'Tab. 6C - Ochrona zdrowia'!O88+'Tab. 6C - Ochrona zdrowia'!O93</f>
        <v>1596282449.6399999</v>
      </c>
      <c r="N52" s="3219">
        <f t="shared" ref="N52:N61" si="20">J52-M52</f>
        <v>0</v>
      </c>
      <c r="P52" s="2676">
        <f>644729489+C61+C56</f>
        <v>653048060</v>
      </c>
      <c r="Q52" s="2676">
        <f>K52-P52</f>
        <v>12600000</v>
      </c>
    </row>
    <row r="53" spans="1:17" s="808" customFormat="1" ht="18" customHeight="1">
      <c r="A53" s="805" t="s">
        <v>10</v>
      </c>
      <c r="B53" s="828">
        <f t="shared" ref="B53:J53" si="21">SUM(B54:B59)</f>
        <v>587974899.63999999</v>
      </c>
      <c r="C53" s="828">
        <f t="shared" si="21"/>
        <v>227248911</v>
      </c>
      <c r="D53" s="828">
        <f>SUM(D54:D59)</f>
        <v>290883941</v>
      </c>
      <c r="E53" s="828">
        <f t="shared" si="21"/>
        <v>232474212</v>
      </c>
      <c r="F53" s="828">
        <f t="shared" si="21"/>
        <v>65311387</v>
      </c>
      <c r="G53" s="828">
        <f t="shared" si="21"/>
        <v>33173283</v>
      </c>
      <c r="H53" s="828">
        <f t="shared" si="21"/>
        <v>10208912</v>
      </c>
      <c r="I53" s="828">
        <f t="shared" ref="I53" si="22">SUM(I54:I59)</f>
        <v>0</v>
      </c>
      <c r="J53" s="1399">
        <f t="shared" si="21"/>
        <v>1480911870.6400001</v>
      </c>
      <c r="K53" s="1404">
        <f>SUM(K54:K59)</f>
        <v>665648060</v>
      </c>
      <c r="L53" s="815"/>
      <c r="M53" s="368">
        <f>+I53+C53+D53+E53+F53+G53+H53+B53+'Tab. 6C - Ochrona zdrowia'!O88+'Tab. 6C - Ochrona zdrowia'!O93</f>
        <v>1480911870.6399999</v>
      </c>
      <c r="N53" s="3219">
        <f t="shared" si="20"/>
        <v>0</v>
      </c>
      <c r="P53" s="2676">
        <f>651107242+C56</f>
        <v>653048060</v>
      </c>
      <c r="Q53" s="2676">
        <f>K53-P53</f>
        <v>12600000</v>
      </c>
    </row>
    <row r="54" spans="1:17" s="369" customFormat="1" ht="16.5" customHeight="1">
      <c r="A54" s="809" t="s">
        <v>29</v>
      </c>
      <c r="B54" s="371">
        <f>+'Tab. 6D - Oświata'!E110+'Tab. 6A -Drogi'!E531+'Tab. 6E - Administracja'!E243+'Tab. 6C - Ochrona zdrowia'!E52+'Tab.6I - Planow. przestrz.'!E103+'Tab. 6G - Roln i ochrona środ.'!E110+'Tab. 6H - Kultura fiz. i turyst'!E274+'Tab. 6D - Oświata'!E97+'Tab. 6B Polit społ i rozwój prz'!E288</f>
        <v>526611568</v>
      </c>
      <c r="C54" s="371">
        <f>+'Tab. 6D - Oświata'!F110+'Tab. 6A -Drogi'!F531+'Tab. 6E - Administracja'!F243+'Tab. 6C - Ochrona zdrowia'!F52+'Tab.6I - Planow. przestrz.'!F103+'Tab. 6G - Roln i ochrona środ.'!F110+'Tab. 6H - Kultura fiz. i turyst'!F274+'Tab. 6D - Oświata'!F97+'Tab. 6B Polit społ i rozwój prz'!F288</f>
        <v>161038577</v>
      </c>
      <c r="D54" s="371">
        <f>+'Tab. 6D - Oświata'!G110+'Tab. 6A -Drogi'!G531+'Tab. 6E - Administracja'!G243+'Tab. 6C - Ochrona zdrowia'!G52+'Tab.6I - Planow. przestrz.'!G103+'Tab. 6G - Roln i ochrona środ.'!G110+'Tab. 6H - Kultura fiz. i turyst'!G274+'Tab. 6D - Oświata'!G97+'Tab. 6B Polit społ i rozwój prz'!G288</f>
        <v>197426525</v>
      </c>
      <c r="E54" s="371">
        <f>+'Tab. 6D - Oświata'!H110+'Tab. 6A -Drogi'!H531+'Tab. 6E - Administracja'!H243+'Tab. 6C - Ochrona zdrowia'!H52+'Tab.6I - Planow. przestrz.'!H103+'Tab. 6G - Roln i ochrona środ.'!H110+'Tab. 6H - Kultura fiz. i turyst'!H274+'Tab. 6D - Oświata'!H97+'Tab. 6B Polit społ i rozwój prz'!H288</f>
        <v>192141944</v>
      </c>
      <c r="F54" s="371">
        <f>+'Tab. 6D - Oświata'!I110+'Tab. 6A -Drogi'!I531+'Tab. 6E - Administracja'!I243+'Tab. 6C - Ochrona zdrowia'!I52+'Tab.6I - Planow. przestrz.'!I103+'Tab. 6G - Roln i ochrona środ.'!I110+'Tab. 6H - Kultura fiz. i turyst'!I274+'Tab. 6D - Oświata'!I97+'Tab. 6B Polit społ i rozwój prz'!I288</f>
        <v>48454446</v>
      </c>
      <c r="G54" s="371">
        <f>+'Tab. 6D - Oświata'!J110+'Tab. 6A -Drogi'!J531+'Tab. 6E - Administracja'!J243+'Tab. 6C - Ochrona zdrowia'!J52+'Tab.6I - Planow. przestrz.'!J103+'Tab. 6G - Roln i ochrona środ.'!J110+'Tab. 6H - Kultura fiz. i turyst'!J274+'Tab. 6D - Oświata'!J97+'Tab. 6B Polit społ i rozwój prz'!J288</f>
        <v>31701038</v>
      </c>
      <c r="H54" s="371">
        <f>+'Tab. 6D - Oświata'!K110+'Tab. 6A -Drogi'!K531+'Tab. 6E - Administracja'!K243+'Tab. 6C - Ochrona zdrowia'!K52+'Tab.6I - Planow. przestrz.'!K103+'Tab. 6G - Roln i ochrona środ.'!K110+'Tab. 6H - Kultura fiz. i turyst'!K274+'Tab. 6D - Oświata'!K97+'Tab. 6B Polit społ i rozwój prz'!K288</f>
        <v>10208912</v>
      </c>
      <c r="I54" s="371">
        <f>+'Tab. 6D - Oświata'!L110+'Tab. 6A -Drogi'!L531+'Tab. 6E - Administracja'!L243+'Tab. 6C - Ochrona zdrowia'!L52+'Tab.6I - Planow. przestrz.'!L103+'Tab. 6G - Roln i ochrona środ.'!L110+'Tab. 6H - Kultura fiz. i turyst'!L274+'Tab. 6D - Oświata'!L97</f>
        <v>0</v>
      </c>
      <c r="J54" s="1388">
        <f>B54+I54+C54+D54+E54+F54+G54+H54+'Tab. 6C - Ochrona zdrowia'!O88+'Tab. 6C - Ochrona zdrowia'!O93</f>
        <v>1201219335</v>
      </c>
      <c r="K54" s="2998">
        <f>SUM(D54:H54)+'Tab. 6C - Ochrona zdrowia'!O88+'Tab. 6C - Ochrona zdrowia'!O93</f>
        <v>513569190</v>
      </c>
      <c r="L54" s="266"/>
      <c r="M54" s="368">
        <f>+I54+C54+D54+E54+F54+G54+H54+B54+'Tab. 6C - Ochrona zdrowia'!O88+'Tab. 6C - Ochrona zdrowia'!O93</f>
        <v>1201219335</v>
      </c>
      <c r="N54" s="3219">
        <f t="shared" si="20"/>
        <v>0</v>
      </c>
      <c r="P54" s="2676">
        <v>501569190</v>
      </c>
      <c r="Q54" s="2676">
        <f t="shared" si="17"/>
        <v>12000000</v>
      </c>
    </row>
    <row r="55" spans="1:17" s="369" customFormat="1" ht="15.75" customHeight="1">
      <c r="A55" s="3223" t="s">
        <v>15</v>
      </c>
      <c r="B55" s="371">
        <f>+'Tab. 6A -Drogi'!E534+'Tab. 6G - Roln i ochrona środ.'!E114+'Tab. 6H - Kultura fiz. i turyst'!E13</f>
        <v>10003578</v>
      </c>
      <c r="C55" s="371">
        <f>+'Tab. 6A -Drogi'!F534+'Tab. 6G - Roln i ochrona środ.'!F114+'Tab. 6H - Kultura fiz. i turyst'!F275</f>
        <v>16487247</v>
      </c>
      <c r="D55" s="371">
        <f>+'Tab. 6A -Drogi'!G534+'Tab. 6G - Roln i ochrona środ.'!G114+'Tab. 6H - Kultura fiz. i turyst'!G275</f>
        <v>26258486</v>
      </c>
      <c r="E55" s="371">
        <f>+'Tab. 6A -Drogi'!H534+'Tab. 6G - Roln i ochrona środ.'!H114+'Tab. 6H - Kultura fiz. i turyst'!H275</f>
        <v>9699890</v>
      </c>
      <c r="F55" s="370">
        <f>+'Tab. 6A -Drogi'!I534+'Tab. 6G - Roln i ochrona środ.'!I114+'Tab. 6H - Kultura fiz. i turyst'!I275</f>
        <v>0</v>
      </c>
      <c r="G55" s="370">
        <f>+'Tab. 6A -Drogi'!J534+'Tab. 6G - Roln i ochrona środ.'!J114+'Tab. 6H - Kultura fiz. i turyst'!J275</f>
        <v>0</v>
      </c>
      <c r="H55" s="370">
        <f>+'Tab. 6A -Drogi'!K534+'Tab. 6G - Roln i ochrona środ.'!K114+'Tab. 6H - Kultura fiz. i turyst'!K275</f>
        <v>0</v>
      </c>
      <c r="I55" s="371">
        <f>+'Tab. 6A -Drogi'!L534+'Tab. 6G - Roln i ochrona środ.'!L114+'Tab. 6H - Kultura fiz. i turyst'!L275</f>
        <v>0</v>
      </c>
      <c r="J55" s="1388">
        <f>B55+I55+C55+D55+E55+F55+G55+H55</f>
        <v>62449201</v>
      </c>
      <c r="K55" s="799">
        <f>SUM(D55:H55)</f>
        <v>35958376</v>
      </c>
      <c r="L55" s="266"/>
      <c r="M55" s="368">
        <f t="shared" ref="M55:M61" si="23">+I55+C55+D55+E55+F55+G55+H55+B55</f>
        <v>62449201</v>
      </c>
      <c r="N55" s="3219">
        <f t="shared" si="20"/>
        <v>0</v>
      </c>
      <c r="P55" s="2676">
        <v>35958376</v>
      </c>
      <c r="Q55" s="2676">
        <f t="shared" si="17"/>
        <v>0</v>
      </c>
    </row>
    <row r="56" spans="1:17" s="369" customFormat="1" ht="15.75" customHeight="1">
      <c r="A56" s="3223" t="s">
        <v>30</v>
      </c>
      <c r="B56" s="371">
        <f>+'Tab. 6F - Kultura'!E12+'Tab. 6C - Ochrona zdrowia'!E53</f>
        <v>3147640.64</v>
      </c>
      <c r="C56" s="371">
        <f>+'Tab. 6F - Kultura'!F12+'Tab. 6C - Ochrona zdrowia'!F53</f>
        <v>1940818</v>
      </c>
      <c r="D56" s="371">
        <f>+'Tab. 6F - Kultura'!G12+'Tab. 6C - Ochrona zdrowia'!G53</f>
        <v>40000</v>
      </c>
      <c r="E56" s="370">
        <f>+'Tab. 6F - Kultura'!H12+'Tab. 6C - Ochrona zdrowia'!H53</f>
        <v>0</v>
      </c>
      <c r="F56" s="370">
        <f>+'Tab. 6F - Kultura'!I12+'Tab. 6C - Ochrona zdrowia'!I53</f>
        <v>0</v>
      </c>
      <c r="G56" s="370">
        <f>+'Tab. 6F - Kultura'!J12+'Tab. 6C - Ochrona zdrowia'!J53</f>
        <v>0</v>
      </c>
      <c r="H56" s="370">
        <f>+'Tab. 6F - Kultura'!K12+'Tab. 6C - Ochrona zdrowia'!K53+'Tab. 6H - Kultura fiz. i turyst'!K13</f>
        <v>0</v>
      </c>
      <c r="I56" s="371">
        <f>+'Tab. 6F - Kultura'!L12+'Tab. 6C - Ochrona zdrowia'!L53</f>
        <v>0</v>
      </c>
      <c r="J56" s="1388">
        <f>B56+I56+C56+D56+E56+F56+G56+H56</f>
        <v>5128458.6400000006</v>
      </c>
      <c r="K56" s="1208" t="s">
        <v>52</v>
      </c>
      <c r="L56" s="815"/>
      <c r="M56" s="368">
        <f t="shared" si="23"/>
        <v>5128458.6400000006</v>
      </c>
      <c r="N56" s="3219">
        <f t="shared" si="20"/>
        <v>0</v>
      </c>
      <c r="P56" s="2676"/>
    </row>
    <row r="57" spans="1:17" s="369" customFormat="1" ht="15.75" customHeight="1">
      <c r="A57" s="809" t="s">
        <v>31</v>
      </c>
      <c r="B57" s="371">
        <f>+'Tab. 6F - Kultura'!E13+'Tab. 6C - Ochrona zdrowia'!E54+'Tab. 6D - Oświata'!E109+'Tab. 6H - Kultura fiz. i turyst'!E283+'Tab. 6D - Oświata'!E93</f>
        <v>16092191</v>
      </c>
      <c r="C57" s="371">
        <f>+'Tab. 6F - Kultura'!F13+'Tab. 6C - Ochrona zdrowia'!F54+'Tab. 6D - Oświata'!F109+'Tab. 6H - Kultura fiz. i turyst'!F283+'Tab. 6D - Oświata'!F93</f>
        <v>17227273</v>
      </c>
      <c r="D57" s="371">
        <f>+'Tab. 6F - Kultura'!G13+'Tab. 6C - Ochrona zdrowia'!G54+'Tab. 6D - Oświata'!G109+'Tab. 6H - Kultura fiz. i turyst'!G283+'Tab. 6D - Oświata'!G93</f>
        <v>67158930</v>
      </c>
      <c r="E57" s="371">
        <f>+'Tab. 6F - Kultura'!H13+'Tab. 6C - Ochrona zdrowia'!H54+'Tab. 6D - Oświata'!H109+'Tab. 6H - Kultura fiz. i turyst'!H283+'Tab. 6D - Oświata'!H93</f>
        <v>30632378</v>
      </c>
      <c r="F57" s="371">
        <f>+'Tab. 6F - Kultura'!I13+'Tab. 6C - Ochrona zdrowia'!I54+'Tab. 6D - Oświata'!I109+'Tab. 6H - Kultura fiz. i turyst'!I283+'Tab. 6D - Oświata'!I93</f>
        <v>16856941</v>
      </c>
      <c r="G57" s="371">
        <f>+'Tab. 6F - Kultura'!J13+'Tab. 6C - Ochrona zdrowia'!J54+'Tab. 6D - Oświata'!J109+'Tab. 6H - Kultura fiz. i turyst'!J283+'Tab. 6D - Oświata'!J93</f>
        <v>1472245</v>
      </c>
      <c r="H57" s="370">
        <f>+'Tab. 6F - Kultura'!K13+'Tab. 6C - Ochrona zdrowia'!K54+'Tab. 6D - Oświata'!K109+'Tab. 6H - Kultura fiz. i turyst'!K283+'Tab. 6D - Oświata'!K93</f>
        <v>0</v>
      </c>
      <c r="I57" s="371">
        <f>+'Tab. 6F - Kultura'!L13+'Tab. 6C - Ochrona zdrowia'!L54+'Tab. 6H - Kultura fiz. i turyst'!L283</f>
        <v>0</v>
      </c>
      <c r="J57" s="1388">
        <f>B57+I57+C57+D57+E57+F57+G57+H57</f>
        <v>149439958</v>
      </c>
      <c r="K57" s="2998">
        <f>SUM(D57:H57)</f>
        <v>116120494</v>
      </c>
      <c r="L57" s="266"/>
      <c r="M57" s="368">
        <f t="shared" si="23"/>
        <v>149439958</v>
      </c>
      <c r="N57" s="3219">
        <f t="shared" si="20"/>
        <v>0</v>
      </c>
      <c r="P57" s="2676">
        <v>115520494</v>
      </c>
      <c r="Q57" s="2676">
        <f t="shared" ref="Q57:Q59" si="24">K57-P57</f>
        <v>600000</v>
      </c>
    </row>
    <row r="58" spans="1:17" s="369" customFormat="1" ht="15.75" customHeight="1">
      <c r="A58" s="3223" t="s">
        <v>14</v>
      </c>
      <c r="B58" s="371">
        <f>+'Tab. 6A -Drogi'!E533+'Tab. 6C - Ochrona zdrowia'!E57</f>
        <v>8693931</v>
      </c>
      <c r="C58" s="371">
        <f>+'Tab. 6A -Drogi'!F533+'Tab. 6C - Ochrona zdrowia'!F57</f>
        <v>4937259</v>
      </c>
      <c r="D58" s="370">
        <f>+'Tab. 6A -Drogi'!G533+'Tab. 6C - Ochrona zdrowia'!G57</f>
        <v>0</v>
      </c>
      <c r="E58" s="370">
        <f>+'Tab. 6A -Drogi'!H533+'Tab. 6C - Ochrona zdrowia'!H57</f>
        <v>0</v>
      </c>
      <c r="F58" s="370">
        <f>+'Tab. 6A -Drogi'!I533+'Tab. 6C - Ochrona zdrowia'!I57</f>
        <v>0</v>
      </c>
      <c r="G58" s="370">
        <f>+'Tab. 6A -Drogi'!J533+'Tab. 6C - Ochrona zdrowia'!J57</f>
        <v>0</v>
      </c>
      <c r="H58" s="370">
        <f>+'Tab. 6A -Drogi'!K533+'Tab. 6C - Ochrona zdrowia'!K57</f>
        <v>0</v>
      </c>
      <c r="I58" s="371">
        <f>+'Tab. 6A -Drogi'!L533+'Tab. 6C - Ochrona zdrowia'!L57</f>
        <v>0</v>
      </c>
      <c r="J58" s="1388">
        <f>B58+I58+C58+D58+E58+F58+G58+H58</f>
        <v>13631190</v>
      </c>
      <c r="K58" s="799">
        <f>SUM(D58:H58)</f>
        <v>0</v>
      </c>
      <c r="L58" s="266"/>
      <c r="M58" s="368">
        <f t="shared" si="23"/>
        <v>13631190</v>
      </c>
      <c r="N58" s="3219">
        <f t="shared" si="20"/>
        <v>0</v>
      </c>
      <c r="P58" s="2676">
        <v>0</v>
      </c>
      <c r="Q58" s="2676">
        <f t="shared" si="24"/>
        <v>0</v>
      </c>
    </row>
    <row r="59" spans="1:17" s="369" customFormat="1" ht="12.75" customHeight="1">
      <c r="A59" s="3223" t="s">
        <v>12</v>
      </c>
      <c r="B59" s="371">
        <f>+'Tab. 6A -Drogi'!E532+'Tab. 6C - Ochrona zdrowia'!E55</f>
        <v>23425991</v>
      </c>
      <c r="C59" s="371">
        <f>+'Tab. 6A -Drogi'!F532+'Tab. 6C - Ochrona zdrowia'!F55</f>
        <v>25617737</v>
      </c>
      <c r="D59" s="370">
        <f>+'Tab. 6A -Drogi'!G532+'Tab. 6C - Ochrona zdrowia'!G55</f>
        <v>0</v>
      </c>
      <c r="E59" s="370">
        <f>+'Tab. 6A -Drogi'!H532+'Tab. 6C - Ochrona zdrowia'!H55</f>
        <v>0</v>
      </c>
      <c r="F59" s="370">
        <f>+'Tab. 6A -Drogi'!I532+'Tab. 6C - Ochrona zdrowia'!I55</f>
        <v>0</v>
      </c>
      <c r="G59" s="370">
        <f>+'Tab. 6A -Drogi'!J532+'Tab. 6C - Ochrona zdrowia'!J55</f>
        <v>0</v>
      </c>
      <c r="H59" s="370">
        <f>+'Tab. 6A -Drogi'!K532+'Tab. 6C - Ochrona zdrowia'!K55</f>
        <v>0</v>
      </c>
      <c r="I59" s="371">
        <f>+'Tab. 6A -Drogi'!L532+'Tab. 6C - Ochrona zdrowia'!L55</f>
        <v>0</v>
      </c>
      <c r="J59" s="1388">
        <f>B59+I59+C59+D59+E59+F59+G59+H59</f>
        <v>49043728</v>
      </c>
      <c r="K59" s="799">
        <f>SUM(D59:H59)</f>
        <v>0</v>
      </c>
      <c r="L59" s="266"/>
      <c r="M59" s="368">
        <f t="shared" si="23"/>
        <v>49043728</v>
      </c>
      <c r="N59" s="3219">
        <f t="shared" si="20"/>
        <v>0</v>
      </c>
      <c r="P59" s="2676">
        <v>0</v>
      </c>
      <c r="Q59" s="2676">
        <f t="shared" si="24"/>
        <v>0</v>
      </c>
    </row>
    <row r="60" spans="1:17" s="369" customFormat="1" ht="18" customHeight="1">
      <c r="A60" s="367" t="s">
        <v>17</v>
      </c>
      <c r="B60" s="3234">
        <f t="shared" ref="B60:H60" si="25">SUM(B61:B61)</f>
        <v>560932</v>
      </c>
      <c r="C60" s="3228">
        <f t="shared" si="25"/>
        <v>6377753</v>
      </c>
      <c r="D60" s="3228">
        <f t="shared" si="25"/>
        <v>34279803</v>
      </c>
      <c r="E60" s="3228">
        <f t="shared" si="25"/>
        <v>47715099</v>
      </c>
      <c r="F60" s="3228">
        <f t="shared" si="25"/>
        <v>16344492</v>
      </c>
      <c r="G60" s="3228">
        <f t="shared" si="25"/>
        <v>10092500</v>
      </c>
      <c r="H60" s="3244">
        <f t="shared" si="25"/>
        <v>0</v>
      </c>
      <c r="I60" s="3228">
        <f>SUM(I61:I61)</f>
        <v>0</v>
      </c>
      <c r="J60" s="1389">
        <f>+J61</f>
        <v>115370579</v>
      </c>
      <c r="K60" s="3245" t="s">
        <v>52</v>
      </c>
      <c r="L60" s="815"/>
      <c r="M60" s="368">
        <f t="shared" si="23"/>
        <v>115370579</v>
      </c>
      <c r="N60" s="3219">
        <f t="shared" si="20"/>
        <v>0</v>
      </c>
      <c r="P60" s="2676"/>
    </row>
    <row r="61" spans="1:17" s="369" customFormat="1" ht="16.5" customHeight="1">
      <c r="A61" s="3223" t="s">
        <v>33</v>
      </c>
      <c r="B61" s="371">
        <f>+'Tab. 6D - Oświata'!E112+'Tab. 6F - Kultura'!E16+'Tab. 6C - Ochrona zdrowia'!E59</f>
        <v>560932</v>
      </c>
      <c r="C61" s="371">
        <f>+'Tab. 6D - Oświata'!F112+'Tab. 6F - Kultura'!F16+'Tab. 6C - Ochrona zdrowia'!F59</f>
        <v>6377753</v>
      </c>
      <c r="D61" s="371">
        <f>+'Tab. 6D - Oświata'!G112+'Tab. 6F - Kultura'!G16+'Tab. 6C - Ochrona zdrowia'!G59</f>
        <v>34279803</v>
      </c>
      <c r="E61" s="371">
        <f>+'Tab. 6D - Oświata'!H112+'Tab. 6F - Kultura'!H16+'Tab. 6C - Ochrona zdrowia'!H59</f>
        <v>47715099</v>
      </c>
      <c r="F61" s="371">
        <f>+'Tab. 6D - Oświata'!I112+'Tab. 6F - Kultura'!I16+'Tab. 6C - Ochrona zdrowia'!I59</f>
        <v>16344492</v>
      </c>
      <c r="G61" s="371">
        <f>+'Tab. 6D - Oświata'!J112+'Tab. 6F - Kultura'!J16+'Tab. 6C - Ochrona zdrowia'!J59</f>
        <v>10092500</v>
      </c>
      <c r="H61" s="370">
        <f>+'Tab. 6D - Oświata'!K112+'Tab. 6F - Kultura'!K16+'Tab. 6C - Ochrona zdrowia'!K59</f>
        <v>0</v>
      </c>
      <c r="I61" s="371">
        <f>+'Tab. 6F - Kultura'!L16+'Tab. 6C - Ochrona zdrowia'!L59</f>
        <v>0</v>
      </c>
      <c r="J61" s="1388">
        <f>B61+I61+C61+D61+E61+F61+G61+H61</f>
        <v>115370579</v>
      </c>
      <c r="K61" s="1209" t="s">
        <v>52</v>
      </c>
      <c r="L61" s="815"/>
      <c r="M61" s="368">
        <f t="shared" si="23"/>
        <v>115370579</v>
      </c>
      <c r="N61" s="3219">
        <f t="shared" si="20"/>
        <v>0</v>
      </c>
      <c r="P61" s="2676"/>
    </row>
    <row r="62" spans="1:17" s="804" customFormat="1" ht="18" customHeight="1">
      <c r="A62" s="3220" t="s">
        <v>20</v>
      </c>
      <c r="B62" s="3246">
        <f t="shared" ref="B62:J62" si="26">+B63+B68</f>
        <v>107125085</v>
      </c>
      <c r="C62" s="3246">
        <f t="shared" si="26"/>
        <v>71527245</v>
      </c>
      <c r="D62" s="3246">
        <f t="shared" si="26"/>
        <v>81733030</v>
      </c>
      <c r="E62" s="3246">
        <f t="shared" si="26"/>
        <v>90141634</v>
      </c>
      <c r="F62" s="3246">
        <f t="shared" si="26"/>
        <v>22019565</v>
      </c>
      <c r="G62" s="3246">
        <f t="shared" si="26"/>
        <v>11743229</v>
      </c>
      <c r="H62" s="3247">
        <f t="shared" si="26"/>
        <v>0</v>
      </c>
      <c r="I62" s="3248">
        <f>+I63+I68</f>
        <v>0</v>
      </c>
      <c r="J62" s="1400">
        <f t="shared" si="26"/>
        <v>384289788</v>
      </c>
      <c r="K62" s="3377" t="s">
        <v>21</v>
      </c>
      <c r="L62" s="822"/>
      <c r="N62" s="3240"/>
    </row>
    <row r="63" spans="1:17" s="369" customFormat="1" ht="15" customHeight="1">
      <c r="A63" s="367" t="s">
        <v>22</v>
      </c>
      <c r="B63" s="3234">
        <f t="shared" ref="B63:J63" si="27">SUM(B64:B67)</f>
        <v>106589985</v>
      </c>
      <c r="C63" s="3234">
        <f t="shared" si="27"/>
        <v>65454250</v>
      </c>
      <c r="D63" s="3234">
        <f t="shared" si="27"/>
        <v>47742637</v>
      </c>
      <c r="E63" s="3234">
        <f t="shared" si="27"/>
        <v>41806535</v>
      </c>
      <c r="F63" s="3234">
        <f t="shared" si="27"/>
        <v>5675073</v>
      </c>
      <c r="G63" s="3234">
        <f t="shared" si="27"/>
        <v>1650729</v>
      </c>
      <c r="H63" s="3249">
        <f t="shared" si="27"/>
        <v>0</v>
      </c>
      <c r="I63" s="3228">
        <f>SUM(I64:I67)</f>
        <v>0</v>
      </c>
      <c r="J63" s="1391">
        <f t="shared" si="27"/>
        <v>268919209</v>
      </c>
      <c r="K63" s="3378"/>
      <c r="L63" s="815" t="s">
        <v>196</v>
      </c>
      <c r="N63" s="3235"/>
    </row>
    <row r="64" spans="1:17" s="369" customFormat="1" ht="15.75" customHeight="1">
      <c r="A64" s="3223" t="s">
        <v>12</v>
      </c>
      <c r="B64" s="714">
        <f>+'Tab. 6C - Ochrona zdrowia'!E62+'Tab. 6A -Drogi'!E538</f>
        <v>23425991</v>
      </c>
      <c r="C64" s="371">
        <f>+'Tab. 6C - Ochrona zdrowia'!F62+'Tab. 6A -Drogi'!F538</f>
        <v>25617737</v>
      </c>
      <c r="D64" s="829">
        <f>+'Tab. 6C - Ochrona zdrowia'!G62+'Tab. 6A -Drogi'!G538</f>
        <v>0</v>
      </c>
      <c r="E64" s="829">
        <f>+'Tab. 6C - Ochrona zdrowia'!H62+'Tab. 6A -Drogi'!H538</f>
        <v>0</v>
      </c>
      <c r="F64" s="829">
        <f>+'Tab. 6C - Ochrona zdrowia'!I62+'Tab. 6A -Drogi'!I538</f>
        <v>0</v>
      </c>
      <c r="G64" s="829">
        <f>+'Tab. 6C - Ochrona zdrowia'!J62+'Tab. 6A -Drogi'!J538</f>
        <v>0</v>
      </c>
      <c r="H64" s="829">
        <f>+'Tab. 6C - Ochrona zdrowia'!K62+'Tab. 6A -Drogi'!K538</f>
        <v>0</v>
      </c>
      <c r="I64" s="212">
        <f>+'Tab. 6C - Ochrona zdrowia'!L62+'Tab. 6A -Drogi'!L538</f>
        <v>0</v>
      </c>
      <c r="J64" s="1388">
        <f>B64+I64+C64+D64+E64+F64+G64+H64</f>
        <v>49043728</v>
      </c>
      <c r="K64" s="3378"/>
      <c r="L64" s="815">
        <f>J64-J59</f>
        <v>0</v>
      </c>
      <c r="N64" s="3235"/>
    </row>
    <row r="65" spans="1:17" s="369" customFormat="1" ht="15" customHeight="1">
      <c r="A65" s="3223" t="s">
        <v>14</v>
      </c>
      <c r="B65" s="714">
        <f>+'Tab. 6A -Drogi'!E539+'Tab. 6C - Ochrona zdrowia'!E63</f>
        <v>8693931</v>
      </c>
      <c r="C65" s="212">
        <f>+'Tab. 6A -Drogi'!F539+'Tab. 6C - Ochrona zdrowia'!F63</f>
        <v>4937259</v>
      </c>
      <c r="D65" s="829">
        <f>+'Tab. 6A -Drogi'!G539+'Tab. 6C - Ochrona zdrowia'!G63</f>
        <v>0</v>
      </c>
      <c r="E65" s="829">
        <f>+'Tab. 6A -Drogi'!H539+'Tab. 6C - Ochrona zdrowia'!H63</f>
        <v>0</v>
      </c>
      <c r="F65" s="829">
        <f>+'Tab. 6A -Drogi'!I539+'Tab. 6C - Ochrona zdrowia'!I63</f>
        <v>0</v>
      </c>
      <c r="G65" s="829">
        <f>+'Tab. 6A -Drogi'!J539+'Tab. 6C - Ochrona zdrowia'!J63</f>
        <v>0</v>
      </c>
      <c r="H65" s="829">
        <f>+'Tab. 6A -Drogi'!K539+'Tab. 6C - Ochrona zdrowia'!K63</f>
        <v>0</v>
      </c>
      <c r="I65" s="212">
        <f>+'Tab. 6A -Drogi'!L539+'Tab. 6C - Ochrona zdrowia'!L63</f>
        <v>0</v>
      </c>
      <c r="J65" s="1388">
        <f>B65+I65+C65+D65+E65+F65+G65+H65</f>
        <v>13631190</v>
      </c>
      <c r="K65" s="3378"/>
      <c r="L65" s="815">
        <f>J65-J58</f>
        <v>0</v>
      </c>
      <c r="N65" s="3235"/>
    </row>
    <row r="66" spans="1:17" s="369" customFormat="1" ht="15" customHeight="1">
      <c r="A66" s="3223" t="s">
        <v>15</v>
      </c>
      <c r="B66" s="714">
        <f>+'Tab. 6A -Drogi'!E540+'Tab. 6G - Roln i ochrona środ.'!E120</f>
        <v>37191346</v>
      </c>
      <c r="C66" s="714">
        <f>+'Tab. 6A -Drogi'!F540+'Tab. 6G - Roln i ochrona środ.'!F120</f>
        <v>8419285</v>
      </c>
      <c r="D66" s="714">
        <f>+'Tab. 6A -Drogi'!G540+'Tab. 6G - Roln i ochrona środ.'!G120</f>
        <v>8419285</v>
      </c>
      <c r="E66" s="714">
        <f>+'Tab. 6A -Drogi'!H540+'Tab. 6G - Roln i ochrona środ.'!H120</f>
        <v>8419285</v>
      </c>
      <c r="F66" s="814">
        <f>+'Tab. 6A -Drogi'!I540+'Tab. 6G - Roln i ochrona środ.'!I120</f>
        <v>0</v>
      </c>
      <c r="G66" s="814">
        <f>+'Tab. 6A -Drogi'!J540+'Tab. 6G - Roln i ochrona środ.'!J120</f>
        <v>0</v>
      </c>
      <c r="H66" s="814">
        <f>+'Tab. 6A -Drogi'!K540+'Tab. 6G - Roln i ochrona środ.'!K120</f>
        <v>0</v>
      </c>
      <c r="I66" s="212">
        <f>+'Tab. 6A -Drogi'!L540+'Tab. 6G - Roln i ochrona środ.'!L120</f>
        <v>0</v>
      </c>
      <c r="J66" s="1388">
        <f>B66+I66+C66+D66+E66+F66+G66+H66</f>
        <v>62449201</v>
      </c>
      <c r="K66" s="3378"/>
      <c r="L66" s="815">
        <f>J66-J55</f>
        <v>0</v>
      </c>
      <c r="N66" s="3235"/>
    </row>
    <row r="67" spans="1:17" s="369" customFormat="1" ht="14.25" customHeight="1">
      <c r="A67" s="809" t="s">
        <v>174</v>
      </c>
      <c r="B67" s="715">
        <f>+'Tab. 6F - Kultura'!E19+'Tab. 6D - Oświata'!E116+'Tab. 6A -Drogi'!E537</f>
        <v>37278717</v>
      </c>
      <c r="C67" s="810">
        <f>+'Tab. 6F - Kultura'!F19+'Tab. 6D - Oświata'!F116+'Tab. 6A -Drogi'!F537</f>
        <v>26479969</v>
      </c>
      <c r="D67" s="810">
        <f>+'Tab. 6F - Kultura'!G19+'Tab. 6D - Oświata'!G116+'Tab. 6A -Drogi'!G537</f>
        <v>39323352</v>
      </c>
      <c r="E67" s="810">
        <f>+'Tab. 6F - Kultura'!H19+'Tab. 6D - Oświata'!H116+'Tab. 6A -Drogi'!H537</f>
        <v>33387250</v>
      </c>
      <c r="F67" s="810">
        <f>+'Tab. 6F - Kultura'!I19+'Tab. 6D - Oświata'!I116+'Tab. 6A -Drogi'!I537</f>
        <v>5675073</v>
      </c>
      <c r="G67" s="810">
        <f>+'Tab. 6F - Kultura'!J19+'Tab. 6D - Oświata'!J116+'Tab. 6A -Drogi'!J537</f>
        <v>1650729</v>
      </c>
      <c r="H67" s="811">
        <f>+'Tab. 6F - Kultura'!K19+'Tab. 6D - Oświata'!K116+'Tab. 6A -Drogi'!K537</f>
        <v>0</v>
      </c>
      <c r="I67" s="810">
        <f>+'Tab. 6F - Kultura'!L19+'Tab. 6A -Drogi'!L537</f>
        <v>0</v>
      </c>
      <c r="J67" s="1388">
        <f>B67+I67+C67+D67+E67+F67+G67+H67</f>
        <v>143795090</v>
      </c>
      <c r="K67" s="3378"/>
      <c r="L67" s="815"/>
      <c r="N67" s="3235"/>
    </row>
    <row r="68" spans="1:17" s="369" customFormat="1" ht="14.25" customHeight="1">
      <c r="A68" s="367" t="s">
        <v>17</v>
      </c>
      <c r="B68" s="3234">
        <f t="shared" ref="B68:H68" si="28">SUM(B69:B69)</f>
        <v>535100</v>
      </c>
      <c r="C68" s="3236">
        <f t="shared" si="28"/>
        <v>6072995</v>
      </c>
      <c r="D68" s="3236">
        <f t="shared" si="28"/>
        <v>33990393</v>
      </c>
      <c r="E68" s="3236">
        <f t="shared" si="28"/>
        <v>48335099</v>
      </c>
      <c r="F68" s="3236">
        <f t="shared" si="28"/>
        <v>16344492</v>
      </c>
      <c r="G68" s="3236">
        <f t="shared" si="28"/>
        <v>10092500</v>
      </c>
      <c r="H68" s="3250">
        <f t="shared" si="28"/>
        <v>0</v>
      </c>
      <c r="I68" s="3237">
        <f>SUM(I69:I69)</f>
        <v>0</v>
      </c>
      <c r="J68" s="1401">
        <f>+J69</f>
        <v>115370579</v>
      </c>
      <c r="K68" s="3378"/>
      <c r="L68" s="815"/>
      <c r="N68" s="3235"/>
    </row>
    <row r="69" spans="1:17" s="369" customFormat="1" ht="15.75" customHeight="1" thickBot="1">
      <c r="A69" s="830" t="s">
        <v>33</v>
      </c>
      <c r="B69" s="1839">
        <f>+'Tab. 6D - Oświata'!E118+'Tab. 6F - Kultura'!E22+'Tab. 6C - Ochrona zdrowia'!E65</f>
        <v>535100</v>
      </c>
      <c r="C69" s="1839">
        <f>+'Tab. 6D - Oświata'!F118+'Tab. 6F - Kultura'!F22+'Tab. 6C - Ochrona zdrowia'!F65</f>
        <v>6072995</v>
      </c>
      <c r="D69" s="1839">
        <f>+'Tab. 6D - Oświata'!G118+'Tab. 6F - Kultura'!G22+'Tab. 6C - Ochrona zdrowia'!G65</f>
        <v>33990393</v>
      </c>
      <c r="E69" s="1839">
        <f>+'Tab. 6D - Oświata'!H118+'Tab. 6F - Kultura'!H22+'Tab. 6C - Ochrona zdrowia'!H65</f>
        <v>48335099</v>
      </c>
      <c r="F69" s="1839">
        <f>+'Tab. 6D - Oświata'!I118+'Tab. 6F - Kultura'!I22+'Tab. 6C - Ochrona zdrowia'!I65</f>
        <v>16344492</v>
      </c>
      <c r="G69" s="1839">
        <f>+'Tab. 6D - Oświata'!J118+'Tab. 6F - Kultura'!J22+'Tab. 6C - Ochrona zdrowia'!J65</f>
        <v>10092500</v>
      </c>
      <c r="H69" s="3251">
        <f>+'Tab. 6D - Oświata'!K118+'Tab. 6F - Kultura'!K22+'Tab. 6C - Ochrona zdrowia'!K65</f>
        <v>0</v>
      </c>
      <c r="I69" s="1839">
        <f>+'Tab. 6F - Kultura'!L22+'Tab. 6C - Ochrona zdrowia'!L65</f>
        <v>0</v>
      </c>
      <c r="J69" s="1402">
        <f>B69+I69+C69+D69+E69+F69+G69+H69</f>
        <v>115370579</v>
      </c>
      <c r="K69" s="3379"/>
      <c r="L69" s="815"/>
      <c r="M69" s="815"/>
      <c r="N69" s="3252"/>
    </row>
    <row r="70" spans="1:17" s="369" customFormat="1" ht="9.75" customHeight="1" thickBot="1">
      <c r="A70" s="802"/>
      <c r="B70" s="803"/>
      <c r="C70" s="803"/>
      <c r="D70" s="803"/>
      <c r="E70" s="803"/>
      <c r="F70" s="817"/>
      <c r="G70" s="816"/>
      <c r="H70" s="816"/>
      <c r="I70" s="803"/>
      <c r="J70" s="818"/>
      <c r="K70" s="818"/>
      <c r="L70" s="815"/>
      <c r="N70" s="3253"/>
    </row>
    <row r="71" spans="1:17" s="804" customFormat="1" ht="18" customHeight="1" thickBot="1">
      <c r="A71" s="831" t="s">
        <v>25</v>
      </c>
      <c r="B71" s="832">
        <f>+B52-B60-B56</f>
        <v>584827259</v>
      </c>
      <c r="C71" s="832">
        <f t="shared" ref="C71:J71" si="29">+C52-C60-C56</f>
        <v>225308093</v>
      </c>
      <c r="D71" s="832">
        <f t="shared" si="29"/>
        <v>290843941</v>
      </c>
      <c r="E71" s="832">
        <f t="shared" si="29"/>
        <v>232474212</v>
      </c>
      <c r="F71" s="832">
        <f t="shared" si="29"/>
        <v>65311387</v>
      </c>
      <c r="G71" s="832">
        <f t="shared" si="29"/>
        <v>33173283</v>
      </c>
      <c r="H71" s="832">
        <f t="shared" si="29"/>
        <v>10208912</v>
      </c>
      <c r="I71" s="2999">
        <f>+I52-I60-I56</f>
        <v>0</v>
      </c>
      <c r="J71" s="832">
        <f t="shared" si="29"/>
        <v>1475783412</v>
      </c>
      <c r="K71" s="834">
        <f>+D71+E71+F71+G71+H71+'Tab. 6C - Ochrona zdrowia'!O88+'Tab. 6C - Ochrona zdrowia'!O93</f>
        <v>665648060</v>
      </c>
      <c r="L71" s="822">
        <f>+C71+D71+E71+F71+G71+H71+L72-K71</f>
        <v>225308093</v>
      </c>
      <c r="M71" s="822">
        <f>J54+J55+J57+J58+J59-J71</f>
        <v>0</v>
      </c>
      <c r="N71" s="3254"/>
      <c r="P71" s="2676">
        <v>653048060</v>
      </c>
      <c r="Q71" s="2676">
        <f t="shared" ref="Q71" si="30">K71-P71</f>
        <v>12600000</v>
      </c>
    </row>
    <row r="72" spans="1:17" s="804" customFormat="1" ht="18" customHeight="1" thickBot="1">
      <c r="A72" s="831" t="s">
        <v>26</v>
      </c>
      <c r="B72" s="835">
        <f t="shared" ref="B72:H72" si="31">+B62-B68</f>
        <v>106589985</v>
      </c>
      <c r="C72" s="836">
        <f t="shared" si="31"/>
        <v>65454250</v>
      </c>
      <c r="D72" s="836">
        <f t="shared" si="31"/>
        <v>47742637</v>
      </c>
      <c r="E72" s="836">
        <f t="shared" si="31"/>
        <v>41806535</v>
      </c>
      <c r="F72" s="836">
        <f t="shared" si="31"/>
        <v>5675073</v>
      </c>
      <c r="G72" s="835">
        <f t="shared" si="31"/>
        <v>1650729</v>
      </c>
      <c r="H72" s="835">
        <f t="shared" si="31"/>
        <v>0</v>
      </c>
      <c r="I72" s="3000">
        <f>+I62-I68</f>
        <v>0</v>
      </c>
      <c r="J72" s="833">
        <f>SUM(C72:H72)+B72</f>
        <v>268919209</v>
      </c>
      <c r="K72" s="837" t="s">
        <v>21</v>
      </c>
      <c r="L72" s="822">
        <f>+'Tab. 6C - Ochrona zdrowia'!O88+'Tab. 6C - Ochrona zdrowia'!O93</f>
        <v>33636325</v>
      </c>
      <c r="M72" s="804" t="s">
        <v>336</v>
      </c>
      <c r="N72" s="3254"/>
    </row>
    <row r="73" spans="1:17" s="839" customFormat="1" ht="15" customHeight="1" thickBot="1">
      <c r="A73" s="3255"/>
      <c r="B73" s="838"/>
      <c r="C73" s="838"/>
      <c r="D73" s="838"/>
      <c r="E73" s="838"/>
      <c r="F73" s="838"/>
      <c r="G73" s="838"/>
      <c r="H73" s="838"/>
      <c r="I73" s="3001"/>
      <c r="J73" s="838"/>
      <c r="K73" s="838"/>
      <c r="L73" s="850"/>
      <c r="N73" s="3256"/>
    </row>
    <row r="74" spans="1:17" s="839" customFormat="1" ht="18" customHeight="1" thickBot="1">
      <c r="A74" s="840" t="s">
        <v>34</v>
      </c>
      <c r="B74" s="841">
        <f>B75+B76</f>
        <v>947794329</v>
      </c>
      <c r="C74" s="841">
        <f t="shared" ref="C74" si="32">C75+C76</f>
        <v>659038207</v>
      </c>
      <c r="D74" s="841">
        <f t="shared" ref="D74:K74" si="33">D75+D76</f>
        <v>665478420</v>
      </c>
      <c r="E74" s="841">
        <f t="shared" si="33"/>
        <v>559488441</v>
      </c>
      <c r="F74" s="841">
        <f t="shared" si="33"/>
        <v>192829117</v>
      </c>
      <c r="G74" s="841">
        <f t="shared" si="33"/>
        <v>72180118</v>
      </c>
      <c r="H74" s="841">
        <f t="shared" si="33"/>
        <v>46173091</v>
      </c>
      <c r="I74" s="3002">
        <f>I75+I76</f>
        <v>0</v>
      </c>
      <c r="J74" s="842">
        <f t="shared" si="33"/>
        <v>3176618048</v>
      </c>
      <c r="K74" s="843">
        <f t="shared" si="33"/>
        <v>1569785512</v>
      </c>
      <c r="L74" s="850"/>
      <c r="N74" s="3256"/>
      <c r="P74" s="2676">
        <v>1551877189</v>
      </c>
      <c r="Q74" s="2676">
        <f t="shared" ref="Q74:Q76" si="34">K74-P74</f>
        <v>17908323</v>
      </c>
    </row>
    <row r="75" spans="1:17" s="839" customFormat="1" ht="18" customHeight="1" thickTop="1" thickBot="1">
      <c r="A75" s="2441" t="s">
        <v>35</v>
      </c>
      <c r="B75" s="844">
        <f t="shared" ref="B75:K75" si="35">B13+B49</f>
        <v>593171468</v>
      </c>
      <c r="C75" s="844">
        <f t="shared" si="35"/>
        <v>231011956</v>
      </c>
      <c r="D75" s="844">
        <f>D13+D49</f>
        <v>258782905</v>
      </c>
      <c r="E75" s="844">
        <f t="shared" si="35"/>
        <v>227369347</v>
      </c>
      <c r="F75" s="844">
        <f t="shared" si="35"/>
        <v>87424443</v>
      </c>
      <c r="G75" s="844">
        <f t="shared" si="35"/>
        <v>70507873</v>
      </c>
      <c r="H75" s="844">
        <f t="shared" si="35"/>
        <v>46028591</v>
      </c>
      <c r="I75" s="3003">
        <f>I13+I49</f>
        <v>0</v>
      </c>
      <c r="J75" s="845">
        <f t="shared" si="35"/>
        <v>1547932908</v>
      </c>
      <c r="K75" s="846">
        <f t="shared" si="35"/>
        <v>723749484</v>
      </c>
      <c r="L75" s="850"/>
      <c r="N75" s="3257"/>
      <c r="P75" s="2676">
        <v>711712603</v>
      </c>
      <c r="Q75" s="2676">
        <f t="shared" si="34"/>
        <v>12036881</v>
      </c>
    </row>
    <row r="76" spans="1:17" s="839" customFormat="1" ht="18" customHeight="1" thickBot="1">
      <c r="A76" s="2442" t="s">
        <v>36</v>
      </c>
      <c r="B76" s="844">
        <f t="shared" ref="B76:K76" si="36">B14+B50</f>
        <v>354622861</v>
      </c>
      <c r="C76" s="844">
        <f t="shared" si="36"/>
        <v>428026251</v>
      </c>
      <c r="D76" s="844">
        <f>D14+D50</f>
        <v>406695515</v>
      </c>
      <c r="E76" s="844">
        <f t="shared" si="36"/>
        <v>332119094</v>
      </c>
      <c r="F76" s="844">
        <f t="shared" si="36"/>
        <v>105404674</v>
      </c>
      <c r="G76" s="844">
        <f t="shared" si="36"/>
        <v>1672245</v>
      </c>
      <c r="H76" s="844">
        <f t="shared" si="36"/>
        <v>144500</v>
      </c>
      <c r="I76" s="3003">
        <f>I14+I50</f>
        <v>0</v>
      </c>
      <c r="J76" s="845">
        <f t="shared" si="36"/>
        <v>1628685140</v>
      </c>
      <c r="K76" s="846">
        <f t="shared" si="36"/>
        <v>846036028</v>
      </c>
      <c r="L76" s="850"/>
      <c r="N76" s="3258"/>
      <c r="P76" s="2676">
        <v>840164586</v>
      </c>
      <c r="Q76" s="2676">
        <f t="shared" si="34"/>
        <v>5871442</v>
      </c>
    </row>
    <row r="77" spans="1:17" s="839" customFormat="1" ht="18" customHeight="1" thickBot="1">
      <c r="A77" s="2444" t="s">
        <v>37</v>
      </c>
      <c r="B77" s="847">
        <f t="shared" ref="B77:J77" si="37">B38+B72</f>
        <v>396733171</v>
      </c>
      <c r="C77" s="847">
        <f t="shared" si="37"/>
        <v>456334378</v>
      </c>
      <c r="D77" s="847">
        <f>D38+D72</f>
        <v>344431896</v>
      </c>
      <c r="E77" s="847">
        <f t="shared" si="37"/>
        <v>301781786</v>
      </c>
      <c r="F77" s="847">
        <f t="shared" si="37"/>
        <v>135398391</v>
      </c>
      <c r="G77" s="847">
        <f t="shared" si="37"/>
        <v>36613469</v>
      </c>
      <c r="H77" s="847">
        <f t="shared" si="37"/>
        <v>31994737</v>
      </c>
      <c r="I77" s="3004">
        <f>I38+I72</f>
        <v>0</v>
      </c>
      <c r="J77" s="847">
        <f t="shared" si="37"/>
        <v>1716754542</v>
      </c>
      <c r="K77" s="848" t="s">
        <v>21</v>
      </c>
      <c r="L77" s="850">
        <f>'Tab. 6A -Drogi'!D22+'Tab. 6A -Drogi'!D535+'Tab. 6B Polit społ i rozwój prz'!D18+'Tab. 6C - Ochrona zdrowia'!D61+'Tab. 6D - Oświata'!D19+'Tab. 6E - Administracja'!D20+'Tab. 6E - Administracja'!D245+'Tab. 6F - Kultura'!D19+'Tab. 6G - Roln i ochrona środ.'!D21+'Tab. 6G - Roln i ochrona środ.'!D115+'Tab. 6H - Kultura fiz. i turyst'!D18+'Tab.6I - Planow. przestrz.'!D19+'Tab. 6C - Ochrona zdrowia'!D16</f>
        <v>1716754542</v>
      </c>
      <c r="M77" s="839" t="s">
        <v>197</v>
      </c>
      <c r="N77" s="3258"/>
    </row>
    <row r="78" spans="1:17" s="839" customFormat="1" ht="18.75" customHeight="1" thickTop="1">
      <c r="A78" s="2443" t="s">
        <v>38</v>
      </c>
      <c r="B78" s="844">
        <f>B84+B88</f>
        <v>178826383</v>
      </c>
      <c r="C78" s="844">
        <f t="shared" ref="C78:C79" si="38">C84+C88</f>
        <v>121757592</v>
      </c>
      <c r="D78" s="844">
        <f>D84+D88</f>
        <v>121432355</v>
      </c>
      <c r="E78" s="844">
        <f t="shared" ref="E78:H79" si="39">E84+E88</f>
        <v>88030999</v>
      </c>
      <c r="F78" s="844">
        <f t="shared" si="39"/>
        <v>43957371</v>
      </c>
      <c r="G78" s="844">
        <f t="shared" si="39"/>
        <v>36413469</v>
      </c>
      <c r="H78" s="844">
        <f t="shared" si="39"/>
        <v>31850237</v>
      </c>
      <c r="I78" s="3003">
        <f>I84+I88</f>
        <v>0</v>
      </c>
      <c r="J78" s="844">
        <f>J84+J88</f>
        <v>635685120</v>
      </c>
      <c r="K78" s="849" t="s">
        <v>21</v>
      </c>
      <c r="L78" s="850">
        <f>J77-L77</f>
        <v>0</v>
      </c>
      <c r="M78" s="850"/>
      <c r="N78" s="3259"/>
    </row>
    <row r="79" spans="1:17" s="839" customFormat="1" ht="16.5" customHeight="1" thickBot="1">
      <c r="A79" s="2040" t="s">
        <v>39</v>
      </c>
      <c r="B79" s="3260">
        <f>B85+B89</f>
        <v>217906788</v>
      </c>
      <c r="C79" s="3260">
        <f t="shared" si="38"/>
        <v>334576786</v>
      </c>
      <c r="D79" s="3260">
        <f>D85+D89</f>
        <v>222999541</v>
      </c>
      <c r="E79" s="3260">
        <f t="shared" si="39"/>
        <v>213750787</v>
      </c>
      <c r="F79" s="3260">
        <f t="shared" si="39"/>
        <v>91441020</v>
      </c>
      <c r="G79" s="3260">
        <f t="shared" si="39"/>
        <v>200000</v>
      </c>
      <c r="H79" s="3260">
        <f t="shared" si="39"/>
        <v>144500</v>
      </c>
      <c r="I79" s="3261">
        <f>I85+I89</f>
        <v>0</v>
      </c>
      <c r="J79" s="3260">
        <f>J85+J89</f>
        <v>1081069422</v>
      </c>
      <c r="K79" s="851" t="s">
        <v>21</v>
      </c>
      <c r="L79" s="850">
        <f>L77-J83-J87</f>
        <v>0</v>
      </c>
      <c r="N79" s="3262"/>
    </row>
    <row r="80" spans="1:17" s="839" customFormat="1" ht="18" hidden="1" customHeight="1" thickBot="1">
      <c r="A80" s="3263" t="s">
        <v>40</v>
      </c>
      <c r="B80" s="852">
        <f>B78+B79-B77</f>
        <v>0</v>
      </c>
      <c r="C80" s="852">
        <f t="shared" ref="C80:H80" si="40">C78+C79-C77</f>
        <v>0</v>
      </c>
      <c r="D80" s="852">
        <f>D78+D79-D77</f>
        <v>0</v>
      </c>
      <c r="E80" s="852">
        <f>E78+E79-E77</f>
        <v>0</v>
      </c>
      <c r="F80" s="852">
        <f t="shared" si="40"/>
        <v>0</v>
      </c>
      <c r="G80" s="852">
        <f t="shared" si="40"/>
        <v>0</v>
      </c>
      <c r="H80" s="852">
        <f t="shared" si="40"/>
        <v>0</v>
      </c>
      <c r="I80" s="3005">
        <f>I78+I79-I77</f>
        <v>0</v>
      </c>
      <c r="J80" s="852">
        <f>J78+J79-J77</f>
        <v>0</v>
      </c>
      <c r="K80" s="850"/>
      <c r="L80" s="850"/>
      <c r="M80" s="850"/>
      <c r="N80" s="3258"/>
    </row>
    <row r="81" spans="1:14" s="839" customFormat="1" ht="15.75" hidden="1" customHeight="1" thickBot="1">
      <c r="A81" s="3264"/>
      <c r="B81" s="852"/>
      <c r="C81" s="1904">
        <v>2018</v>
      </c>
      <c r="D81" s="1904">
        <v>2019</v>
      </c>
      <c r="E81" s="1904">
        <v>2020</v>
      </c>
      <c r="F81" s="1904">
        <v>2021</v>
      </c>
      <c r="G81" s="1904">
        <v>2022</v>
      </c>
      <c r="H81" s="1904">
        <v>2023</v>
      </c>
      <c r="I81" s="1904"/>
      <c r="J81" s="852"/>
      <c r="K81" s="850"/>
      <c r="L81" s="850"/>
      <c r="N81" s="3258"/>
    </row>
    <row r="82" spans="1:14" s="839" customFormat="1" ht="18" hidden="1" customHeight="1" thickBot="1">
      <c r="A82" s="3265" t="s">
        <v>41</v>
      </c>
      <c r="B82" s="853">
        <f t="shared" ref="B82:J82" si="41">B27-B83</f>
        <v>0</v>
      </c>
      <c r="C82" s="853">
        <f t="shared" si="41"/>
        <v>0</v>
      </c>
      <c r="D82" s="853">
        <f>D27-D83</f>
        <v>0</v>
      </c>
      <c r="E82" s="853">
        <f t="shared" si="41"/>
        <v>0</v>
      </c>
      <c r="F82" s="853">
        <f t="shared" si="41"/>
        <v>0</v>
      </c>
      <c r="G82" s="853">
        <f t="shared" si="41"/>
        <v>0</v>
      </c>
      <c r="H82" s="853">
        <f t="shared" si="41"/>
        <v>0</v>
      </c>
      <c r="I82" s="3006">
        <f>I27-I83</f>
        <v>0</v>
      </c>
      <c r="J82" s="853">
        <f t="shared" si="41"/>
        <v>0</v>
      </c>
      <c r="K82" s="850">
        <f>J83-K83</f>
        <v>0</v>
      </c>
      <c r="L82" s="850"/>
      <c r="M82" s="850">
        <f>L83+L87-L77</f>
        <v>0</v>
      </c>
      <c r="N82" s="3259"/>
    </row>
    <row r="83" spans="1:14" s="839" customFormat="1" ht="18" hidden="1" customHeight="1" thickBot="1">
      <c r="A83" s="2041" t="s">
        <v>42</v>
      </c>
      <c r="B83" s="854">
        <f t="shared" ref="B83:C83" si="42">B84+B85</f>
        <v>290143186</v>
      </c>
      <c r="C83" s="854">
        <f t="shared" si="42"/>
        <v>390880128</v>
      </c>
      <c r="D83" s="854">
        <f>D84+D85</f>
        <v>296689259</v>
      </c>
      <c r="E83" s="854">
        <f t="shared" ref="E83:M83" si="43">E84+E85</f>
        <v>259975251</v>
      </c>
      <c r="F83" s="854">
        <f t="shared" si="43"/>
        <v>129723318</v>
      </c>
      <c r="G83" s="854">
        <f t="shared" si="43"/>
        <v>34962740</v>
      </c>
      <c r="H83" s="854">
        <f t="shared" si="43"/>
        <v>31994737</v>
      </c>
      <c r="I83" s="3007">
        <f>I84+I85</f>
        <v>0</v>
      </c>
      <c r="J83" s="855">
        <f>J84+J85</f>
        <v>1447835333</v>
      </c>
      <c r="K83" s="850">
        <f>'Tab. 6A -Drogi'!D22+'Tab. 6B Polit społ i rozwój prz'!D18+'Tab. 6D - Oświata'!D19+'Tab. 6E - Administracja'!D20+'Tab. 6G - Roln i ochrona środ.'!D21+'Tab. 6H - Kultura fiz. i turyst'!D18+'Tab.6I - Planow. przestrz.'!D19+'Tab. 6C - Ochrona zdrowia'!D16</f>
        <v>1447835333</v>
      </c>
      <c r="L83" s="855">
        <f>L84+L85</f>
        <v>1447835333</v>
      </c>
      <c r="M83" s="2172">
        <f t="shared" si="43"/>
        <v>0</v>
      </c>
      <c r="N83" s="3266" t="s">
        <v>331</v>
      </c>
    </row>
    <row r="84" spans="1:14" s="839" customFormat="1" ht="20.25" hidden="1" customHeight="1">
      <c r="A84" s="2073" t="s">
        <v>38</v>
      </c>
      <c r="B84" s="856">
        <f>'Tab. 6A -Drogi'!E682+'Tab. 6B Polit społ i rozwój prz'!E295+'Tab. 6D - Oświata'!E146+'Tab. 6E - Administracja'!E270+'Tab. 6G - Roln i ochrona środ.'!E144+'Tab. 6H - Kultura fiz. i turyst'!E299+'Tab.6I - Planow. przestrz.'!E119</f>
        <v>74418398</v>
      </c>
      <c r="C84" s="856">
        <f>'Tab. 6A -Drogi'!F682+'Tab. 6B Polit społ i rozwój prz'!F295+'Tab. 6D - Oświata'!F146+'Tab. 6E - Administracja'!F270+'Tab. 6G - Roln i ochrona środ.'!F144+'Tab. 6H - Kultura fiz. i turyst'!F299+'Tab.6I - Planow. przestrz.'!F119+'Tab. 6C - Ochrona zdrowia'!F109</f>
        <v>60346993</v>
      </c>
      <c r="D84" s="856">
        <f>'Tab. 6A -Drogi'!G682+'Tab. 6B Polit społ i rozwój prz'!G295+'Tab. 6D - Oświata'!G146+'Tab. 6E - Administracja'!G270+'Tab. 6G - Roln i ochrona środ.'!G144+'Tab. 6H - Kultura fiz. i turyst'!G299+'Tab.6I - Planow. przestrz.'!G119+'Tab. 6C - Ochrona zdrowia'!G109</f>
        <v>73689718</v>
      </c>
      <c r="E84" s="856">
        <f>'Tab. 6A -Drogi'!H682+'Tab. 6B Polit społ i rozwój prz'!H295+'Tab. 6D - Oświata'!H146+'Tab. 6E - Administracja'!H270+'Tab. 6G - Roln i ochrona środ.'!H144+'Tab. 6H - Kultura fiz. i turyst'!H299+'Tab.6I - Planow. przestrz.'!H119+'Tab. 6C - Ochrona zdrowia'!H109</f>
        <v>46224464</v>
      </c>
      <c r="F84" s="856">
        <f>'Tab. 6A -Drogi'!I682+'Tab. 6B Polit społ i rozwój prz'!I295+'Tab. 6D - Oświata'!I146+'Tab. 6E - Administracja'!I270+'Tab. 6G - Roln i ochrona środ.'!I144+'Tab. 6H - Kultura fiz. i turyst'!I299+'Tab.6I - Planow. przestrz.'!I119+'Tab. 6C - Ochrona zdrowia'!I109</f>
        <v>38282298</v>
      </c>
      <c r="G84" s="856">
        <f>'Tab. 6A -Drogi'!J682+'Tab. 6B Polit społ i rozwój prz'!J295+'Tab. 6D - Oświata'!J146+'Tab. 6E - Administracja'!J270+'Tab. 6G - Roln i ochrona środ.'!J144+'Tab. 6H - Kultura fiz. i turyst'!J299+'Tab.6I - Planow. przestrz.'!J119</f>
        <v>34762740</v>
      </c>
      <c r="H84" s="856">
        <f>'Tab. 6A -Drogi'!K682+'Tab. 6B Polit społ i rozwój prz'!K295+'Tab. 6D - Oświata'!K146+'Tab. 6E - Administracja'!K270+'Tab. 6G - Roln i ochrona środ.'!K144+'Tab. 6H - Kultura fiz. i turyst'!K299+'Tab.6I - Planow. przestrz.'!K119</f>
        <v>31850237</v>
      </c>
      <c r="I84" s="3008">
        <f>'Tab. 6A -Drogi'!L682+'Tab. 6B Polit społ i rozwój prz'!L295+'Tab. 6D - Oświata'!L146+'Tab. 6E - Administracja'!L270+'Tab. 6G - Roln i ochrona środ.'!L144+'Tab. 6H - Kultura fiz. i turyst'!L299+'Tab.6I - Planow. przestrz.'!L119</f>
        <v>0</v>
      </c>
      <c r="J84" s="857">
        <f>B84+I84+C84+D84+E84+F84+G84+H84+2029435+2998719+2055406+3812897+2520257</f>
        <v>372991562</v>
      </c>
      <c r="L84" s="1000">
        <f>'Tab. 6A -Drogi'!D682+'Tab. 6B Polit społ i rozwój prz'!D295+'Tab. 6D - Oświata'!D146+'Tab. 6E - Administracja'!D270+'Tab. 6G - Roln i ochrona środ.'!D144+'Tab. 6H - Kultura fiz. i turyst'!D299+'Tab.6I - Planow. przestrz.'!D119+'Tab. 6C - Ochrona zdrowia'!D109</f>
        <v>372991562</v>
      </c>
      <c r="M84" s="1000">
        <f>J84-L84</f>
        <v>0</v>
      </c>
      <c r="N84" s="3267"/>
    </row>
    <row r="85" spans="1:14" s="839" customFormat="1" ht="18" hidden="1" customHeight="1" thickBot="1">
      <c r="A85" s="2069" t="s">
        <v>39</v>
      </c>
      <c r="B85" s="856">
        <f>'Tab. 6A -Drogi'!E683+'Tab. 6B Polit społ i rozwój prz'!E296+'Tab. 6D - Oświata'!E147+'Tab. 6E - Administracja'!E271+'Tab. 6G - Roln i ochrona środ.'!E145+'Tab. 6H - Kultura fiz. i turyst'!E300+'Tab.6I - Planow. przestrz.'!E120</f>
        <v>215724788</v>
      </c>
      <c r="C85" s="856">
        <f>'Tab. 6A -Drogi'!F683+'Tab. 6B Polit społ i rozwój prz'!F296+'Tab. 6D - Oświata'!F147+'Tab. 6E - Administracja'!F271+'Tab. 6G - Roln i ochrona środ.'!F145+'Tab. 6H - Kultura fiz. i turyst'!F300+'Tab.6I - Planow. przestrz.'!F120+'Tab. 6C - Ochrona zdrowia'!F110</f>
        <v>330533135</v>
      </c>
      <c r="D85" s="856">
        <f>'Tab. 6A -Drogi'!G683+'Tab. 6B Polit społ i rozwój prz'!G296+'Tab. 6D - Oświata'!G147+'Tab. 6E - Administracja'!G271+'Tab. 6G - Roln i ochrona środ.'!G145+'Tab. 6H - Kultura fiz. i turyst'!G300+'Tab.6I - Planow. przestrz.'!G120+'Tab. 6C - Ochrona zdrowia'!G110</f>
        <v>222999541</v>
      </c>
      <c r="E85" s="856">
        <f>'Tab. 6A -Drogi'!H683+'Tab. 6B Polit społ i rozwój prz'!H296+'Tab. 6D - Oświata'!H147+'Tab. 6E - Administracja'!H271+'Tab. 6G - Roln i ochrona środ.'!H145+'Tab. 6H - Kultura fiz. i turyst'!H300+'Tab.6I - Planow. przestrz.'!H120+'Tab. 6C - Ochrona zdrowia'!H110</f>
        <v>213750787</v>
      </c>
      <c r="F85" s="856">
        <f>'Tab. 6A -Drogi'!I683+'Tab. 6B Polit społ i rozwój prz'!I296+'Tab. 6D - Oświata'!I147+'Tab. 6E - Administracja'!I271+'Tab. 6G - Roln i ochrona środ.'!I145+'Tab. 6H - Kultura fiz. i turyst'!I300+'Tab.6I - Planow. przestrz.'!I120+'Tab. 6C - Ochrona zdrowia'!I110</f>
        <v>91441020</v>
      </c>
      <c r="G85" s="856">
        <f>'Tab. 6A -Drogi'!J683+'Tab. 6B Polit społ i rozwój prz'!J296+'Tab. 6D - Oświata'!J147+'Tab. 6E - Administracja'!J271+'Tab. 6G - Roln i ochrona środ.'!J145+'Tab. 6H - Kultura fiz. i turyst'!J300+'Tab.6I - Planow. przestrz.'!J120</f>
        <v>200000</v>
      </c>
      <c r="H85" s="856">
        <f>'Tab. 6A -Drogi'!K683+'Tab. 6B Polit społ i rozwój prz'!K296+'Tab. 6D - Oświata'!K147+'Tab. 6E - Administracja'!K271+'Tab. 6G - Roln i ochrona środ.'!K145+'Tab. 6H - Kultura fiz. i turyst'!K300+'Tab.6I - Planow. przestrz.'!K120</f>
        <v>144500</v>
      </c>
      <c r="I85" s="3008">
        <f>'Tab. 6A -Drogi'!L683+'Tab. 6B Polit społ i rozwój prz'!L296+'Tab. 6D - Oświata'!L147+'Tab. 6E - Administracja'!L271+'Tab. 6G - Roln i ochrona środ.'!L145+'Tab. 6H - Kultura fiz. i turyst'!L300+'Tab.6I - Planow. przestrz.'!L120</f>
        <v>0</v>
      </c>
      <c r="J85" s="857">
        <f>B85+I85+C85+D85+E85+F85+G85+H85+11590+299481-61071-200000</f>
        <v>1074843771</v>
      </c>
      <c r="K85" s="850"/>
      <c r="L85" s="1000">
        <f>'Tab. 6A -Drogi'!D683+'Tab. 6B Polit społ i rozwój prz'!D296+'Tab. 6E - Administracja'!D271+'Tab. 6G - Roln i ochrona środ.'!D145+'Tab. 6H - Kultura fiz. i turyst'!D300+'Tab.6I - Planow. przestrz.'!D120+'Tab. 6C - Ochrona zdrowia'!D110</f>
        <v>1074843771</v>
      </c>
      <c r="M85" s="2136">
        <f>J85-L85</f>
        <v>0</v>
      </c>
      <c r="N85" s="3268"/>
    </row>
    <row r="86" spans="1:14" s="839" customFormat="1" ht="24" hidden="1" customHeight="1" thickBot="1">
      <c r="A86" s="3265" t="s">
        <v>43</v>
      </c>
      <c r="B86" s="2126">
        <f t="shared" ref="B86:J86" si="44">B72-B87</f>
        <v>0</v>
      </c>
      <c r="C86" s="2126">
        <f t="shared" si="44"/>
        <v>0</v>
      </c>
      <c r="D86" s="2126">
        <f>D72-D87</f>
        <v>0</v>
      </c>
      <c r="E86" s="2126">
        <f>E72-E87</f>
        <v>0</v>
      </c>
      <c r="F86" s="2126">
        <f t="shared" si="44"/>
        <v>0</v>
      </c>
      <c r="G86" s="2126">
        <f t="shared" si="44"/>
        <v>0</v>
      </c>
      <c r="H86" s="2126">
        <f t="shared" si="44"/>
        <v>0</v>
      </c>
      <c r="I86" s="3009">
        <f>I72-I87</f>
        <v>0</v>
      </c>
      <c r="J86" s="2126">
        <f t="shared" si="44"/>
        <v>0</v>
      </c>
      <c r="K86" s="2135"/>
      <c r="L86" s="2136"/>
      <c r="M86" s="2160"/>
      <c r="N86" s="3269"/>
    </row>
    <row r="87" spans="1:14" s="839" customFormat="1" ht="20.25" hidden="1" customHeight="1" thickBot="1">
      <c r="A87" s="2041" t="s">
        <v>42</v>
      </c>
      <c r="B87" s="2123">
        <f>B88+B89</f>
        <v>106589985</v>
      </c>
      <c r="C87" s="2123">
        <f t="shared" ref="C87:J87" si="45">C88+C89</f>
        <v>65454250</v>
      </c>
      <c r="D87" s="2123">
        <f t="shared" si="45"/>
        <v>47742637</v>
      </c>
      <c r="E87" s="2123">
        <f t="shared" si="45"/>
        <v>41806535</v>
      </c>
      <c r="F87" s="2123">
        <f t="shared" si="45"/>
        <v>5675073</v>
      </c>
      <c r="G87" s="2123">
        <f>G88+G89</f>
        <v>1650729</v>
      </c>
      <c r="H87" s="2123">
        <f>H88+H89</f>
        <v>0</v>
      </c>
      <c r="I87" s="3010">
        <f>I88+I89</f>
        <v>0</v>
      </c>
      <c r="J87" s="2132">
        <f t="shared" si="45"/>
        <v>268919209</v>
      </c>
      <c r="K87" s="2043"/>
      <c r="L87" s="2132">
        <f t="shared" ref="L87:M87" si="46">L88+L89</f>
        <v>268919209</v>
      </c>
      <c r="M87" s="2132">
        <f t="shared" si="46"/>
        <v>0</v>
      </c>
      <c r="N87" s="3270" t="s">
        <v>331</v>
      </c>
    </row>
    <row r="88" spans="1:14" s="839" customFormat="1" ht="19.5" hidden="1" customHeight="1">
      <c r="A88" s="2080" t="s">
        <v>38</v>
      </c>
      <c r="B88" s="2081">
        <f>'Tab. 6A -Drogi'!E689+'Tab. 6F - Kultura'!E19</f>
        <v>104407985</v>
      </c>
      <c r="C88" s="2081">
        <f>'Tab. 6A -Drogi'!F689+'Tab. 6F - Kultura'!F19</f>
        <v>61410599</v>
      </c>
      <c r="D88" s="2081">
        <f>'Tab. 6A -Drogi'!G689+'Tab. 6F - Kultura'!G19</f>
        <v>47742637</v>
      </c>
      <c r="E88" s="2081">
        <f>'Tab. 6A -Drogi'!H689+'Tab. 6F - Kultura'!H19</f>
        <v>41806535</v>
      </c>
      <c r="F88" s="2081">
        <f>'Tab. 6A -Drogi'!I689+'Tab. 6F - Kultura'!I19</f>
        <v>5675073</v>
      </c>
      <c r="G88" s="2081">
        <f>'Tab. 6A -Drogi'!J689+'Tab. 6F - Kultura'!J19</f>
        <v>1650729</v>
      </c>
      <c r="H88" s="2081">
        <f>'Tab. 6A -Drogi'!K689+'Tab. 6F - Kultura'!K19</f>
        <v>0</v>
      </c>
      <c r="I88" s="3011">
        <f>'Tab. 6A -Drogi'!L689+'Tab. 6F - Kultura'!L19</f>
        <v>0</v>
      </c>
      <c r="J88" s="2082">
        <f>B88+I88+C88+D88+E88+F88+G88+H88</f>
        <v>262693558</v>
      </c>
      <c r="K88" s="850"/>
      <c r="L88" s="1000">
        <f>'Tab. 6A -Drogi'!D546+'Tab. 6A -Drogi'!D609+'Tab. 6A -Drogi'!D654+'Tab. 6F - Kultura'!D19+'Tab. 6A -Drogi'!D582</f>
        <v>262693558</v>
      </c>
      <c r="M88" s="1000">
        <f>J88-L88</f>
        <v>0</v>
      </c>
      <c r="N88" s="3271"/>
    </row>
    <row r="89" spans="1:14" s="839" customFormat="1" ht="19.5" hidden="1" customHeight="1">
      <c r="A89" s="3272" t="s">
        <v>39</v>
      </c>
      <c r="B89" s="2111">
        <f>'Tab. 6A -Drogi'!E690+'Tab. 6C - Ochrona zdrowia'!E61+'Tab. 6G - Roln i ochrona środ.'!E126</f>
        <v>2182000</v>
      </c>
      <c r="C89" s="2111">
        <f>'Tab. 6A -Drogi'!F690+'Tab. 6C - Ochrona zdrowia'!F61+'Tab. 6G - Roln i ochrona środ.'!F126</f>
        <v>4043651</v>
      </c>
      <c r="D89" s="2111">
        <f>'Tab. 6A -Drogi'!G690+'Tab. 6C - Ochrona zdrowia'!G61+'Tab. 6G - Roln i ochrona środ.'!G126</f>
        <v>0</v>
      </c>
      <c r="E89" s="2111">
        <f>'Tab. 6A -Drogi'!H690+'Tab. 6C - Ochrona zdrowia'!H61+'Tab. 6G - Roln i ochrona środ.'!H126</f>
        <v>0</v>
      </c>
      <c r="F89" s="2111">
        <f>'Tab. 6A -Drogi'!I690+'Tab. 6C - Ochrona zdrowia'!I61+'Tab. 6G - Roln i ochrona środ.'!I126</f>
        <v>0</v>
      </c>
      <c r="G89" s="2111">
        <f>'Tab. 6A -Drogi'!J690+'Tab. 6C - Ochrona zdrowia'!J61+'Tab. 6G - Roln i ochrona środ.'!J126</f>
        <v>0</v>
      </c>
      <c r="H89" s="2111">
        <f>'Tab. 6A -Drogi'!K690+'Tab. 6C - Ochrona zdrowia'!K61+'Tab. 6G - Roln i ochrona środ.'!K126</f>
        <v>0</v>
      </c>
      <c r="I89" s="3012">
        <f>'Tab. 6A -Drogi'!L690+'Tab. 6C - Ochrona zdrowia'!L61+'Tab. 6G - Roln i ochrona środ.'!L126</f>
        <v>0</v>
      </c>
      <c r="J89" s="2112">
        <f>B89+I89+C89+D89+E89+F89+G89+H89</f>
        <v>6225651</v>
      </c>
      <c r="K89" s="850"/>
      <c r="L89" s="1000">
        <f>'Tab. 6A -Drogi'!D690+'Tab. 6C - Ochrona zdrowia'!D61+'Tab. 6G - Roln i ochrona środ.'!D126</f>
        <v>6225651</v>
      </c>
      <c r="M89" s="1000">
        <f>J89-L89</f>
        <v>0</v>
      </c>
      <c r="N89" s="3273"/>
    </row>
    <row r="90" spans="1:14" s="839" customFormat="1" ht="18" hidden="1" customHeight="1">
      <c r="A90" s="3274"/>
      <c r="B90" s="852">
        <f>B87+B83-B77</f>
        <v>0</v>
      </c>
      <c r="C90" s="852">
        <f t="shared" ref="C90:H90" si="47">C87+C83-C77</f>
        <v>0</v>
      </c>
      <c r="D90" s="852">
        <f t="shared" si="47"/>
        <v>0</v>
      </c>
      <c r="E90" s="852">
        <f t="shared" si="47"/>
        <v>0</v>
      </c>
      <c r="F90" s="852">
        <f t="shared" si="47"/>
        <v>0</v>
      </c>
      <c r="G90" s="852">
        <f t="shared" si="47"/>
        <v>0</v>
      </c>
      <c r="H90" s="852">
        <f t="shared" si="47"/>
        <v>0</v>
      </c>
      <c r="I90" s="3005">
        <f>I87+I83-I77</f>
        <v>0</v>
      </c>
      <c r="J90" s="852">
        <f>J87+J83-J77</f>
        <v>0</v>
      </c>
      <c r="K90" s="850"/>
      <c r="L90" s="850"/>
      <c r="N90" s="3275"/>
    </row>
    <row r="91" spans="1:14" s="839" customFormat="1" ht="18" hidden="1" customHeight="1">
      <c r="A91" s="3274"/>
      <c r="B91" s="852"/>
      <c r="C91" s="852"/>
      <c r="D91" s="852"/>
      <c r="E91" s="852"/>
      <c r="F91" s="852"/>
      <c r="G91" s="852"/>
      <c r="H91" s="852"/>
      <c r="I91" s="3005"/>
      <c r="J91" s="852"/>
      <c r="K91" s="850"/>
      <c r="L91" s="850"/>
      <c r="N91" s="3275"/>
    </row>
    <row r="92" spans="1:14" s="839" customFormat="1" ht="18" hidden="1" customHeight="1" thickBot="1">
      <c r="A92" s="3276"/>
      <c r="B92" s="838">
        <f t="shared" ref="B92:J92" si="48">+B71-B48</f>
        <v>0</v>
      </c>
      <c r="C92" s="838">
        <f t="shared" si="48"/>
        <v>0</v>
      </c>
      <c r="D92" s="838">
        <f t="shared" si="48"/>
        <v>0</v>
      </c>
      <c r="E92" s="838">
        <f t="shared" si="48"/>
        <v>0</v>
      </c>
      <c r="F92" s="838">
        <f t="shared" si="48"/>
        <v>0</v>
      </c>
      <c r="G92" s="838">
        <f t="shared" si="48"/>
        <v>0</v>
      </c>
      <c r="H92" s="838">
        <f t="shared" si="48"/>
        <v>0</v>
      </c>
      <c r="I92" s="3001">
        <f>+I71-I48</f>
        <v>0</v>
      </c>
      <c r="J92" s="838">
        <f t="shared" si="48"/>
        <v>0</v>
      </c>
      <c r="K92" s="838"/>
      <c r="L92" s="850"/>
      <c r="N92" s="3277"/>
    </row>
    <row r="93" spans="1:14" s="839" customFormat="1" ht="18" hidden="1" customHeight="1" thickBot="1">
      <c r="A93" s="3278"/>
      <c r="B93" s="838">
        <f t="shared" ref="B93:J93" si="49">B12+B48</f>
        <v>947794329</v>
      </c>
      <c r="C93" s="2928">
        <f t="shared" si="49"/>
        <v>659038207</v>
      </c>
      <c r="D93" s="2945">
        <f t="shared" si="49"/>
        <v>665478420</v>
      </c>
      <c r="E93" s="838">
        <f t="shared" si="49"/>
        <v>559488441</v>
      </c>
      <c r="F93" s="838">
        <f t="shared" si="49"/>
        <v>192829117</v>
      </c>
      <c r="G93" s="838">
        <f t="shared" si="49"/>
        <v>72180118</v>
      </c>
      <c r="H93" s="838">
        <f t="shared" si="49"/>
        <v>46173091</v>
      </c>
      <c r="I93" s="3001">
        <f>I12+I48</f>
        <v>0</v>
      </c>
      <c r="J93" s="838">
        <f t="shared" si="49"/>
        <v>3176618048</v>
      </c>
      <c r="K93" s="838"/>
      <c r="L93" s="850"/>
      <c r="N93" s="3279"/>
    </row>
    <row r="94" spans="1:14" s="839" customFormat="1" ht="16.5" hidden="1" customHeight="1" thickBot="1">
      <c r="A94" s="3278"/>
      <c r="B94" s="1746" t="s">
        <v>541</v>
      </c>
      <c r="C94" s="2929" t="s">
        <v>5</v>
      </c>
      <c r="D94" s="2946" t="s">
        <v>169</v>
      </c>
      <c r="E94" s="2921" t="s">
        <v>170</v>
      </c>
      <c r="F94" s="1747" t="s">
        <v>210</v>
      </c>
      <c r="G94" s="1747" t="s">
        <v>211</v>
      </c>
      <c r="H94" s="1747" t="s">
        <v>209</v>
      </c>
      <c r="I94" s="3013"/>
      <c r="J94" s="1748" t="s">
        <v>44</v>
      </c>
      <c r="K94" s="1748" t="s">
        <v>549</v>
      </c>
      <c r="L94" s="850"/>
      <c r="N94" s="3279"/>
    </row>
    <row r="95" spans="1:14" s="839" customFormat="1" ht="18" hidden="1" customHeight="1">
      <c r="A95" s="3278"/>
      <c r="B95" s="838"/>
      <c r="C95" s="2920"/>
      <c r="D95" s="1517"/>
      <c r="E95" s="838"/>
      <c r="F95" s="838"/>
      <c r="G95" s="838"/>
      <c r="H95" s="838"/>
      <c r="I95" s="3001"/>
      <c r="J95" s="838"/>
      <c r="K95" s="858"/>
      <c r="L95" s="850"/>
      <c r="N95" s="3279"/>
    </row>
    <row r="96" spans="1:14" s="839" customFormat="1" ht="18" hidden="1" customHeight="1">
      <c r="A96" s="3278"/>
      <c r="B96" s="838"/>
      <c r="C96" s="2920"/>
      <c r="D96" s="1517"/>
      <c r="E96" s="838"/>
      <c r="F96" s="838"/>
      <c r="G96" s="838"/>
      <c r="H96" s="838"/>
      <c r="I96" s="3001"/>
      <c r="J96" s="838"/>
      <c r="K96" s="858"/>
      <c r="L96" s="850"/>
      <c r="N96" s="3279"/>
    </row>
    <row r="97" spans="1:14" s="369" customFormat="1" ht="12.75" hidden="1" customHeight="1">
      <c r="A97" s="3280"/>
      <c r="B97" s="803"/>
      <c r="C97" s="2930">
        <f>+C13+C49</f>
        <v>231011956</v>
      </c>
      <c r="D97" s="1395"/>
      <c r="E97" s="803"/>
      <c r="F97" s="803"/>
      <c r="G97" s="803"/>
      <c r="H97" s="803"/>
      <c r="I97" s="803">
        <f>+I13+I49</f>
        <v>0</v>
      </c>
      <c r="J97" s="803"/>
      <c r="L97" s="815"/>
      <c r="N97" s="3281"/>
    </row>
    <row r="98" spans="1:14" s="369" customFormat="1" ht="28.5" hidden="1" customHeight="1">
      <c r="A98" s="3282"/>
      <c r="B98" s="860"/>
      <c r="C98" s="2931">
        <f>+C14+C50</f>
        <v>428026251</v>
      </c>
      <c r="D98" s="1518"/>
      <c r="E98" s="860"/>
      <c r="F98" s="860"/>
      <c r="G98" s="860"/>
      <c r="H98" s="860"/>
      <c r="I98" s="860">
        <f>+I14+I50</f>
        <v>0</v>
      </c>
      <c r="J98" s="859"/>
      <c r="K98" s="859"/>
      <c r="L98" s="815"/>
      <c r="N98" s="3281"/>
    </row>
    <row r="99" spans="1:14" s="369" customFormat="1" ht="8.25" hidden="1" customHeight="1" thickBot="1">
      <c r="A99" s="3280"/>
      <c r="B99" s="803"/>
      <c r="C99" s="2930"/>
      <c r="D99" s="1395"/>
      <c r="E99" s="803"/>
      <c r="F99" s="803"/>
      <c r="G99" s="803"/>
      <c r="H99" s="803"/>
      <c r="I99" s="803"/>
      <c r="J99" s="803"/>
      <c r="L99" s="815"/>
      <c r="N99" s="3281"/>
    </row>
    <row r="100" spans="1:14" s="369" customFormat="1" ht="12.75" hidden="1" customHeight="1">
      <c r="A100" s="3283"/>
      <c r="B100" s="861"/>
      <c r="C100" s="2932">
        <f>+C101+C102</f>
        <v>659038207</v>
      </c>
      <c r="D100" s="1519"/>
      <c r="E100" s="862"/>
      <c r="F100" s="862"/>
      <c r="G100" s="862"/>
      <c r="H100" s="862"/>
      <c r="I100" s="862">
        <f>+I101+I102</f>
        <v>0</v>
      </c>
      <c r="J100" s="861">
        <f t="shared" ref="J100" si="50">+J101+J102</f>
        <v>3176618048</v>
      </c>
      <c r="K100" s="863"/>
      <c r="L100" s="815"/>
      <c r="N100" s="3284"/>
    </row>
    <row r="101" spans="1:14" s="369" customFormat="1" ht="12.75" hidden="1" customHeight="1">
      <c r="A101" s="802"/>
      <c r="B101" s="864"/>
      <c r="C101" s="2933">
        <f>+C13+C49</f>
        <v>231011956</v>
      </c>
      <c r="D101" s="1520"/>
      <c r="E101" s="865"/>
      <c r="F101" s="865"/>
      <c r="G101" s="865"/>
      <c r="H101" s="865"/>
      <c r="I101" s="865">
        <f>+I13+I49</f>
        <v>0</v>
      </c>
      <c r="J101" s="864">
        <f>+J13+J49</f>
        <v>1547932908</v>
      </c>
      <c r="K101" s="866"/>
      <c r="L101" s="815"/>
      <c r="N101" s="3235"/>
    </row>
    <row r="102" spans="1:14" s="369" customFormat="1" ht="12.75" hidden="1" customHeight="1" thickBot="1">
      <c r="A102" s="802"/>
      <c r="B102" s="867"/>
      <c r="C102" s="2934">
        <f>+C14+C50</f>
        <v>428026251</v>
      </c>
      <c r="D102" s="1521"/>
      <c r="E102" s="868"/>
      <c r="F102" s="868"/>
      <c r="G102" s="868"/>
      <c r="H102" s="868"/>
      <c r="I102" s="868">
        <f>+I14+I50</f>
        <v>0</v>
      </c>
      <c r="J102" s="867">
        <f>+J14+J50</f>
        <v>1628685140</v>
      </c>
      <c r="K102" s="869"/>
      <c r="L102" s="815"/>
      <c r="N102" s="3235"/>
    </row>
    <row r="103" spans="1:14" s="369" customFormat="1" ht="21.75" hidden="1" customHeight="1">
      <c r="A103" s="3285" t="s">
        <v>45</v>
      </c>
      <c r="B103" s="870"/>
      <c r="C103" s="2935">
        <f>+C71+C37</f>
        <v>659038207</v>
      </c>
      <c r="D103" s="1522"/>
      <c r="E103" s="870"/>
      <c r="F103" s="870"/>
      <c r="G103" s="870"/>
      <c r="H103" s="870"/>
      <c r="I103" s="870">
        <f>+I71+I37</f>
        <v>0</v>
      </c>
      <c r="J103" s="870">
        <f>+J71+J37</f>
        <v>3176618048.3000002</v>
      </c>
      <c r="K103" s="871"/>
      <c r="L103" s="815"/>
      <c r="N103" s="3235"/>
    </row>
    <row r="104" spans="1:14" s="369" customFormat="1" ht="9.75" hidden="1" customHeight="1">
      <c r="A104" s="3285"/>
      <c r="B104" s="860"/>
      <c r="C104" s="2931">
        <f t="shared" ref="C104:J104" si="51">+C103-C100</f>
        <v>0</v>
      </c>
      <c r="D104" s="1518"/>
      <c r="E104" s="860"/>
      <c r="F104" s="860"/>
      <c r="G104" s="860"/>
      <c r="H104" s="860"/>
      <c r="I104" s="860">
        <f>+I103-I100</f>
        <v>0</v>
      </c>
      <c r="J104" s="860">
        <f t="shared" si="51"/>
        <v>0.30000019073486328</v>
      </c>
      <c r="K104" s="803"/>
      <c r="L104" s="815"/>
      <c r="N104" s="3235"/>
    </row>
    <row r="105" spans="1:14" s="369" customFormat="1" ht="15.75" hidden="1" customHeight="1" thickBot="1">
      <c r="A105" s="3285" t="s">
        <v>46</v>
      </c>
      <c r="B105" s="870"/>
      <c r="C105" s="2935">
        <f>+C72+C38</f>
        <v>456334378</v>
      </c>
      <c r="D105" s="1522"/>
      <c r="E105" s="870"/>
      <c r="F105" s="870"/>
      <c r="G105" s="870"/>
      <c r="H105" s="870"/>
      <c r="I105" s="870">
        <f>+I72+I38</f>
        <v>0</v>
      </c>
      <c r="J105" s="870">
        <f>+J72+J38</f>
        <v>1716754542</v>
      </c>
      <c r="K105" s="803"/>
      <c r="L105" s="815"/>
      <c r="N105" s="3235"/>
    </row>
    <row r="106" spans="1:14" ht="1.5" hidden="1" customHeight="1">
      <c r="A106" s="3355" t="s">
        <v>547</v>
      </c>
      <c r="B106" s="2896"/>
      <c r="C106" s="2896"/>
      <c r="D106" s="1523"/>
      <c r="E106" s="873"/>
      <c r="F106" s="872"/>
      <c r="G106" s="872"/>
      <c r="H106" s="872"/>
      <c r="I106" s="874"/>
      <c r="J106" s="872"/>
      <c r="K106" s="874"/>
      <c r="L106" s="1200"/>
      <c r="M106" s="775"/>
      <c r="N106" s="3216"/>
    </row>
    <row r="107" spans="1:14" s="796" customFormat="1" ht="27.75" hidden="1" customHeight="1" thickBot="1">
      <c r="A107" s="3356"/>
      <c r="B107" s="2897">
        <f t="shared" ref="B107:K107" si="52">+B71+B37</f>
        <v>947794329.29999995</v>
      </c>
      <c r="C107" s="2897">
        <f t="shared" si="52"/>
        <v>659038207</v>
      </c>
      <c r="D107" s="1524">
        <f t="shared" si="52"/>
        <v>665478420</v>
      </c>
      <c r="E107" s="876">
        <f t="shared" si="52"/>
        <v>559488441</v>
      </c>
      <c r="F107" s="875">
        <f t="shared" si="52"/>
        <v>192829117</v>
      </c>
      <c r="G107" s="875">
        <f t="shared" si="52"/>
        <v>72180118</v>
      </c>
      <c r="H107" s="875">
        <f t="shared" si="52"/>
        <v>46173091</v>
      </c>
      <c r="I107" s="3014">
        <f>+I71+I37</f>
        <v>0</v>
      </c>
      <c r="J107" s="875">
        <f t="shared" si="52"/>
        <v>3176618048.3000002</v>
      </c>
      <c r="K107" s="877">
        <f t="shared" si="52"/>
        <v>1569785512</v>
      </c>
      <c r="L107" s="2846"/>
      <c r="M107" s="1749"/>
      <c r="N107" s="3286"/>
    </row>
    <row r="108" spans="1:14" hidden="1">
      <c r="A108" s="1" t="s">
        <v>47</v>
      </c>
      <c r="B108" s="2898">
        <f>+B18+B54</f>
        <v>576144463.29999995</v>
      </c>
      <c r="C108" s="2898">
        <f t="shared" ref="C108:J108" si="53">+C18+C54</f>
        <v>210157078</v>
      </c>
      <c r="D108" s="2947">
        <f t="shared" si="53"/>
        <v>267132497</v>
      </c>
      <c r="E108" s="2922">
        <f t="shared" si="53"/>
        <v>242996797</v>
      </c>
      <c r="F108" s="2">
        <f t="shared" si="53"/>
        <v>73272063</v>
      </c>
      <c r="G108" s="2">
        <f t="shared" si="53"/>
        <v>36302873</v>
      </c>
      <c r="H108" s="2">
        <f t="shared" si="53"/>
        <v>14576542</v>
      </c>
      <c r="I108" s="2">
        <f>+I18+I54</f>
        <v>0</v>
      </c>
      <c r="J108" s="2">
        <f t="shared" si="53"/>
        <v>1454218638.3</v>
      </c>
      <c r="K108" s="2">
        <f>+K18+K54</f>
        <v>667917097</v>
      </c>
      <c r="L108" s="1200"/>
      <c r="M108" s="775"/>
      <c r="N108" s="3216"/>
    </row>
    <row r="109" spans="1:14" hidden="1">
      <c r="A109" s="1" t="s">
        <v>48</v>
      </c>
      <c r="B109" s="2899">
        <f>+B57</f>
        <v>16092191</v>
      </c>
      <c r="C109" s="2899">
        <f t="shared" ref="C109" si="54">+C57</f>
        <v>17227273</v>
      </c>
      <c r="D109" s="2427">
        <f t="shared" ref="D109:K109" si="55">+D57</f>
        <v>67158930</v>
      </c>
      <c r="E109" s="1513">
        <f t="shared" si="55"/>
        <v>30632378</v>
      </c>
      <c r="F109" s="1750">
        <f>+F57</f>
        <v>16856941</v>
      </c>
      <c r="G109" s="1750">
        <f t="shared" si="55"/>
        <v>1472245</v>
      </c>
      <c r="H109" s="1750">
        <f t="shared" si="55"/>
        <v>0</v>
      </c>
      <c r="I109" s="2904">
        <f>+I57</f>
        <v>0</v>
      </c>
      <c r="J109" s="1750">
        <f t="shared" si="55"/>
        <v>149439958</v>
      </c>
      <c r="K109" s="1751">
        <f t="shared" si="55"/>
        <v>116120494</v>
      </c>
      <c r="L109" s="1200"/>
      <c r="M109" s="775"/>
      <c r="N109" s="3216"/>
    </row>
    <row r="110" spans="1:14" ht="13.5" hidden="1" thickBot="1">
      <c r="A110" s="2426" t="s">
        <v>12</v>
      </c>
      <c r="B110" s="2899">
        <f t="shared" ref="B110:K110" si="56">+B19+B59</f>
        <v>28461110</v>
      </c>
      <c r="C110" s="2899">
        <f t="shared" si="56"/>
        <v>29278184</v>
      </c>
      <c r="D110" s="2427">
        <f t="shared" si="56"/>
        <v>4578989</v>
      </c>
      <c r="E110" s="1513">
        <f t="shared" si="56"/>
        <v>3882448</v>
      </c>
      <c r="F110" s="1750">
        <f t="shared" si="56"/>
        <v>1075392</v>
      </c>
      <c r="G110" s="1750">
        <f t="shared" si="56"/>
        <v>666312</v>
      </c>
      <c r="H110" s="1750">
        <f t="shared" si="56"/>
        <v>640586</v>
      </c>
      <c r="I110" s="2904">
        <f>+I19+I59</f>
        <v>0</v>
      </c>
      <c r="J110" s="1750">
        <f t="shared" si="56"/>
        <v>68583021</v>
      </c>
      <c r="K110" s="1751">
        <f t="shared" si="56"/>
        <v>10843727</v>
      </c>
      <c r="L110" s="473"/>
      <c r="M110" s="930"/>
      <c r="N110" s="3287"/>
    </row>
    <row r="111" spans="1:14" hidden="1">
      <c r="A111" s="1" t="s">
        <v>14</v>
      </c>
      <c r="B111" s="2900">
        <f t="shared" ref="B111:K111" si="57">+B20+B58</f>
        <v>20307823</v>
      </c>
      <c r="C111" s="2900">
        <f t="shared" si="57"/>
        <v>11765831</v>
      </c>
      <c r="D111" s="1715">
        <f t="shared" si="57"/>
        <v>4157433</v>
      </c>
      <c r="E111" s="1716">
        <f t="shared" si="57"/>
        <v>0</v>
      </c>
      <c r="F111" s="1714">
        <f t="shared" si="57"/>
        <v>0</v>
      </c>
      <c r="G111" s="1714">
        <f t="shared" si="57"/>
        <v>0</v>
      </c>
      <c r="H111" s="1714">
        <f t="shared" si="57"/>
        <v>0</v>
      </c>
      <c r="I111" s="3015">
        <f>+I20+I58</f>
        <v>0</v>
      </c>
      <c r="J111" s="1714">
        <f t="shared" si="57"/>
        <v>36231087</v>
      </c>
      <c r="K111" s="2425">
        <f t="shared" si="57"/>
        <v>4157433</v>
      </c>
      <c r="L111" s="1200"/>
      <c r="M111" s="775"/>
      <c r="N111" s="3216"/>
    </row>
    <row r="112" spans="1:14" hidden="1">
      <c r="A112" s="2426" t="s">
        <v>49</v>
      </c>
      <c r="B112" s="2899">
        <f t="shared" ref="B112:K112" si="58">+B21+B55</f>
        <v>10003578</v>
      </c>
      <c r="C112" s="2899">
        <f t="shared" si="58"/>
        <v>16807247</v>
      </c>
      <c r="D112" s="2427">
        <f t="shared" si="58"/>
        <v>26258486</v>
      </c>
      <c r="E112" s="1513">
        <f t="shared" si="58"/>
        <v>9699890</v>
      </c>
      <c r="F112" s="1750">
        <f t="shared" si="58"/>
        <v>0</v>
      </c>
      <c r="G112" s="1750">
        <f t="shared" si="58"/>
        <v>0</v>
      </c>
      <c r="H112" s="1750">
        <f t="shared" si="58"/>
        <v>0</v>
      </c>
      <c r="I112" s="2904">
        <f>+I21+I55</f>
        <v>0</v>
      </c>
      <c r="J112" s="3288">
        <f t="shared" si="58"/>
        <v>62769201</v>
      </c>
      <c r="K112" s="1751">
        <f t="shared" si="58"/>
        <v>35958376</v>
      </c>
      <c r="L112" s="1200"/>
      <c r="M112" s="775"/>
      <c r="N112" s="3216"/>
    </row>
    <row r="113" spans="1:14" hidden="1">
      <c r="A113" s="2426" t="s">
        <v>18</v>
      </c>
      <c r="B113" s="2899">
        <f t="shared" ref="B113:K113" si="59">+B25</f>
        <v>1601732</v>
      </c>
      <c r="C113" s="2899">
        <f t="shared" si="59"/>
        <v>966412</v>
      </c>
      <c r="D113" s="2427">
        <f t="shared" si="59"/>
        <v>13577874</v>
      </c>
      <c r="E113" s="1513">
        <f t="shared" si="59"/>
        <v>25984348</v>
      </c>
      <c r="F113" s="1750">
        <f t="shared" si="59"/>
        <v>5606076</v>
      </c>
      <c r="G113" s="1750">
        <f t="shared" si="59"/>
        <v>0</v>
      </c>
      <c r="H113" s="1750">
        <f t="shared" si="59"/>
        <v>0</v>
      </c>
      <c r="I113" s="2904">
        <f>+I25</f>
        <v>0</v>
      </c>
      <c r="J113" s="3288">
        <f t="shared" si="59"/>
        <v>47736442</v>
      </c>
      <c r="K113" s="1751">
        <f t="shared" si="59"/>
        <v>45168298</v>
      </c>
      <c r="L113" s="1200"/>
      <c r="M113" s="775"/>
      <c r="N113" s="3216"/>
    </row>
    <row r="114" spans="1:14" hidden="1">
      <c r="A114" s="2426" t="s">
        <v>16</v>
      </c>
      <c r="B114" s="2899">
        <f t="shared" ref="B114:K114" si="60">+B22</f>
        <v>0</v>
      </c>
      <c r="C114" s="2899">
        <f t="shared" si="60"/>
        <v>12869758</v>
      </c>
      <c r="D114" s="2427">
        <f t="shared" si="60"/>
        <v>3189386</v>
      </c>
      <c r="E114" s="1513">
        <f t="shared" si="60"/>
        <v>4581649</v>
      </c>
      <c r="F114" s="1750">
        <f t="shared" si="60"/>
        <v>886081</v>
      </c>
      <c r="G114" s="1750">
        <f t="shared" si="60"/>
        <v>0</v>
      </c>
      <c r="H114" s="1750">
        <f t="shared" si="60"/>
        <v>0</v>
      </c>
      <c r="I114" s="2904">
        <f>+I22</f>
        <v>0</v>
      </c>
      <c r="J114" s="1750">
        <f t="shared" si="60"/>
        <v>21526874</v>
      </c>
      <c r="K114" s="1751">
        <f t="shared" si="60"/>
        <v>8657116</v>
      </c>
      <c r="L114" s="1200"/>
      <c r="M114" s="775"/>
      <c r="N114" s="3216"/>
    </row>
    <row r="115" spans="1:14" ht="13.5" hidden="1" thickBot="1">
      <c r="A115" s="878" t="s">
        <v>19</v>
      </c>
      <c r="B115" s="2901">
        <f t="shared" ref="B115:K115" si="61">+B26</f>
        <v>295183432</v>
      </c>
      <c r="C115" s="2901">
        <f t="shared" si="61"/>
        <v>359966424</v>
      </c>
      <c r="D115" s="1525">
        <f t="shared" si="61"/>
        <v>279424825</v>
      </c>
      <c r="E115" s="2923">
        <f t="shared" si="61"/>
        <v>241710931</v>
      </c>
      <c r="F115" s="3289">
        <f t="shared" si="61"/>
        <v>95132564</v>
      </c>
      <c r="G115" s="3289">
        <f t="shared" si="61"/>
        <v>33738688</v>
      </c>
      <c r="H115" s="3289">
        <f t="shared" si="61"/>
        <v>30955963</v>
      </c>
      <c r="I115" s="2905">
        <f>+I26</f>
        <v>0</v>
      </c>
      <c r="J115" s="3289">
        <f t="shared" si="61"/>
        <v>1336112827</v>
      </c>
      <c r="K115" s="3289">
        <f t="shared" si="61"/>
        <v>680962971</v>
      </c>
      <c r="L115" s="1200"/>
      <c r="M115" s="775"/>
      <c r="N115" s="3216"/>
    </row>
    <row r="116" spans="1:14" s="796" customFormat="1" ht="18" hidden="1" customHeight="1">
      <c r="A116" s="3290"/>
      <c r="B116" s="2902">
        <f t="shared" ref="B116:K116" si="62">SUM(B108:B115)</f>
        <v>947794329.29999995</v>
      </c>
      <c r="C116" s="2902">
        <f t="shared" si="62"/>
        <v>659038207</v>
      </c>
      <c r="D116" s="1526">
        <f t="shared" si="62"/>
        <v>665478420</v>
      </c>
      <c r="E116" s="879">
        <f t="shared" si="62"/>
        <v>559488441</v>
      </c>
      <c r="F116" s="879">
        <f t="shared" si="62"/>
        <v>192829117</v>
      </c>
      <c r="G116" s="879">
        <f t="shared" si="62"/>
        <v>72180118</v>
      </c>
      <c r="H116" s="879">
        <f t="shared" si="62"/>
        <v>46173091</v>
      </c>
      <c r="I116" s="3016">
        <f>SUM(I108:I115)</f>
        <v>0</v>
      </c>
      <c r="J116" s="879">
        <f t="shared" si="62"/>
        <v>3176618048.3000002</v>
      </c>
      <c r="K116" s="879">
        <f t="shared" si="62"/>
        <v>1569785512</v>
      </c>
      <c r="L116" s="2846"/>
      <c r="M116" s="1749"/>
      <c r="N116" s="3286"/>
    </row>
    <row r="117" spans="1:14" ht="18" hidden="1" customHeight="1" thickBot="1">
      <c r="A117" s="3291"/>
      <c r="B117" s="880">
        <f t="shared" ref="B117:J117" si="63">+B116-B74</f>
        <v>0.29999995231628418</v>
      </c>
      <c r="C117" s="2936">
        <f t="shared" si="63"/>
        <v>0</v>
      </c>
      <c r="D117" s="2382">
        <f t="shared" si="63"/>
        <v>0</v>
      </c>
      <c r="E117" s="880">
        <f t="shared" si="63"/>
        <v>0</v>
      </c>
      <c r="F117" s="880">
        <f t="shared" si="63"/>
        <v>0</v>
      </c>
      <c r="G117" s="880">
        <f t="shared" si="63"/>
        <v>0</v>
      </c>
      <c r="H117" s="880">
        <f t="shared" si="63"/>
        <v>0</v>
      </c>
      <c r="I117" s="899">
        <f>+I116-I74</f>
        <v>0</v>
      </c>
      <c r="J117" s="880">
        <f t="shared" si="63"/>
        <v>0.30000019073486328</v>
      </c>
      <c r="K117" s="880"/>
      <c r="L117" s="1200"/>
      <c r="M117" s="775"/>
      <c r="N117" s="3216"/>
    </row>
    <row r="118" spans="1:14" ht="30" hidden="1" customHeight="1" thickBot="1">
      <c r="A118" s="3292" t="s">
        <v>548</v>
      </c>
      <c r="B118" s="2903">
        <f t="shared" ref="B118:J118" si="64">+B72+B38</f>
        <v>396733171</v>
      </c>
      <c r="C118" s="2903">
        <f t="shared" si="64"/>
        <v>456334378</v>
      </c>
      <c r="D118" s="1527">
        <f t="shared" si="64"/>
        <v>344431896</v>
      </c>
      <c r="E118" s="882">
        <f t="shared" si="64"/>
        <v>301781786</v>
      </c>
      <c r="F118" s="881">
        <f t="shared" si="64"/>
        <v>135398391</v>
      </c>
      <c r="G118" s="881">
        <f t="shared" si="64"/>
        <v>36613469</v>
      </c>
      <c r="H118" s="881">
        <f t="shared" si="64"/>
        <v>31994737</v>
      </c>
      <c r="I118" s="3017">
        <f>+I72+I38</f>
        <v>0</v>
      </c>
      <c r="J118" s="881">
        <f t="shared" si="64"/>
        <v>1716754542</v>
      </c>
      <c r="K118" s="883" t="s">
        <v>21</v>
      </c>
      <c r="L118" s="1200"/>
      <c r="M118" s="775"/>
      <c r="N118" s="3216"/>
    </row>
    <row r="119" spans="1:14" ht="14.25" hidden="1" customHeight="1">
      <c r="A119" s="2426" t="s">
        <v>12</v>
      </c>
      <c r="B119" s="2904">
        <f t="shared" ref="B119:K119" si="65">+B64+B29</f>
        <v>28413381</v>
      </c>
      <c r="C119" s="2899">
        <f t="shared" si="65"/>
        <v>29279198</v>
      </c>
      <c r="D119" s="2427">
        <f t="shared" si="65"/>
        <v>4597237</v>
      </c>
      <c r="E119" s="1513">
        <f t="shared" si="65"/>
        <v>3876631</v>
      </c>
      <c r="F119" s="1750">
        <f t="shared" si="65"/>
        <v>1109676</v>
      </c>
      <c r="G119" s="1750">
        <f t="shared" si="65"/>
        <v>666312</v>
      </c>
      <c r="H119" s="1750">
        <f t="shared" si="65"/>
        <v>640586</v>
      </c>
      <c r="I119" s="2904">
        <f>+I64+I29</f>
        <v>0</v>
      </c>
      <c r="J119" s="884">
        <f t="shared" si="65"/>
        <v>68583021</v>
      </c>
      <c r="K119" s="1750">
        <f t="shared" si="65"/>
        <v>0</v>
      </c>
      <c r="L119" s="1200"/>
      <c r="M119" s="775"/>
      <c r="N119" s="3216"/>
    </row>
    <row r="120" spans="1:14" ht="14.25" hidden="1" customHeight="1">
      <c r="A120" s="2426" t="s">
        <v>14</v>
      </c>
      <c r="B120" s="2904">
        <f t="shared" ref="B120:K120" si="66">+B30+B65</f>
        <v>19908529</v>
      </c>
      <c r="C120" s="2899">
        <f t="shared" si="66"/>
        <v>12165125</v>
      </c>
      <c r="D120" s="2427">
        <f t="shared" si="66"/>
        <v>4157433</v>
      </c>
      <c r="E120" s="1513">
        <f t="shared" si="66"/>
        <v>0</v>
      </c>
      <c r="F120" s="1750">
        <f t="shared" si="66"/>
        <v>0</v>
      </c>
      <c r="G120" s="1750">
        <f t="shared" si="66"/>
        <v>0</v>
      </c>
      <c r="H120" s="1750">
        <f t="shared" si="66"/>
        <v>0</v>
      </c>
      <c r="I120" s="2904">
        <f>+I30+I65</f>
        <v>0</v>
      </c>
      <c r="J120" s="884">
        <f t="shared" si="66"/>
        <v>36231087</v>
      </c>
      <c r="K120" s="1750">
        <f t="shared" si="66"/>
        <v>0</v>
      </c>
      <c r="L120" s="1200"/>
      <c r="M120" s="775"/>
      <c r="N120" s="3216"/>
    </row>
    <row r="121" spans="1:14" ht="14.25" hidden="1" customHeight="1">
      <c r="A121" s="2426" t="s">
        <v>49</v>
      </c>
      <c r="B121" s="2904">
        <f t="shared" ref="B121:K121" si="67">+B31+B66</f>
        <v>37191346</v>
      </c>
      <c r="C121" s="2899">
        <f t="shared" si="67"/>
        <v>8739285</v>
      </c>
      <c r="D121" s="2427">
        <f t="shared" si="67"/>
        <v>8419285</v>
      </c>
      <c r="E121" s="1513">
        <f t="shared" si="67"/>
        <v>8419285</v>
      </c>
      <c r="F121" s="1750">
        <f t="shared" si="67"/>
        <v>0</v>
      </c>
      <c r="G121" s="1750">
        <f t="shared" si="67"/>
        <v>0</v>
      </c>
      <c r="H121" s="1750">
        <f t="shared" si="67"/>
        <v>0</v>
      </c>
      <c r="I121" s="2904">
        <f>+I31+I66</f>
        <v>0</v>
      </c>
      <c r="J121" s="884">
        <f t="shared" si="67"/>
        <v>62769201</v>
      </c>
      <c r="K121" s="1750">
        <f t="shared" si="67"/>
        <v>0</v>
      </c>
      <c r="L121" s="1200"/>
      <c r="M121" s="775"/>
      <c r="N121" s="3216"/>
    </row>
    <row r="122" spans="1:14" ht="14.25" hidden="1" customHeight="1">
      <c r="A122" s="1" t="s">
        <v>11</v>
      </c>
      <c r="B122" s="2904">
        <f t="shared" ref="B122:K122" si="68">+B67</f>
        <v>37278717</v>
      </c>
      <c r="C122" s="2899">
        <f t="shared" si="68"/>
        <v>26479969</v>
      </c>
      <c r="D122" s="2427">
        <f t="shared" si="68"/>
        <v>39323352</v>
      </c>
      <c r="E122" s="1513">
        <f t="shared" si="68"/>
        <v>33387250</v>
      </c>
      <c r="F122" s="1750">
        <f t="shared" si="68"/>
        <v>5675073</v>
      </c>
      <c r="G122" s="1750">
        <f t="shared" si="68"/>
        <v>1650729</v>
      </c>
      <c r="H122" s="1750">
        <f t="shared" si="68"/>
        <v>0</v>
      </c>
      <c r="I122" s="2904">
        <f>+I67</f>
        <v>0</v>
      </c>
      <c r="J122" s="884">
        <f t="shared" si="68"/>
        <v>143795090</v>
      </c>
      <c r="K122" s="1750">
        <f t="shared" si="68"/>
        <v>0</v>
      </c>
      <c r="L122" s="1200"/>
      <c r="M122" s="775"/>
      <c r="N122" s="3216"/>
    </row>
    <row r="123" spans="1:14" ht="14.25" hidden="1" customHeight="1">
      <c r="A123" s="2426" t="s">
        <v>16</v>
      </c>
      <c r="B123" s="2904">
        <f>+B32</f>
        <v>0</v>
      </c>
      <c r="C123" s="2899">
        <f t="shared" ref="C123:K123" si="69">+C32</f>
        <v>12869758</v>
      </c>
      <c r="D123" s="2427">
        <f t="shared" si="69"/>
        <v>3189386</v>
      </c>
      <c r="E123" s="1513">
        <f t="shared" si="69"/>
        <v>4581649</v>
      </c>
      <c r="F123" s="1513">
        <f t="shared" si="69"/>
        <v>886081</v>
      </c>
      <c r="G123" s="1513">
        <f t="shared" si="69"/>
        <v>0</v>
      </c>
      <c r="H123" s="1513">
        <f t="shared" si="69"/>
        <v>0</v>
      </c>
      <c r="I123" s="1513">
        <f>+I32</f>
        <v>0</v>
      </c>
      <c r="J123" s="1513">
        <f t="shared" si="69"/>
        <v>21526874</v>
      </c>
      <c r="K123" s="1513">
        <f t="shared" si="69"/>
        <v>0</v>
      </c>
      <c r="L123" s="1200"/>
      <c r="M123" s="775"/>
      <c r="N123" s="3216"/>
    </row>
    <row r="124" spans="1:14" ht="14.25" hidden="1" customHeight="1">
      <c r="A124" s="2426" t="s">
        <v>18</v>
      </c>
      <c r="B124" s="2904">
        <f t="shared" ref="B124:K124" si="70">+B34</f>
        <v>942649</v>
      </c>
      <c r="C124" s="2899">
        <f t="shared" si="70"/>
        <v>980250</v>
      </c>
      <c r="D124" s="2427">
        <f t="shared" si="70"/>
        <v>14147910</v>
      </c>
      <c r="E124" s="1513">
        <f t="shared" si="70"/>
        <v>25977542</v>
      </c>
      <c r="F124" s="1750">
        <f t="shared" si="70"/>
        <v>5688091</v>
      </c>
      <c r="G124" s="1750">
        <f t="shared" si="70"/>
        <v>0</v>
      </c>
      <c r="H124" s="1750">
        <f t="shared" si="70"/>
        <v>0</v>
      </c>
      <c r="I124" s="2904">
        <f>+I34</f>
        <v>0</v>
      </c>
      <c r="J124" s="884">
        <f t="shared" si="70"/>
        <v>47736442</v>
      </c>
      <c r="K124" s="1750">
        <f t="shared" si="70"/>
        <v>0</v>
      </c>
      <c r="L124" s="1200"/>
      <c r="M124" s="775"/>
      <c r="N124" s="3216"/>
    </row>
    <row r="125" spans="1:14" ht="14.25" hidden="1" customHeight="1" thickBot="1">
      <c r="A125" s="878" t="s">
        <v>19</v>
      </c>
      <c r="B125" s="2905">
        <f t="shared" ref="B125:K125" si="71">+B35</f>
        <v>272998549</v>
      </c>
      <c r="C125" s="2937">
        <f t="shared" si="71"/>
        <v>365820793</v>
      </c>
      <c r="D125" s="1528">
        <f t="shared" si="71"/>
        <v>270597293</v>
      </c>
      <c r="E125" s="2924">
        <f t="shared" si="71"/>
        <v>225539429</v>
      </c>
      <c r="F125" s="3293">
        <f t="shared" si="71"/>
        <v>122039470</v>
      </c>
      <c r="G125" s="3293">
        <f t="shared" si="71"/>
        <v>34296428</v>
      </c>
      <c r="H125" s="3293">
        <f t="shared" si="71"/>
        <v>31354151</v>
      </c>
      <c r="I125" s="2905">
        <f>+I35</f>
        <v>0</v>
      </c>
      <c r="J125" s="885">
        <f t="shared" si="71"/>
        <v>1336112827</v>
      </c>
      <c r="K125" s="3293">
        <f t="shared" si="71"/>
        <v>0</v>
      </c>
      <c r="L125" s="1200"/>
      <c r="M125" s="775"/>
      <c r="N125" s="3216"/>
    </row>
    <row r="126" spans="1:14" ht="14.25" hidden="1" customHeight="1">
      <c r="A126" s="3294"/>
      <c r="B126" s="886">
        <f t="shared" ref="B126:K126" si="72">SUM(B119:B125)</f>
        <v>396733171</v>
      </c>
      <c r="C126" s="2938">
        <f t="shared" si="72"/>
        <v>456334378</v>
      </c>
      <c r="D126" s="1529">
        <f t="shared" si="72"/>
        <v>344431896</v>
      </c>
      <c r="E126" s="886">
        <f t="shared" si="72"/>
        <v>301781786</v>
      </c>
      <c r="F126" s="886">
        <f t="shared" si="72"/>
        <v>135398391</v>
      </c>
      <c r="G126" s="886">
        <f t="shared" si="72"/>
        <v>36613469</v>
      </c>
      <c r="H126" s="886">
        <f t="shared" si="72"/>
        <v>31994737</v>
      </c>
      <c r="I126" s="3018">
        <f>SUM(I119:I125)</f>
        <v>0</v>
      </c>
      <c r="J126" s="886">
        <f t="shared" si="72"/>
        <v>1716754542</v>
      </c>
      <c r="K126" s="886">
        <f t="shared" si="72"/>
        <v>0</v>
      </c>
      <c r="L126" s="1200"/>
      <c r="M126" s="775"/>
      <c r="N126" s="3216"/>
    </row>
    <row r="127" spans="1:14" ht="14.25" hidden="1" customHeight="1">
      <c r="A127" s="3295"/>
      <c r="B127" s="887">
        <f t="shared" ref="B127:J127" si="73">+B126-B77</f>
        <v>0</v>
      </c>
      <c r="C127" s="2939">
        <f t="shared" si="73"/>
        <v>0</v>
      </c>
      <c r="D127" s="1530">
        <f t="shared" si="73"/>
        <v>0</v>
      </c>
      <c r="E127" s="887">
        <f t="shared" si="73"/>
        <v>0</v>
      </c>
      <c r="F127" s="887">
        <f t="shared" si="73"/>
        <v>0</v>
      </c>
      <c r="G127" s="887">
        <f t="shared" si="73"/>
        <v>0</v>
      </c>
      <c r="H127" s="887">
        <f t="shared" si="73"/>
        <v>0</v>
      </c>
      <c r="I127" s="3019">
        <f>+I126-I77</f>
        <v>0</v>
      </c>
      <c r="J127" s="887">
        <f t="shared" si="73"/>
        <v>0</v>
      </c>
      <c r="K127" s="886"/>
      <c r="L127" s="1200"/>
      <c r="M127" s="775"/>
      <c r="N127" s="3216"/>
    </row>
    <row r="128" spans="1:14" ht="13.5" hidden="1" thickBot="1">
      <c r="A128" s="3296"/>
      <c r="B128" s="888" t="s">
        <v>541</v>
      </c>
      <c r="C128" s="2940" t="s">
        <v>5</v>
      </c>
      <c r="D128" s="2946" t="s">
        <v>169</v>
      </c>
      <c r="E128" s="2921" t="s">
        <v>170</v>
      </c>
      <c r="F128" s="1747" t="s">
        <v>210</v>
      </c>
      <c r="G128" s="1747" t="s">
        <v>211</v>
      </c>
      <c r="H128" s="1747" t="s">
        <v>209</v>
      </c>
      <c r="I128" s="3013"/>
      <c r="J128" s="1748" t="s">
        <v>44</v>
      </c>
      <c r="K128" s="3297" t="s">
        <v>390</v>
      </c>
      <c r="L128" s="1200"/>
      <c r="M128" s="775"/>
      <c r="N128" s="3216"/>
    </row>
    <row r="129" spans="1:14" ht="3" hidden="1" customHeight="1">
      <c r="A129" s="3357" t="s">
        <v>546</v>
      </c>
      <c r="B129" s="890"/>
      <c r="C129" s="2941"/>
      <c r="D129" s="1531"/>
      <c r="E129" s="891"/>
      <c r="F129" s="889"/>
      <c r="G129" s="889"/>
      <c r="H129" s="889"/>
      <c r="I129" s="890"/>
      <c r="J129" s="889"/>
      <c r="K129" s="892"/>
      <c r="L129" s="1200"/>
      <c r="M129" s="775"/>
      <c r="N129" s="3216"/>
    </row>
    <row r="130" spans="1:14" ht="27" hidden="1" customHeight="1" thickBot="1">
      <c r="A130" s="3358"/>
      <c r="B130" s="2906">
        <f t="shared" ref="B130:K130" si="74">SUM(B131:B138)</f>
        <v>947794329.29999995</v>
      </c>
      <c r="C130" s="2906">
        <f t="shared" si="74"/>
        <v>663483416</v>
      </c>
      <c r="D130" s="1532">
        <f t="shared" si="74"/>
        <v>655970097</v>
      </c>
      <c r="E130" s="894">
        <f t="shared" si="74"/>
        <v>555088441</v>
      </c>
      <c r="F130" s="893">
        <f t="shared" si="74"/>
        <v>188829117</v>
      </c>
      <c r="G130" s="893">
        <f t="shared" si="74"/>
        <v>72180118</v>
      </c>
      <c r="H130" s="893">
        <f t="shared" si="74"/>
        <v>46173091</v>
      </c>
      <c r="I130" s="3020">
        <f>SUM(I131:I138)</f>
        <v>0</v>
      </c>
      <c r="J130" s="893">
        <f t="shared" si="74"/>
        <v>3163154934.3000002</v>
      </c>
      <c r="K130" s="895">
        <f t="shared" si="74"/>
        <v>1551877189</v>
      </c>
      <c r="L130" s="1200"/>
      <c r="M130" s="775"/>
      <c r="N130" s="3216"/>
    </row>
    <row r="131" spans="1:14" hidden="1">
      <c r="A131" s="896" t="s">
        <v>47</v>
      </c>
      <c r="B131" s="2907">
        <v>576144463.29999995</v>
      </c>
      <c r="C131" s="2907">
        <v>210459527</v>
      </c>
      <c r="D131" s="2948">
        <v>261705221</v>
      </c>
      <c r="E131" s="1514">
        <v>238996797</v>
      </c>
      <c r="F131" s="3298">
        <v>69272063</v>
      </c>
      <c r="G131" s="3298">
        <v>36302873</v>
      </c>
      <c r="H131" s="3298">
        <v>14576542</v>
      </c>
      <c r="I131" s="3299">
        <v>0</v>
      </c>
      <c r="J131" s="3298">
        <v>1441093811.3</v>
      </c>
      <c r="K131" s="2907">
        <v>654489821</v>
      </c>
      <c r="L131" s="1200"/>
      <c r="M131" s="782"/>
      <c r="N131" s="3300"/>
    </row>
    <row r="132" spans="1:14" hidden="1">
      <c r="A132" s="896" t="s">
        <v>48</v>
      </c>
      <c r="B132" s="2907">
        <v>16092191</v>
      </c>
      <c r="C132" s="2907">
        <v>17227273</v>
      </c>
      <c r="D132" s="2948">
        <v>66958930</v>
      </c>
      <c r="E132" s="1514">
        <v>30232378</v>
      </c>
      <c r="F132" s="3298">
        <v>16856941</v>
      </c>
      <c r="G132" s="3298">
        <v>1472245</v>
      </c>
      <c r="H132" s="3298">
        <v>0</v>
      </c>
      <c r="I132" s="3299">
        <v>0</v>
      </c>
      <c r="J132" s="3298">
        <v>148839958</v>
      </c>
      <c r="K132" s="2907">
        <v>115520494</v>
      </c>
      <c r="L132" s="1200"/>
      <c r="M132" s="782"/>
      <c r="N132" s="3300"/>
    </row>
    <row r="133" spans="1:14" hidden="1">
      <c r="A133" s="2429" t="s">
        <v>12</v>
      </c>
      <c r="B133" s="2907">
        <v>28461110</v>
      </c>
      <c r="C133" s="2907">
        <v>29313490</v>
      </c>
      <c r="D133" s="2948">
        <v>4582983</v>
      </c>
      <c r="E133" s="1514">
        <v>3882448</v>
      </c>
      <c r="F133" s="3298">
        <v>1075392</v>
      </c>
      <c r="G133" s="3298">
        <v>666312</v>
      </c>
      <c r="H133" s="3298">
        <v>640586</v>
      </c>
      <c r="I133" s="3299">
        <v>0</v>
      </c>
      <c r="J133" s="3298">
        <v>68622321</v>
      </c>
      <c r="K133" s="2907">
        <v>10847721</v>
      </c>
      <c r="L133" s="1200"/>
      <c r="M133" s="782"/>
      <c r="N133" s="3300"/>
    </row>
    <row r="134" spans="1:14" hidden="1">
      <c r="A134" s="2429" t="s">
        <v>14</v>
      </c>
      <c r="B134" s="2907">
        <v>20307823</v>
      </c>
      <c r="C134" s="2907">
        <v>11765831</v>
      </c>
      <c r="D134" s="2948">
        <v>4157433</v>
      </c>
      <c r="E134" s="1514">
        <v>0</v>
      </c>
      <c r="F134" s="3298">
        <v>0</v>
      </c>
      <c r="G134" s="3298">
        <v>0</v>
      </c>
      <c r="H134" s="3298">
        <v>0</v>
      </c>
      <c r="I134" s="3299">
        <v>0</v>
      </c>
      <c r="J134" s="3298">
        <v>36231087</v>
      </c>
      <c r="K134" s="2907">
        <v>4157433</v>
      </c>
      <c r="L134" s="1200"/>
      <c r="M134" s="782"/>
      <c r="N134" s="3300"/>
    </row>
    <row r="135" spans="1:14" hidden="1">
      <c r="A135" s="2429" t="s">
        <v>49</v>
      </c>
      <c r="B135" s="2907">
        <v>10003578</v>
      </c>
      <c r="C135" s="2907">
        <v>16807247</v>
      </c>
      <c r="D135" s="2948">
        <v>26258486</v>
      </c>
      <c r="E135" s="1514">
        <v>9699890</v>
      </c>
      <c r="F135" s="3298">
        <v>0</v>
      </c>
      <c r="G135" s="3298">
        <v>0</v>
      </c>
      <c r="H135" s="3298">
        <v>0</v>
      </c>
      <c r="I135" s="3299">
        <v>0</v>
      </c>
      <c r="J135" s="3298">
        <v>62769201</v>
      </c>
      <c r="K135" s="2907">
        <v>35958376</v>
      </c>
      <c r="L135" s="1200"/>
      <c r="M135" s="782"/>
      <c r="N135" s="3300"/>
    </row>
    <row r="136" spans="1:14" hidden="1">
      <c r="A136" s="2429" t="s">
        <v>18</v>
      </c>
      <c r="B136" s="2907">
        <v>1601732</v>
      </c>
      <c r="C136" s="2907">
        <v>966412</v>
      </c>
      <c r="D136" s="2948">
        <v>13577874</v>
      </c>
      <c r="E136" s="1514">
        <v>25984348</v>
      </c>
      <c r="F136" s="3298">
        <v>5606076</v>
      </c>
      <c r="G136" s="3298">
        <v>0</v>
      </c>
      <c r="H136" s="3298">
        <v>0</v>
      </c>
      <c r="I136" s="3299">
        <v>0</v>
      </c>
      <c r="J136" s="3298">
        <v>47736442</v>
      </c>
      <c r="K136" s="2907">
        <v>45168298</v>
      </c>
      <c r="L136" s="1200"/>
      <c r="M136" s="782"/>
      <c r="N136" s="3300"/>
    </row>
    <row r="137" spans="1:14" hidden="1">
      <c r="A137" s="2429" t="s">
        <v>16</v>
      </c>
      <c r="B137" s="2907">
        <v>0</v>
      </c>
      <c r="C137" s="2907">
        <v>12869758</v>
      </c>
      <c r="D137" s="2948">
        <v>3189386</v>
      </c>
      <c r="E137" s="1514">
        <v>4581649</v>
      </c>
      <c r="F137" s="3298">
        <v>886081</v>
      </c>
      <c r="G137" s="3298">
        <v>0</v>
      </c>
      <c r="H137" s="3298">
        <v>0</v>
      </c>
      <c r="I137" s="3299">
        <v>0</v>
      </c>
      <c r="J137" s="3298">
        <v>21526874</v>
      </c>
      <c r="K137" s="2907">
        <v>8657116</v>
      </c>
      <c r="L137" s="1200"/>
      <c r="M137" s="782"/>
      <c r="N137" s="3300"/>
    </row>
    <row r="138" spans="1:14" ht="13.5" hidden="1" thickBot="1">
      <c r="A138" s="512" t="s">
        <v>19</v>
      </c>
      <c r="B138" s="897">
        <v>295183432</v>
      </c>
      <c r="C138" s="897">
        <v>364073878</v>
      </c>
      <c r="D138" s="1533">
        <v>275539784</v>
      </c>
      <c r="E138" s="2925">
        <v>241710931</v>
      </c>
      <c r="F138" s="3301">
        <v>95132564</v>
      </c>
      <c r="G138" s="3301">
        <v>33738688</v>
      </c>
      <c r="H138" s="3301">
        <v>30955963</v>
      </c>
      <c r="I138" s="3021">
        <v>0</v>
      </c>
      <c r="J138" s="3301">
        <v>1336335240</v>
      </c>
      <c r="K138" s="897">
        <v>677077930</v>
      </c>
      <c r="L138" s="1200"/>
      <c r="M138" s="782"/>
      <c r="N138" s="3300"/>
    </row>
    <row r="139" spans="1:14" hidden="1">
      <c r="A139" s="3302"/>
      <c r="B139" s="2908">
        <f t="shared" ref="B139:K139" si="75">SUM(B131:B138)</f>
        <v>947794329.29999995</v>
      </c>
      <c r="C139" s="2908">
        <f t="shared" si="75"/>
        <v>663483416</v>
      </c>
      <c r="D139" s="1534">
        <f t="shared" si="75"/>
        <v>655970097</v>
      </c>
      <c r="E139" s="898">
        <f t="shared" si="75"/>
        <v>555088441</v>
      </c>
      <c r="F139" s="898">
        <f t="shared" si="75"/>
        <v>188829117</v>
      </c>
      <c r="G139" s="898">
        <f t="shared" si="75"/>
        <v>72180118</v>
      </c>
      <c r="H139" s="898">
        <f t="shared" si="75"/>
        <v>46173091</v>
      </c>
      <c r="I139" s="898">
        <f>SUM(I131:I138)</f>
        <v>0</v>
      </c>
      <c r="J139" s="898">
        <f t="shared" si="75"/>
        <v>3163154934.3000002</v>
      </c>
      <c r="K139" s="898">
        <f t="shared" si="75"/>
        <v>1551877189</v>
      </c>
      <c r="L139" s="1200"/>
      <c r="M139" s="775"/>
      <c r="N139" s="3216"/>
    </row>
    <row r="140" spans="1:14" hidden="1">
      <c r="A140" s="3303" t="s">
        <v>40</v>
      </c>
      <c r="B140" s="2909">
        <f>+B139-B130</f>
        <v>0</v>
      </c>
      <c r="C140" s="2909">
        <f>+C139-C130</f>
        <v>0</v>
      </c>
      <c r="D140" s="1535">
        <f>+D139-D130</f>
        <v>0</v>
      </c>
      <c r="E140" s="899">
        <f>+E139-E130</f>
        <v>0</v>
      </c>
      <c r="F140" s="899"/>
      <c r="G140" s="899"/>
      <c r="H140" s="899"/>
      <c r="I140" s="899">
        <f>+I139-I130</f>
        <v>0</v>
      </c>
      <c r="J140" s="899">
        <f>+J139-J130</f>
        <v>0</v>
      </c>
      <c r="K140" s="899">
        <f>+K139-K130</f>
        <v>0</v>
      </c>
      <c r="L140" s="1200"/>
      <c r="M140" s="775"/>
      <c r="N140" s="3216"/>
    </row>
    <row r="141" spans="1:14" ht="3.75" hidden="1" customHeight="1" thickBot="1">
      <c r="A141" s="3291"/>
      <c r="B141" s="900"/>
      <c r="C141" s="2942"/>
      <c r="D141" s="1536"/>
      <c r="E141" s="900"/>
      <c r="F141" s="900"/>
      <c r="G141" s="900"/>
      <c r="H141" s="900"/>
      <c r="I141" s="900"/>
      <c r="J141" s="900"/>
      <c r="K141" s="1200"/>
      <c r="L141" s="1200"/>
      <c r="M141" s="775"/>
      <c r="N141" s="3216"/>
    </row>
    <row r="142" spans="1:14" ht="32.25" hidden="1" customHeight="1" thickBot="1">
      <c r="A142" s="3304" t="s">
        <v>545</v>
      </c>
      <c r="B142" s="2910">
        <f t="shared" ref="B142:J142" si="76">SUM(B143:B149)</f>
        <v>396733171</v>
      </c>
      <c r="C142" s="2910">
        <f t="shared" si="76"/>
        <v>459450209</v>
      </c>
      <c r="D142" s="1537">
        <f t="shared" si="76"/>
        <v>341577778</v>
      </c>
      <c r="E142" s="902">
        <f t="shared" si="76"/>
        <v>301781786</v>
      </c>
      <c r="F142" s="901">
        <f t="shared" si="76"/>
        <v>135398391</v>
      </c>
      <c r="G142" s="901">
        <f t="shared" si="76"/>
        <v>36613469</v>
      </c>
      <c r="H142" s="901">
        <f t="shared" si="76"/>
        <v>31994737</v>
      </c>
      <c r="I142" s="3022">
        <f>SUM(I143:I149)</f>
        <v>0</v>
      </c>
      <c r="J142" s="901">
        <f t="shared" si="76"/>
        <v>1717016255</v>
      </c>
      <c r="K142" s="903"/>
      <c r="L142" s="1200"/>
      <c r="M142" s="775"/>
      <c r="N142" s="3216"/>
    </row>
    <row r="143" spans="1:14" hidden="1">
      <c r="A143" s="2429" t="s">
        <v>12</v>
      </c>
      <c r="B143" s="2907">
        <v>28413381</v>
      </c>
      <c r="C143" s="2907">
        <v>29314504</v>
      </c>
      <c r="D143" s="2948">
        <v>4601231</v>
      </c>
      <c r="E143" s="1514">
        <v>3876631</v>
      </c>
      <c r="F143" s="3298">
        <v>1109676</v>
      </c>
      <c r="G143" s="3298">
        <v>666312</v>
      </c>
      <c r="H143" s="3298">
        <v>640586</v>
      </c>
      <c r="I143" s="3299">
        <v>0</v>
      </c>
      <c r="J143" s="3298">
        <v>68622321</v>
      </c>
      <c r="K143" s="904"/>
      <c r="L143" s="1200"/>
      <c r="M143" s="775"/>
      <c r="N143" s="3216"/>
    </row>
    <row r="144" spans="1:14" ht="14.25" hidden="1" customHeight="1">
      <c r="A144" s="2429" t="s">
        <v>14</v>
      </c>
      <c r="B144" s="2907">
        <v>19908529</v>
      </c>
      <c r="C144" s="2907">
        <v>12165125</v>
      </c>
      <c r="D144" s="2948">
        <v>4157433</v>
      </c>
      <c r="E144" s="1514">
        <v>0</v>
      </c>
      <c r="F144" s="3298">
        <v>0</v>
      </c>
      <c r="G144" s="3298">
        <v>0</v>
      </c>
      <c r="H144" s="3298">
        <v>0</v>
      </c>
      <c r="I144" s="3299">
        <v>0</v>
      </c>
      <c r="J144" s="3298">
        <v>36231087</v>
      </c>
      <c r="K144" s="904"/>
      <c r="L144" s="1200"/>
      <c r="M144" s="775"/>
      <c r="N144" s="3216"/>
    </row>
    <row r="145" spans="1:14" ht="14.25" hidden="1" customHeight="1">
      <c r="A145" s="2429" t="s">
        <v>49</v>
      </c>
      <c r="B145" s="2907">
        <v>37191346</v>
      </c>
      <c r="C145" s="2907">
        <v>8739285</v>
      </c>
      <c r="D145" s="2948">
        <v>8419285</v>
      </c>
      <c r="E145" s="1514">
        <v>8419285</v>
      </c>
      <c r="F145" s="3298">
        <v>0</v>
      </c>
      <c r="G145" s="3298">
        <v>0</v>
      </c>
      <c r="H145" s="3298">
        <v>0</v>
      </c>
      <c r="I145" s="3299">
        <v>0</v>
      </c>
      <c r="J145" s="3298">
        <v>62769201</v>
      </c>
      <c r="K145" s="904"/>
      <c r="L145" s="1200"/>
      <c r="M145" s="775"/>
      <c r="N145" s="3216"/>
    </row>
    <row r="146" spans="1:14" hidden="1">
      <c r="A146" s="896" t="s">
        <v>11</v>
      </c>
      <c r="B146" s="2907">
        <v>37278717</v>
      </c>
      <c r="C146" s="2907">
        <v>26479969</v>
      </c>
      <c r="D146" s="2948">
        <v>39323352</v>
      </c>
      <c r="E146" s="1514">
        <v>33387250</v>
      </c>
      <c r="F146" s="3298">
        <v>5675073</v>
      </c>
      <c r="G146" s="3298">
        <v>1650729</v>
      </c>
      <c r="H146" s="3298">
        <v>0</v>
      </c>
      <c r="I146" s="3299">
        <v>0</v>
      </c>
      <c r="J146" s="3298">
        <v>143795090</v>
      </c>
      <c r="K146" s="904"/>
      <c r="L146" s="1200"/>
      <c r="M146" s="775"/>
      <c r="N146" s="3216"/>
    </row>
    <row r="147" spans="1:14" hidden="1">
      <c r="A147" s="2429" t="s">
        <v>16</v>
      </c>
      <c r="B147" s="2907">
        <v>0</v>
      </c>
      <c r="C147" s="2907">
        <v>12869758</v>
      </c>
      <c r="D147" s="2948">
        <v>3189386</v>
      </c>
      <c r="E147" s="1514">
        <v>4581649</v>
      </c>
      <c r="F147" s="3298">
        <v>886081</v>
      </c>
      <c r="G147" s="3298">
        <v>0</v>
      </c>
      <c r="H147" s="3298">
        <v>0</v>
      </c>
      <c r="I147" s="3299">
        <v>0</v>
      </c>
      <c r="J147" s="3298">
        <v>21526874</v>
      </c>
      <c r="K147" s="904"/>
      <c r="L147" s="1200"/>
      <c r="M147" s="775"/>
      <c r="N147" s="3216"/>
    </row>
    <row r="148" spans="1:14" ht="13.5" hidden="1" customHeight="1">
      <c r="A148" s="2429" t="s">
        <v>18</v>
      </c>
      <c r="B148" s="2907">
        <v>942649</v>
      </c>
      <c r="C148" s="2907">
        <v>980250</v>
      </c>
      <c r="D148" s="2948">
        <v>14147910</v>
      </c>
      <c r="E148" s="1514">
        <v>25977542</v>
      </c>
      <c r="F148" s="3298">
        <v>5688091</v>
      </c>
      <c r="G148" s="3298">
        <v>0</v>
      </c>
      <c r="H148" s="3298">
        <v>0</v>
      </c>
      <c r="I148" s="3299">
        <v>0</v>
      </c>
      <c r="J148" s="3298">
        <v>47736442</v>
      </c>
      <c r="K148" s="904"/>
      <c r="L148" s="1200"/>
      <c r="M148" s="775"/>
      <c r="N148" s="3216"/>
    </row>
    <row r="149" spans="1:14" ht="13.5" hidden="1" thickBot="1">
      <c r="A149" s="2428" t="s">
        <v>19</v>
      </c>
      <c r="B149" s="897">
        <v>272998549</v>
      </c>
      <c r="C149" s="897">
        <v>368901318</v>
      </c>
      <c r="D149" s="1533">
        <v>267739181</v>
      </c>
      <c r="E149" s="2925">
        <v>225539429</v>
      </c>
      <c r="F149" s="3301">
        <v>122039470</v>
      </c>
      <c r="G149" s="3301">
        <v>34296428</v>
      </c>
      <c r="H149" s="3301">
        <v>31354151</v>
      </c>
      <c r="I149" s="3021">
        <v>0</v>
      </c>
      <c r="J149" s="3301">
        <v>1336335240</v>
      </c>
      <c r="K149" s="904"/>
      <c r="L149" s="1200"/>
      <c r="M149" s="775"/>
      <c r="N149" s="3216"/>
    </row>
    <row r="150" spans="1:14" ht="13.5" hidden="1" thickBot="1">
      <c r="A150" s="3305"/>
      <c r="B150" s="2911">
        <f t="shared" ref="B150:J150" si="77">SUM(B143:B149)</f>
        <v>396733171</v>
      </c>
      <c r="C150" s="2943">
        <f t="shared" si="77"/>
        <v>459450209</v>
      </c>
      <c r="D150" s="1538">
        <f t="shared" si="77"/>
        <v>341577778</v>
      </c>
      <c r="E150" s="1515">
        <f t="shared" si="77"/>
        <v>301781786</v>
      </c>
      <c r="F150" s="1212">
        <f t="shared" si="77"/>
        <v>135398391</v>
      </c>
      <c r="G150" s="1212">
        <f t="shared" si="77"/>
        <v>36613469</v>
      </c>
      <c r="H150" s="1212">
        <f t="shared" si="77"/>
        <v>31994737</v>
      </c>
      <c r="I150" s="3023">
        <f>SUM(I143:I149)</f>
        <v>0</v>
      </c>
      <c r="J150" s="905">
        <f t="shared" si="77"/>
        <v>1717016255</v>
      </c>
      <c r="K150" s="906"/>
      <c r="L150" s="1200"/>
      <c r="M150" s="775"/>
      <c r="N150" s="3216"/>
    </row>
    <row r="151" spans="1:14" ht="17.25" hidden="1" customHeight="1" thickBot="1">
      <c r="A151" s="3306"/>
      <c r="B151" s="888" t="s">
        <v>541</v>
      </c>
      <c r="C151" s="2940" t="s">
        <v>5</v>
      </c>
      <c r="D151" s="2946" t="s">
        <v>169</v>
      </c>
      <c r="E151" s="2921" t="s">
        <v>170</v>
      </c>
      <c r="F151" s="1747" t="s">
        <v>210</v>
      </c>
      <c r="G151" s="1747" t="s">
        <v>211</v>
      </c>
      <c r="H151" s="1747" t="s">
        <v>209</v>
      </c>
      <c r="I151" s="3013"/>
      <c r="J151" s="1748" t="s">
        <v>44</v>
      </c>
      <c r="K151" s="1200"/>
      <c r="L151" s="1200"/>
      <c r="M151" s="775"/>
      <c r="N151" s="3216"/>
    </row>
    <row r="152" spans="1:14" ht="11.25" hidden="1" customHeight="1" thickBot="1">
      <c r="A152" s="3307"/>
      <c r="B152" s="908"/>
      <c r="C152" s="2944"/>
      <c r="D152" s="1539"/>
      <c r="E152" s="909"/>
      <c r="F152" s="907"/>
      <c r="G152" s="907"/>
      <c r="H152" s="907"/>
      <c r="I152" s="908"/>
      <c r="J152" s="907"/>
      <c r="K152" s="910"/>
      <c r="L152" s="1200"/>
      <c r="M152" s="775"/>
      <c r="N152" s="3216"/>
    </row>
    <row r="153" spans="1:14" ht="18" hidden="1" customHeight="1" thickBot="1">
      <c r="A153" s="2890" t="s">
        <v>50</v>
      </c>
      <c r="B153" s="2912">
        <f t="shared" ref="B153:J153" si="78">+B107-B130</f>
        <v>0</v>
      </c>
      <c r="C153" s="2912">
        <f t="shared" si="78"/>
        <v>-4445209</v>
      </c>
      <c r="D153" s="2949">
        <f t="shared" si="78"/>
        <v>9508323</v>
      </c>
      <c r="E153" s="2926">
        <f t="shared" si="78"/>
        <v>4400000</v>
      </c>
      <c r="F153" s="2888">
        <f t="shared" si="78"/>
        <v>4000000</v>
      </c>
      <c r="G153" s="2888">
        <f t="shared" si="78"/>
        <v>0</v>
      </c>
      <c r="H153" s="2888">
        <f t="shared" si="78"/>
        <v>0</v>
      </c>
      <c r="I153" s="2888">
        <f t="shared" ref="I153" si="79">+I107-I130</f>
        <v>0</v>
      </c>
      <c r="J153" s="2889">
        <f t="shared" si="78"/>
        <v>13463114</v>
      </c>
      <c r="K153" s="911"/>
      <c r="L153" s="1200"/>
      <c r="M153" s="775"/>
      <c r="N153" s="3216"/>
    </row>
    <row r="154" spans="1:14" hidden="1">
      <c r="A154" s="3308" t="s">
        <v>11</v>
      </c>
      <c r="B154" s="2913">
        <f t="shared" ref="B154:J154" si="80">+B108-B131</f>
        <v>0</v>
      </c>
      <c r="C154" s="2913">
        <f t="shared" si="80"/>
        <v>-302449</v>
      </c>
      <c r="D154" s="2421">
        <f t="shared" si="80"/>
        <v>5427276</v>
      </c>
      <c r="E154" s="2422">
        <f t="shared" si="80"/>
        <v>4000000</v>
      </c>
      <c r="F154" s="2420">
        <f t="shared" si="80"/>
        <v>4000000</v>
      </c>
      <c r="G154" s="2420">
        <f t="shared" si="80"/>
        <v>0</v>
      </c>
      <c r="H154" s="2420">
        <f t="shared" si="80"/>
        <v>0</v>
      </c>
      <c r="I154" s="2420">
        <f t="shared" ref="I154" si="81">+I108-I131</f>
        <v>0</v>
      </c>
      <c r="J154" s="2420">
        <f t="shared" si="80"/>
        <v>13124827</v>
      </c>
      <c r="K154" s="912"/>
      <c r="L154" s="1200"/>
      <c r="M154" s="775"/>
      <c r="N154" s="3216"/>
    </row>
    <row r="155" spans="1:14" hidden="1">
      <c r="A155" s="3309" t="s">
        <v>48</v>
      </c>
      <c r="B155" s="2914">
        <f t="shared" ref="B155:J155" si="82">+B109-B132</f>
        <v>0</v>
      </c>
      <c r="C155" s="2914">
        <f t="shared" si="82"/>
        <v>0</v>
      </c>
      <c r="D155" s="2950">
        <f t="shared" si="82"/>
        <v>200000</v>
      </c>
      <c r="E155" s="1516">
        <f t="shared" si="82"/>
        <v>400000</v>
      </c>
      <c r="F155" s="3310">
        <f t="shared" si="82"/>
        <v>0</v>
      </c>
      <c r="G155" s="3310">
        <f t="shared" si="82"/>
        <v>0</v>
      </c>
      <c r="H155" s="3310">
        <f t="shared" si="82"/>
        <v>0</v>
      </c>
      <c r="I155" s="3310">
        <f t="shared" ref="I155" si="83">+I109-I132</f>
        <v>0</v>
      </c>
      <c r="J155" s="3310">
        <f t="shared" si="82"/>
        <v>600000</v>
      </c>
      <c r="K155" s="912"/>
      <c r="L155" s="1200"/>
      <c r="M155" s="775"/>
      <c r="N155" s="3216"/>
    </row>
    <row r="156" spans="1:14" hidden="1">
      <c r="A156" s="3309" t="s">
        <v>12</v>
      </c>
      <c r="B156" s="2914">
        <f t="shared" ref="B156:J156" si="84">+B110-B133</f>
        <v>0</v>
      </c>
      <c r="C156" s="2914">
        <f t="shared" si="84"/>
        <v>-35306</v>
      </c>
      <c r="D156" s="2950">
        <f t="shared" si="84"/>
        <v>-3994</v>
      </c>
      <c r="E156" s="1516">
        <f t="shared" si="84"/>
        <v>0</v>
      </c>
      <c r="F156" s="3310">
        <f t="shared" si="84"/>
        <v>0</v>
      </c>
      <c r="G156" s="3310">
        <f t="shared" si="84"/>
        <v>0</v>
      </c>
      <c r="H156" s="3310">
        <f t="shared" si="84"/>
        <v>0</v>
      </c>
      <c r="I156" s="3310">
        <f t="shared" ref="I156" si="85">+I110-I133</f>
        <v>0</v>
      </c>
      <c r="J156" s="3311">
        <f t="shared" si="84"/>
        <v>-39300</v>
      </c>
      <c r="K156" s="912"/>
      <c r="L156" s="1200"/>
      <c r="M156" s="775"/>
      <c r="N156" s="3216"/>
    </row>
    <row r="157" spans="1:14" hidden="1">
      <c r="A157" s="3309" t="s">
        <v>14</v>
      </c>
      <c r="B157" s="2913">
        <f t="shared" ref="B157:J157" si="86">+B111-B134</f>
        <v>0</v>
      </c>
      <c r="C157" s="2914">
        <f t="shared" si="86"/>
        <v>0</v>
      </c>
      <c r="D157" s="2950">
        <f t="shared" si="86"/>
        <v>0</v>
      </c>
      <c r="E157" s="1516">
        <f t="shared" si="86"/>
        <v>0</v>
      </c>
      <c r="F157" s="3310">
        <f t="shared" si="86"/>
        <v>0</v>
      </c>
      <c r="G157" s="3310">
        <f t="shared" si="86"/>
        <v>0</v>
      </c>
      <c r="H157" s="3310">
        <f t="shared" si="86"/>
        <v>0</v>
      </c>
      <c r="I157" s="3310">
        <f t="shared" ref="I157" si="87">+I111-I134</f>
        <v>0</v>
      </c>
      <c r="J157" s="3311">
        <f t="shared" si="86"/>
        <v>0</v>
      </c>
      <c r="K157" s="912"/>
      <c r="L157" s="1200"/>
      <c r="M157" s="775"/>
      <c r="N157" s="3216"/>
    </row>
    <row r="158" spans="1:14" hidden="1">
      <c r="A158" s="3309" t="s">
        <v>49</v>
      </c>
      <c r="B158" s="2914">
        <f t="shared" ref="B158:J158" si="88">+B112-B135</f>
        <v>0</v>
      </c>
      <c r="C158" s="2914">
        <f t="shared" si="88"/>
        <v>0</v>
      </c>
      <c r="D158" s="2950">
        <f t="shared" si="88"/>
        <v>0</v>
      </c>
      <c r="E158" s="1516">
        <f t="shared" si="88"/>
        <v>0</v>
      </c>
      <c r="F158" s="3310">
        <f t="shared" si="88"/>
        <v>0</v>
      </c>
      <c r="G158" s="3310">
        <f t="shared" si="88"/>
        <v>0</v>
      </c>
      <c r="H158" s="3310">
        <f t="shared" si="88"/>
        <v>0</v>
      </c>
      <c r="I158" s="3310">
        <f t="shared" ref="I158" si="89">+I112-I135</f>
        <v>0</v>
      </c>
      <c r="J158" s="3310">
        <f t="shared" si="88"/>
        <v>0</v>
      </c>
      <c r="K158" s="912"/>
      <c r="L158" s="1200"/>
      <c r="M158" s="775"/>
      <c r="N158" s="3216"/>
    </row>
    <row r="159" spans="1:14" hidden="1">
      <c r="A159" s="3309" t="s">
        <v>18</v>
      </c>
      <c r="B159" s="2914">
        <f t="shared" ref="B159:J159" si="90">+B113-B136</f>
        <v>0</v>
      </c>
      <c r="C159" s="2914">
        <f t="shared" si="90"/>
        <v>0</v>
      </c>
      <c r="D159" s="2950">
        <f t="shared" si="90"/>
        <v>0</v>
      </c>
      <c r="E159" s="1516">
        <f t="shared" si="90"/>
        <v>0</v>
      </c>
      <c r="F159" s="3310">
        <f t="shared" si="90"/>
        <v>0</v>
      </c>
      <c r="G159" s="3310">
        <f t="shared" si="90"/>
        <v>0</v>
      </c>
      <c r="H159" s="3310">
        <f t="shared" si="90"/>
        <v>0</v>
      </c>
      <c r="I159" s="3310">
        <f t="shared" ref="I159" si="91">+I113-I136</f>
        <v>0</v>
      </c>
      <c r="J159" s="3311">
        <f t="shared" si="90"/>
        <v>0</v>
      </c>
      <c r="K159" s="912"/>
      <c r="L159" s="1200"/>
      <c r="M159" s="775"/>
      <c r="N159" s="3216"/>
    </row>
    <row r="160" spans="1:14" hidden="1">
      <c r="A160" s="3309" t="s">
        <v>16</v>
      </c>
      <c r="B160" s="2914">
        <f t="shared" ref="B160:J160" si="92">+B114-B137</f>
        <v>0</v>
      </c>
      <c r="C160" s="2914">
        <f t="shared" si="92"/>
        <v>0</v>
      </c>
      <c r="D160" s="2950">
        <f t="shared" si="92"/>
        <v>0</v>
      </c>
      <c r="E160" s="1516">
        <f t="shared" si="92"/>
        <v>0</v>
      </c>
      <c r="F160" s="3310">
        <f t="shared" si="92"/>
        <v>0</v>
      </c>
      <c r="G160" s="3310">
        <f t="shared" si="92"/>
        <v>0</v>
      </c>
      <c r="H160" s="3310">
        <f t="shared" si="92"/>
        <v>0</v>
      </c>
      <c r="I160" s="3310">
        <f t="shared" ref="I160" si="93">+I114-I137</f>
        <v>0</v>
      </c>
      <c r="J160" s="3311">
        <f t="shared" si="92"/>
        <v>0</v>
      </c>
      <c r="K160" s="912"/>
      <c r="L160" s="1200"/>
      <c r="M160" s="775"/>
      <c r="N160" s="3216"/>
    </row>
    <row r="161" spans="1:16" ht="13.5" hidden="1" thickBot="1">
      <c r="A161" s="3309" t="s">
        <v>19</v>
      </c>
      <c r="B161" s="2915">
        <f t="shared" ref="B161:J161" si="94">+B115-B138</f>
        <v>0</v>
      </c>
      <c r="C161" s="2915">
        <f t="shared" si="94"/>
        <v>-4107454</v>
      </c>
      <c r="D161" s="1540">
        <f t="shared" si="94"/>
        <v>3885041</v>
      </c>
      <c r="E161" s="2927">
        <f t="shared" si="94"/>
        <v>0</v>
      </c>
      <c r="F161" s="3312">
        <f t="shared" si="94"/>
        <v>0</v>
      </c>
      <c r="G161" s="3312">
        <f t="shared" si="94"/>
        <v>0</v>
      </c>
      <c r="H161" s="3312">
        <f t="shared" si="94"/>
        <v>0</v>
      </c>
      <c r="I161" s="3312">
        <f t="shared" ref="I161" si="95">+I115-I138</f>
        <v>0</v>
      </c>
      <c r="J161" s="3311">
        <f t="shared" si="94"/>
        <v>-222413</v>
      </c>
      <c r="K161" s="912">
        <f>+J161-J171</f>
        <v>0</v>
      </c>
      <c r="L161" s="1200"/>
      <c r="M161" s="775"/>
      <c r="N161" s="3216"/>
      <c r="P161" s="786">
        <f>+J161-J171</f>
        <v>0</v>
      </c>
    </row>
    <row r="162" spans="1:16" ht="15" hidden="1" customHeight="1" thickBot="1">
      <c r="A162" s="3313"/>
      <c r="B162" s="2916">
        <f t="shared" ref="B162:J162" si="96">SUM(B154:B161)</f>
        <v>0</v>
      </c>
      <c r="C162" s="2916">
        <f t="shared" si="96"/>
        <v>-4445209</v>
      </c>
      <c r="D162" s="1541">
        <f t="shared" si="96"/>
        <v>9508323</v>
      </c>
      <c r="E162" s="915">
        <f t="shared" si="96"/>
        <v>4400000</v>
      </c>
      <c r="F162" s="914">
        <f t="shared" si="96"/>
        <v>4000000</v>
      </c>
      <c r="G162" s="914">
        <f t="shared" si="96"/>
        <v>0</v>
      </c>
      <c r="H162" s="914">
        <f t="shared" si="96"/>
        <v>0</v>
      </c>
      <c r="I162" s="914">
        <f t="shared" ref="I162" si="97">SUM(I154:I161)</f>
        <v>0</v>
      </c>
      <c r="J162" s="914">
        <f t="shared" si="96"/>
        <v>13463114</v>
      </c>
      <c r="K162" s="916"/>
      <c r="L162" s="1200"/>
      <c r="M162" s="775"/>
      <c r="N162" s="3216"/>
    </row>
    <row r="163" spans="1:16" ht="14.25" hidden="1" customHeight="1" thickBot="1">
      <c r="A163" s="3314" t="s">
        <v>40</v>
      </c>
      <c r="B163" s="2917">
        <f t="shared" ref="B163:J163" si="98">+B107-B130</f>
        <v>0</v>
      </c>
      <c r="C163" s="2917">
        <f t="shared" si="98"/>
        <v>-4445209</v>
      </c>
      <c r="D163" s="1542">
        <f t="shared" si="98"/>
        <v>9508323</v>
      </c>
      <c r="E163" s="917">
        <f t="shared" si="98"/>
        <v>4400000</v>
      </c>
      <c r="F163" s="917">
        <f t="shared" si="98"/>
        <v>4000000</v>
      </c>
      <c r="G163" s="917">
        <f t="shared" si="98"/>
        <v>0</v>
      </c>
      <c r="H163" s="917">
        <f t="shared" si="98"/>
        <v>0</v>
      </c>
      <c r="I163" s="917">
        <f t="shared" ref="I163" si="99">+I107-I130</f>
        <v>0</v>
      </c>
      <c r="J163" s="917">
        <f t="shared" si="98"/>
        <v>13463114</v>
      </c>
      <c r="K163" s="917"/>
      <c r="L163" s="1200"/>
      <c r="M163" s="775"/>
      <c r="N163" s="3216"/>
    </row>
    <row r="164" spans="1:16" ht="16.5" hidden="1" customHeight="1" thickBot="1">
      <c r="A164" s="2891" t="s">
        <v>51</v>
      </c>
      <c r="B164" s="2918">
        <f t="shared" ref="B164:H171" si="100">+B118-B142</f>
        <v>0</v>
      </c>
      <c r="C164" s="2918">
        <f t="shared" si="100"/>
        <v>-3115831</v>
      </c>
      <c r="D164" s="1543">
        <f t="shared" si="100"/>
        <v>2854118</v>
      </c>
      <c r="E164" s="919">
        <f t="shared" si="100"/>
        <v>0</v>
      </c>
      <c r="F164" s="918">
        <f t="shared" si="100"/>
        <v>0</v>
      </c>
      <c r="G164" s="918">
        <f t="shared" si="100"/>
        <v>0</v>
      </c>
      <c r="H164" s="918">
        <f t="shared" si="100"/>
        <v>0</v>
      </c>
      <c r="I164" s="918">
        <f t="shared" ref="I164" si="101">+I118-I142</f>
        <v>0</v>
      </c>
      <c r="J164" s="2892">
        <f>SUM(J165:J171)</f>
        <v>-261713</v>
      </c>
      <c r="K164" s="920"/>
      <c r="L164" s="1200"/>
      <c r="M164" s="775"/>
      <c r="N164" s="3216"/>
    </row>
    <row r="165" spans="1:16" hidden="1">
      <c r="A165" s="3308" t="s">
        <v>12</v>
      </c>
      <c r="B165" s="2913">
        <f t="shared" si="100"/>
        <v>0</v>
      </c>
      <c r="C165" s="2913">
        <f t="shared" si="100"/>
        <v>-35306</v>
      </c>
      <c r="D165" s="2421">
        <f t="shared" si="100"/>
        <v>-3994</v>
      </c>
      <c r="E165" s="2422">
        <f t="shared" si="100"/>
        <v>0</v>
      </c>
      <c r="F165" s="2420">
        <f t="shared" si="100"/>
        <v>0</v>
      </c>
      <c r="G165" s="2420">
        <f t="shared" si="100"/>
        <v>0</v>
      </c>
      <c r="H165" s="2420">
        <f t="shared" si="100"/>
        <v>0</v>
      </c>
      <c r="I165" s="2420">
        <f t="shared" ref="I165" si="102">+I119-I143</f>
        <v>0</v>
      </c>
      <c r="J165" s="2435">
        <f t="shared" ref="J165:J171" si="103">+J119-J143</f>
        <v>-39300</v>
      </c>
      <c r="K165" s="921"/>
      <c r="L165" s="1200"/>
      <c r="M165" s="775"/>
      <c r="N165" s="3216"/>
    </row>
    <row r="166" spans="1:16" ht="13.5" hidden="1" thickBot="1">
      <c r="A166" s="3309" t="s">
        <v>14</v>
      </c>
      <c r="B166" s="2914">
        <f t="shared" si="100"/>
        <v>0</v>
      </c>
      <c r="C166" s="2914">
        <f t="shared" si="100"/>
        <v>0</v>
      </c>
      <c r="D166" s="2950">
        <f t="shared" si="100"/>
        <v>0</v>
      </c>
      <c r="E166" s="1516">
        <f t="shared" si="100"/>
        <v>0</v>
      </c>
      <c r="F166" s="3310">
        <f t="shared" si="100"/>
        <v>0</v>
      </c>
      <c r="G166" s="3310">
        <f t="shared" si="100"/>
        <v>0</v>
      </c>
      <c r="H166" s="3310">
        <f t="shared" si="100"/>
        <v>0</v>
      </c>
      <c r="I166" s="3310">
        <f t="shared" ref="I166" si="104">+I120-I144</f>
        <v>0</v>
      </c>
      <c r="J166" s="3315">
        <f t="shared" si="103"/>
        <v>0</v>
      </c>
      <c r="K166" s="921"/>
      <c r="L166" s="1200"/>
      <c r="M166" s="930"/>
      <c r="N166" s="3287"/>
    </row>
    <row r="167" spans="1:16" ht="13.5" hidden="1" thickBot="1">
      <c r="A167" s="3309" t="s">
        <v>53</v>
      </c>
      <c r="B167" s="2914">
        <f t="shared" si="100"/>
        <v>0</v>
      </c>
      <c r="C167" s="2914">
        <f t="shared" si="100"/>
        <v>0</v>
      </c>
      <c r="D167" s="2950">
        <f t="shared" si="100"/>
        <v>0</v>
      </c>
      <c r="E167" s="1516">
        <f t="shared" si="100"/>
        <v>0</v>
      </c>
      <c r="F167" s="3310">
        <f t="shared" si="100"/>
        <v>0</v>
      </c>
      <c r="G167" s="3310">
        <f t="shared" si="100"/>
        <v>0</v>
      </c>
      <c r="H167" s="3310">
        <f t="shared" si="100"/>
        <v>0</v>
      </c>
      <c r="I167" s="3310">
        <f t="shared" ref="I167" si="105">+I121-I145</f>
        <v>0</v>
      </c>
      <c r="J167" s="3316">
        <f t="shared" si="103"/>
        <v>0</v>
      </c>
      <c r="K167" s="921"/>
      <c r="L167" s="1200"/>
      <c r="M167" s="1995"/>
      <c r="N167" s="3317"/>
    </row>
    <row r="168" spans="1:16" ht="13.5" hidden="1" thickBot="1">
      <c r="A168" s="3309" t="s">
        <v>11</v>
      </c>
      <c r="B168" s="2914">
        <f t="shared" si="100"/>
        <v>0</v>
      </c>
      <c r="C168" s="2914">
        <f t="shared" si="100"/>
        <v>0</v>
      </c>
      <c r="D168" s="2950">
        <f t="shared" si="100"/>
        <v>0</v>
      </c>
      <c r="E168" s="1516">
        <f t="shared" si="100"/>
        <v>0</v>
      </c>
      <c r="F168" s="3310">
        <f t="shared" si="100"/>
        <v>0</v>
      </c>
      <c r="G168" s="3310">
        <f t="shared" si="100"/>
        <v>0</v>
      </c>
      <c r="H168" s="3310">
        <f t="shared" si="100"/>
        <v>0</v>
      </c>
      <c r="I168" s="3310">
        <f t="shared" ref="I168" si="106">+I122-I146</f>
        <v>0</v>
      </c>
      <c r="J168" s="3316">
        <f t="shared" si="103"/>
        <v>0</v>
      </c>
      <c r="K168" s="921"/>
      <c r="L168" s="1200"/>
      <c r="M168" s="1995"/>
      <c r="N168" s="3317"/>
    </row>
    <row r="169" spans="1:16" ht="13.5" hidden="1" thickBot="1">
      <c r="A169" s="3309" t="s">
        <v>16</v>
      </c>
      <c r="B169" s="2914">
        <f t="shared" si="100"/>
        <v>0</v>
      </c>
      <c r="C169" s="2913">
        <f t="shared" si="100"/>
        <v>0</v>
      </c>
      <c r="D169" s="2421">
        <f t="shared" si="100"/>
        <v>0</v>
      </c>
      <c r="E169" s="2422">
        <f t="shared" si="100"/>
        <v>0</v>
      </c>
      <c r="F169" s="2420">
        <f t="shared" si="100"/>
        <v>0</v>
      </c>
      <c r="G169" s="2420">
        <f t="shared" si="100"/>
        <v>0</v>
      </c>
      <c r="H169" s="2420">
        <f t="shared" si="100"/>
        <v>0</v>
      </c>
      <c r="I169" s="2420">
        <f t="shared" ref="I169" si="107">+I123-I147</f>
        <v>0</v>
      </c>
      <c r="J169" s="2435">
        <f t="shared" si="103"/>
        <v>0</v>
      </c>
      <c r="K169" s="2029"/>
      <c r="L169" s="1200"/>
      <c r="M169" s="928"/>
      <c r="N169" s="3317"/>
    </row>
    <row r="170" spans="1:16" ht="13.5" hidden="1" customHeight="1" thickBot="1">
      <c r="A170" s="3309" t="s">
        <v>18</v>
      </c>
      <c r="B170" s="2914">
        <f t="shared" si="100"/>
        <v>0</v>
      </c>
      <c r="C170" s="2914">
        <f t="shared" si="100"/>
        <v>0</v>
      </c>
      <c r="D170" s="2950">
        <f t="shared" si="100"/>
        <v>0</v>
      </c>
      <c r="E170" s="1516">
        <f t="shared" si="100"/>
        <v>0</v>
      </c>
      <c r="F170" s="3310">
        <f t="shared" si="100"/>
        <v>0</v>
      </c>
      <c r="G170" s="3310">
        <f t="shared" si="100"/>
        <v>0</v>
      </c>
      <c r="H170" s="3310">
        <f t="shared" si="100"/>
        <v>0</v>
      </c>
      <c r="I170" s="3310">
        <f t="shared" ref="I170" si="108">+I124-I148</f>
        <v>0</v>
      </c>
      <c r="J170" s="3315">
        <f t="shared" si="103"/>
        <v>0</v>
      </c>
      <c r="K170" s="921"/>
      <c r="L170" s="1200"/>
      <c r="M170" s="775"/>
      <c r="N170" s="3317"/>
    </row>
    <row r="171" spans="1:16" ht="13.5" hidden="1" thickBot="1">
      <c r="A171" s="913" t="s">
        <v>19</v>
      </c>
      <c r="B171" s="2915">
        <f t="shared" si="100"/>
        <v>0</v>
      </c>
      <c r="C171" s="2915">
        <f t="shared" si="100"/>
        <v>-3080525</v>
      </c>
      <c r="D171" s="1540">
        <f t="shared" si="100"/>
        <v>2858112</v>
      </c>
      <c r="E171" s="2927">
        <f t="shared" si="100"/>
        <v>0</v>
      </c>
      <c r="F171" s="3312">
        <f t="shared" si="100"/>
        <v>0</v>
      </c>
      <c r="G171" s="3312">
        <f t="shared" si="100"/>
        <v>0</v>
      </c>
      <c r="H171" s="3312">
        <f t="shared" si="100"/>
        <v>0</v>
      </c>
      <c r="I171" s="3312">
        <f t="shared" ref="I171" si="109">+I125-I149</f>
        <v>0</v>
      </c>
      <c r="J171" s="3315">
        <f t="shared" si="103"/>
        <v>-222413</v>
      </c>
      <c r="K171" s="921"/>
      <c r="L171" s="1200"/>
      <c r="M171" s="775"/>
      <c r="N171" s="3317"/>
    </row>
    <row r="172" spans="1:16" ht="13.5" hidden="1" thickBot="1">
      <c r="A172" s="3318"/>
      <c r="B172" s="2919">
        <f t="shared" ref="B172:J172" si="110">SUM(B165:B171)</f>
        <v>0</v>
      </c>
      <c r="C172" s="2919">
        <f t="shared" si="110"/>
        <v>-3115831</v>
      </c>
      <c r="D172" s="1544">
        <f t="shared" si="110"/>
        <v>2854118</v>
      </c>
      <c r="E172" s="922">
        <f t="shared" si="110"/>
        <v>0</v>
      </c>
      <c r="F172" s="922">
        <f t="shared" si="110"/>
        <v>0</v>
      </c>
      <c r="G172" s="922">
        <f t="shared" si="110"/>
        <v>0</v>
      </c>
      <c r="H172" s="922">
        <f t="shared" si="110"/>
        <v>0</v>
      </c>
      <c r="I172" s="922">
        <f t="shared" ref="I172" si="111">SUM(I165:I171)</f>
        <v>0</v>
      </c>
      <c r="J172" s="922">
        <f t="shared" si="110"/>
        <v>-261713</v>
      </c>
      <c r="K172" s="923"/>
      <c r="L172" s="1200"/>
      <c r="M172" s="775"/>
      <c r="N172" s="3317"/>
    </row>
    <row r="173" spans="1:16" ht="2.25" hidden="1" customHeight="1" thickBot="1">
      <c r="A173" s="3296"/>
      <c r="B173" s="924"/>
      <c r="J173" s="775"/>
      <c r="K173" s="1200"/>
      <c r="L173" s="1200"/>
      <c r="M173" s="775"/>
      <c r="N173" s="3317"/>
    </row>
    <row r="174" spans="1:16" ht="13.5" hidden="1" thickBot="1">
      <c r="A174" s="3319" t="s">
        <v>40</v>
      </c>
      <c r="B174" s="926">
        <f t="shared" ref="B174:J174" si="112">+B118-B142</f>
        <v>0</v>
      </c>
      <c r="C174" s="925">
        <f t="shared" si="112"/>
        <v>-3115831</v>
      </c>
      <c r="D174" s="925">
        <f t="shared" si="112"/>
        <v>2854118</v>
      </c>
      <c r="E174" s="925">
        <f t="shared" si="112"/>
        <v>0</v>
      </c>
      <c r="F174" s="925">
        <f t="shared" si="112"/>
        <v>0</v>
      </c>
      <c r="G174" s="925">
        <f t="shared" si="112"/>
        <v>0</v>
      </c>
      <c r="H174" s="925">
        <f t="shared" si="112"/>
        <v>0</v>
      </c>
      <c r="I174" s="925">
        <f t="shared" ref="I174" si="113">+I118-I142</f>
        <v>0</v>
      </c>
      <c r="J174" s="925">
        <f t="shared" si="112"/>
        <v>-261713</v>
      </c>
      <c r="K174" s="1200"/>
      <c r="L174" s="1200"/>
      <c r="M174" s="775"/>
      <c r="N174" s="3317"/>
    </row>
    <row r="175" spans="1:16" ht="14.25" hidden="1" customHeight="1" thickBot="1">
      <c r="A175" s="3296"/>
      <c r="B175" s="782">
        <f>+B174-B172</f>
        <v>0</v>
      </c>
      <c r="C175" s="782">
        <f t="shared" ref="C175:J175" si="114">+C174-C172</f>
        <v>0</v>
      </c>
      <c r="D175" s="782">
        <f t="shared" ref="D175:I175" si="115">+D174-D172</f>
        <v>0</v>
      </c>
      <c r="E175" s="782">
        <f t="shared" si="115"/>
        <v>0</v>
      </c>
      <c r="F175" s="782">
        <f t="shared" si="115"/>
        <v>0</v>
      </c>
      <c r="G175" s="782">
        <f t="shared" si="115"/>
        <v>0</v>
      </c>
      <c r="H175" s="782">
        <f t="shared" si="115"/>
        <v>0</v>
      </c>
      <c r="I175" s="782">
        <f t="shared" si="115"/>
        <v>0</v>
      </c>
      <c r="J175" s="782">
        <f t="shared" si="114"/>
        <v>0</v>
      </c>
      <c r="K175" s="1200"/>
      <c r="L175" s="1200"/>
      <c r="M175" s="775"/>
      <c r="N175" s="3317"/>
    </row>
    <row r="176" spans="1:16" ht="12" hidden="1" customHeight="1">
      <c r="A176" s="3296"/>
      <c r="J176" s="782"/>
      <c r="K176" s="1200"/>
      <c r="L176" s="1200"/>
      <c r="M176" s="775"/>
      <c r="N176" s="3215"/>
    </row>
    <row r="177" spans="1:14" hidden="1">
      <c r="A177" s="3296"/>
      <c r="J177" s="775"/>
      <c r="K177" s="1200"/>
      <c r="L177" s="1200"/>
      <c r="M177" s="775"/>
      <c r="N177" s="3216"/>
    </row>
    <row r="178" spans="1:14" hidden="1">
      <c r="A178" s="3296"/>
      <c r="J178" s="775"/>
      <c r="K178" s="1200"/>
      <c r="L178" s="1200"/>
      <c r="M178" s="775"/>
      <c r="N178" s="3216"/>
    </row>
    <row r="179" spans="1:14" hidden="1">
      <c r="A179" s="3296"/>
      <c r="J179" s="775"/>
      <c r="K179" s="1200"/>
      <c r="L179" s="1200"/>
      <c r="M179" s="775"/>
      <c r="N179" s="3216"/>
    </row>
    <row r="180" spans="1:14" hidden="1">
      <c r="A180" s="3296"/>
      <c r="J180" s="775"/>
      <c r="K180" s="1200"/>
      <c r="L180" s="1200"/>
      <c r="M180" s="775"/>
      <c r="N180" s="3216"/>
    </row>
    <row r="181" spans="1:14" ht="41.25" hidden="1" customHeight="1">
      <c r="A181" s="3296"/>
      <c r="J181" s="775"/>
      <c r="K181" s="1200"/>
      <c r="L181" s="1200"/>
      <c r="M181" s="775"/>
      <c r="N181" s="3216"/>
    </row>
    <row r="182" spans="1:14" hidden="1">
      <c r="A182" s="3296"/>
      <c r="J182" s="775"/>
      <c r="K182" s="1200"/>
      <c r="L182" s="1200"/>
      <c r="M182" s="775"/>
      <c r="N182" s="3216"/>
    </row>
    <row r="183" spans="1:14" hidden="1">
      <c r="A183" s="3296"/>
      <c r="J183" s="775"/>
      <c r="K183" s="1200"/>
      <c r="L183" s="1200"/>
      <c r="M183" s="775"/>
      <c r="N183" s="3216"/>
    </row>
    <row r="184" spans="1:14" hidden="1">
      <c r="A184" s="3296"/>
      <c r="J184" s="775"/>
      <c r="K184" s="1200"/>
      <c r="L184" s="1200"/>
      <c r="M184" s="775"/>
      <c r="N184" s="3216"/>
    </row>
    <row r="185" spans="1:14" hidden="1">
      <c r="A185" s="3296"/>
      <c r="J185" s="775"/>
      <c r="K185" s="1200"/>
      <c r="L185" s="1200"/>
      <c r="M185" s="775"/>
      <c r="N185" s="3216"/>
    </row>
    <row r="186" spans="1:14" hidden="1">
      <c r="A186" s="3296"/>
      <c r="J186" s="775"/>
      <c r="K186" s="1200"/>
      <c r="L186" s="1200"/>
      <c r="M186" s="775"/>
      <c r="N186" s="3216"/>
    </row>
    <row r="187" spans="1:14" hidden="1">
      <c r="A187" s="3296"/>
      <c r="J187" s="775"/>
      <c r="K187" s="1200"/>
      <c r="L187" s="1200"/>
      <c r="M187" s="775"/>
      <c r="N187" s="3216"/>
    </row>
    <row r="188" spans="1:14" hidden="1">
      <c r="A188" s="3296"/>
      <c r="J188" s="775"/>
      <c r="K188" s="1200"/>
      <c r="L188" s="1200"/>
      <c r="M188" s="775"/>
      <c r="N188" s="3216"/>
    </row>
    <row r="189" spans="1:14" hidden="1">
      <c r="A189" s="3296"/>
      <c r="J189" s="775"/>
      <c r="K189" s="1200"/>
      <c r="L189" s="1200"/>
      <c r="M189" s="775"/>
      <c r="N189" s="3216"/>
    </row>
    <row r="190" spans="1:14" hidden="1">
      <c r="A190" s="3296"/>
      <c r="J190" s="775"/>
      <c r="K190" s="1200"/>
      <c r="L190" s="1200"/>
      <c r="M190" s="775"/>
      <c r="N190" s="3216"/>
    </row>
    <row r="191" spans="1:14" hidden="1">
      <c r="A191" s="3296"/>
      <c r="J191" s="775"/>
      <c r="K191" s="1200"/>
      <c r="L191" s="1200"/>
      <c r="M191" s="775"/>
      <c r="N191" s="3216"/>
    </row>
    <row r="192" spans="1:14" hidden="1">
      <c r="A192" s="3296"/>
      <c r="J192" s="775"/>
      <c r="K192" s="1200"/>
      <c r="L192" s="1200"/>
      <c r="M192" s="775"/>
      <c r="N192" s="3216"/>
    </row>
    <row r="193" spans="1:14" hidden="1">
      <c r="A193" s="3296"/>
      <c r="J193" s="775"/>
      <c r="K193" s="1200"/>
      <c r="L193" s="1200"/>
      <c r="M193" s="775"/>
      <c r="N193" s="3216"/>
    </row>
    <row r="194" spans="1:14" hidden="1">
      <c r="A194" s="3296"/>
      <c r="J194" s="775"/>
      <c r="K194" s="1200"/>
      <c r="L194" s="1200"/>
      <c r="M194" s="775"/>
      <c r="N194" s="3216"/>
    </row>
    <row r="195" spans="1:14" hidden="1">
      <c r="A195" s="3296"/>
      <c r="J195" s="775"/>
      <c r="K195" s="1200"/>
      <c r="L195" s="1200"/>
      <c r="M195" s="775"/>
      <c r="N195" s="3216"/>
    </row>
    <row r="196" spans="1:14" hidden="1">
      <c r="A196" s="3296"/>
      <c r="J196" s="775"/>
      <c r="K196" s="1200"/>
      <c r="L196" s="1200"/>
      <c r="M196" s="775"/>
      <c r="N196" s="3216"/>
    </row>
    <row r="197" spans="1:14" hidden="1">
      <c r="A197" s="3296"/>
      <c r="J197" s="775"/>
      <c r="K197" s="1200"/>
      <c r="L197" s="1200"/>
      <c r="M197" s="775"/>
      <c r="N197" s="3216"/>
    </row>
    <row r="198" spans="1:14" hidden="1">
      <c r="A198" s="3296"/>
      <c r="J198" s="775"/>
      <c r="K198" s="1200"/>
      <c r="L198" s="1200"/>
      <c r="M198" s="775"/>
      <c r="N198" s="3216"/>
    </row>
    <row r="199" spans="1:14" hidden="1">
      <c r="A199" s="3296"/>
      <c r="J199" s="775"/>
      <c r="K199" s="1200"/>
      <c r="L199" s="1200"/>
      <c r="M199" s="775"/>
      <c r="N199" s="3216"/>
    </row>
    <row r="200" spans="1:14" hidden="1">
      <c r="A200" s="3296"/>
      <c r="J200" s="775"/>
      <c r="K200" s="1200"/>
      <c r="L200" s="1200"/>
      <c r="M200" s="775"/>
      <c r="N200" s="3216"/>
    </row>
    <row r="201" spans="1:14" hidden="1">
      <c r="A201" s="3296"/>
      <c r="J201" s="775"/>
      <c r="K201" s="1200"/>
      <c r="L201" s="1200"/>
      <c r="M201" s="775"/>
      <c r="N201" s="3216"/>
    </row>
    <row r="202" spans="1:14" hidden="1">
      <c r="A202" s="3296"/>
      <c r="J202" s="775"/>
      <c r="K202" s="1200"/>
      <c r="L202" s="1200"/>
      <c r="M202" s="775"/>
      <c r="N202" s="3216"/>
    </row>
    <row r="203" spans="1:14" hidden="1">
      <c r="A203" s="3296"/>
      <c r="J203" s="775"/>
      <c r="K203" s="1200"/>
      <c r="L203" s="1200"/>
      <c r="M203" s="775"/>
      <c r="N203" s="3216"/>
    </row>
    <row r="204" spans="1:14" hidden="1">
      <c r="A204" s="3296"/>
      <c r="J204" s="775"/>
      <c r="K204" s="1200"/>
      <c r="L204" s="1200"/>
      <c r="M204" s="775"/>
      <c r="N204" s="3216"/>
    </row>
    <row r="205" spans="1:14" hidden="1">
      <c r="A205" s="3296"/>
      <c r="J205" s="775"/>
      <c r="K205" s="1200"/>
      <c r="L205" s="1200"/>
      <c r="M205" s="775"/>
      <c r="N205" s="3216"/>
    </row>
    <row r="206" spans="1:14" hidden="1">
      <c r="A206" s="3296"/>
      <c r="J206" s="775"/>
      <c r="K206" s="1200"/>
      <c r="L206" s="1200"/>
      <c r="M206" s="775"/>
      <c r="N206" s="3216"/>
    </row>
    <row r="207" spans="1:14">
      <c r="A207" s="3296"/>
      <c r="J207" s="775"/>
      <c r="K207" s="1200"/>
      <c r="L207" s="1200"/>
      <c r="M207" s="775"/>
      <c r="N207" s="3216"/>
    </row>
    <row r="208" spans="1:14">
      <c r="A208" s="3296"/>
      <c r="J208" s="775"/>
      <c r="K208" s="1200"/>
      <c r="L208" s="1200"/>
      <c r="M208" s="775"/>
      <c r="N208" s="3216"/>
    </row>
    <row r="209" spans="1:14">
      <c r="A209" s="3296"/>
      <c r="J209" s="775"/>
      <c r="K209" s="1200"/>
      <c r="L209" s="1200"/>
      <c r="M209" s="775"/>
      <c r="N209" s="3216"/>
    </row>
    <row r="210" spans="1:14" ht="13.5" thickBot="1">
      <c r="A210" s="3296"/>
      <c r="J210" s="775"/>
      <c r="K210" s="1200"/>
      <c r="L210" s="1200"/>
      <c r="M210" s="775"/>
      <c r="N210" s="3287"/>
    </row>
    <row r="211" spans="1:14" ht="13.5" thickBot="1">
      <c r="A211" s="3296"/>
      <c r="J211" s="775"/>
      <c r="K211" s="1200"/>
      <c r="L211" s="1200"/>
      <c r="M211" s="775"/>
      <c r="N211" s="3317"/>
    </row>
    <row r="212" spans="1:14" ht="13.5" thickBot="1">
      <c r="A212" s="3296"/>
      <c r="J212" s="775"/>
      <c r="K212" s="1200"/>
      <c r="L212" s="1200"/>
      <c r="M212" s="775"/>
      <c r="N212" s="3317"/>
    </row>
    <row r="213" spans="1:14" ht="13.5" thickBot="1">
      <c r="A213" s="3296"/>
      <c r="J213" s="775"/>
      <c r="K213" s="1200"/>
      <c r="L213" s="1200"/>
      <c r="M213" s="775"/>
      <c r="N213" s="3317"/>
    </row>
    <row r="214" spans="1:14" ht="13.5" thickBot="1">
      <c r="A214" s="3296"/>
      <c r="J214" s="775"/>
      <c r="K214" s="1200"/>
      <c r="L214" s="1200"/>
      <c r="M214" s="775"/>
      <c r="N214" s="3317"/>
    </row>
    <row r="215" spans="1:14" ht="13.5" thickBot="1">
      <c r="A215" s="3296"/>
      <c r="J215" s="775"/>
      <c r="K215" s="1200"/>
      <c r="L215" s="1200"/>
      <c r="M215" s="775"/>
      <c r="N215" s="3317"/>
    </row>
    <row r="216" spans="1:14" ht="13.5" thickBot="1">
      <c r="A216" s="3296"/>
      <c r="J216" s="775"/>
      <c r="K216" s="1200"/>
      <c r="L216" s="1200"/>
      <c r="M216" s="775"/>
      <c r="N216" s="3317"/>
    </row>
    <row r="217" spans="1:14" ht="13.5" thickBot="1">
      <c r="A217" s="3296"/>
      <c r="J217" s="775"/>
      <c r="K217" s="1200"/>
      <c r="L217" s="1200"/>
      <c r="M217" s="775"/>
      <c r="N217" s="3317"/>
    </row>
    <row r="218" spans="1:14" ht="13.5" thickBot="1">
      <c r="A218" s="3296"/>
      <c r="J218" s="775"/>
      <c r="K218" s="1200"/>
      <c r="L218" s="1200"/>
      <c r="M218" s="775"/>
      <c r="N218" s="3317"/>
    </row>
    <row r="219" spans="1:14" ht="13.5" thickBot="1">
      <c r="A219" s="3296"/>
      <c r="J219" s="775"/>
      <c r="K219" s="1200"/>
      <c r="L219" s="1200"/>
      <c r="M219" s="775"/>
      <c r="N219" s="3317"/>
    </row>
    <row r="220" spans="1:14" ht="13.5" thickBot="1">
      <c r="A220" s="3296"/>
      <c r="J220" s="775"/>
      <c r="K220" s="1200"/>
      <c r="L220" s="1200"/>
      <c r="M220" s="775"/>
      <c r="N220" s="3317"/>
    </row>
    <row r="221" spans="1:14" ht="13.5" thickBot="1">
      <c r="A221" s="3296"/>
      <c r="J221" s="775"/>
      <c r="K221" s="1200"/>
      <c r="L221" s="1200"/>
      <c r="M221" s="775"/>
      <c r="N221" s="3317"/>
    </row>
    <row r="222" spans="1:14" ht="13.5" thickBot="1">
      <c r="A222" s="3296"/>
      <c r="J222" s="775"/>
      <c r="K222" s="1200"/>
      <c r="L222" s="1200"/>
      <c r="M222" s="775"/>
      <c r="N222" s="3317"/>
    </row>
    <row r="223" spans="1:14" ht="13.5" thickBot="1">
      <c r="A223" s="3296"/>
      <c r="J223" s="775"/>
      <c r="K223" s="1200"/>
      <c r="L223" s="1200"/>
      <c r="M223" s="775"/>
      <c r="N223" s="3317"/>
    </row>
    <row r="224" spans="1:14">
      <c r="A224" s="3296"/>
      <c r="J224" s="775"/>
      <c r="K224" s="1200"/>
      <c r="L224" s="1200"/>
      <c r="M224" s="775"/>
      <c r="N224" s="3215"/>
    </row>
    <row r="225" spans="1:14">
      <c r="A225" s="3296"/>
      <c r="J225" s="775"/>
      <c r="K225" s="1200"/>
      <c r="L225" s="1200"/>
      <c r="M225" s="775"/>
      <c r="N225" s="3216"/>
    </row>
    <row r="226" spans="1:14">
      <c r="A226" s="3296"/>
      <c r="J226" s="775"/>
      <c r="K226" s="1200"/>
      <c r="L226" s="1200"/>
      <c r="M226" s="775"/>
      <c r="N226" s="3216"/>
    </row>
    <row r="227" spans="1:14">
      <c r="A227" s="3296"/>
      <c r="J227" s="775"/>
      <c r="K227" s="1200"/>
      <c r="L227" s="1200"/>
      <c r="M227" s="775"/>
      <c r="N227" s="3216"/>
    </row>
    <row r="228" spans="1:14">
      <c r="A228" s="3296"/>
      <c r="J228" s="775"/>
      <c r="K228" s="1200"/>
      <c r="L228" s="1200"/>
      <c r="M228" s="775"/>
      <c r="N228" s="3216"/>
    </row>
    <row r="229" spans="1:14">
      <c r="A229" s="3296"/>
      <c r="J229" s="775"/>
      <c r="K229" s="1200"/>
      <c r="L229" s="1200"/>
      <c r="M229" s="775"/>
      <c r="N229" s="3216"/>
    </row>
    <row r="230" spans="1:14">
      <c r="A230" s="3296"/>
      <c r="J230" s="775"/>
      <c r="K230" s="1200"/>
      <c r="L230" s="1200"/>
      <c r="M230" s="775"/>
      <c r="N230" s="3216"/>
    </row>
    <row r="231" spans="1:14">
      <c r="A231" s="3296"/>
      <c r="J231" s="775"/>
      <c r="K231" s="1200"/>
      <c r="L231" s="1200"/>
      <c r="M231" s="775"/>
      <c r="N231" s="3216"/>
    </row>
    <row r="232" spans="1:14">
      <c r="A232" s="3296"/>
      <c r="J232" s="775"/>
      <c r="K232" s="1200"/>
      <c r="L232" s="1200"/>
      <c r="M232" s="775"/>
      <c r="N232" s="3216"/>
    </row>
    <row r="233" spans="1:14">
      <c r="A233" s="3296"/>
      <c r="J233" s="775"/>
      <c r="K233" s="1200"/>
      <c r="L233" s="1200"/>
      <c r="M233" s="775"/>
      <c r="N233" s="3216"/>
    </row>
    <row r="234" spans="1:14">
      <c r="A234" s="3296"/>
      <c r="J234" s="775"/>
      <c r="K234" s="1200"/>
      <c r="L234" s="1200"/>
      <c r="M234" s="775"/>
      <c r="N234" s="3216"/>
    </row>
    <row r="235" spans="1:14">
      <c r="A235" s="3296"/>
      <c r="J235" s="775"/>
      <c r="K235" s="1200"/>
      <c r="L235" s="1200"/>
      <c r="M235" s="775"/>
      <c r="N235" s="3216"/>
    </row>
    <row r="236" spans="1:14">
      <c r="A236" s="3296"/>
      <c r="J236" s="775"/>
      <c r="K236" s="1200"/>
      <c r="L236" s="1200"/>
      <c r="M236" s="775"/>
      <c r="N236" s="3216"/>
    </row>
    <row r="237" spans="1:14">
      <c r="A237" s="3296"/>
      <c r="J237" s="775"/>
      <c r="K237" s="1200"/>
      <c r="L237" s="1200"/>
      <c r="M237" s="775"/>
      <c r="N237" s="3216"/>
    </row>
    <row r="238" spans="1:14">
      <c r="A238" s="3296"/>
      <c r="J238" s="775"/>
      <c r="K238" s="1200"/>
      <c r="L238" s="1200"/>
      <c r="M238" s="775"/>
      <c r="N238" s="3216"/>
    </row>
    <row r="239" spans="1:14">
      <c r="A239" s="3296"/>
      <c r="J239" s="775"/>
      <c r="K239" s="1200"/>
      <c r="L239" s="1200"/>
      <c r="M239" s="775"/>
      <c r="N239" s="3216"/>
    </row>
    <row r="240" spans="1:14">
      <c r="A240" s="3296"/>
      <c r="J240" s="775"/>
      <c r="K240" s="1200"/>
      <c r="L240" s="1200"/>
      <c r="M240" s="775"/>
      <c r="N240" s="3216"/>
    </row>
    <row r="241" spans="1:14">
      <c r="A241" s="3296"/>
      <c r="J241" s="775"/>
      <c r="K241" s="1200"/>
      <c r="L241" s="1200"/>
      <c r="M241" s="775"/>
      <c r="N241" s="3216"/>
    </row>
    <row r="242" spans="1:14">
      <c r="A242" s="3296"/>
      <c r="J242" s="775"/>
      <c r="K242" s="1200"/>
      <c r="L242" s="1200"/>
      <c r="M242" s="775"/>
      <c r="N242" s="3216"/>
    </row>
    <row r="243" spans="1:14">
      <c r="A243" s="3296"/>
      <c r="J243" s="775"/>
      <c r="K243" s="1200"/>
      <c r="L243" s="1200"/>
      <c r="M243" s="775"/>
      <c r="N243" s="3216"/>
    </row>
    <row r="244" spans="1:14">
      <c r="A244" s="3296"/>
      <c r="J244" s="775"/>
      <c r="K244" s="1200"/>
      <c r="L244" s="1200"/>
      <c r="M244" s="775"/>
      <c r="N244" s="3216"/>
    </row>
    <row r="245" spans="1:14">
      <c r="A245" s="3296"/>
      <c r="J245" s="775"/>
      <c r="K245" s="1200"/>
      <c r="L245" s="1200"/>
      <c r="M245" s="775"/>
      <c r="N245" s="3216"/>
    </row>
    <row r="246" spans="1:14">
      <c r="A246" s="3296"/>
      <c r="J246" s="775"/>
      <c r="K246" s="1200"/>
      <c r="L246" s="1200"/>
      <c r="M246" s="775"/>
      <c r="N246" s="3216"/>
    </row>
    <row r="247" spans="1:14">
      <c r="A247" s="3296"/>
      <c r="J247" s="775"/>
      <c r="K247" s="1200"/>
      <c r="L247" s="1200"/>
      <c r="M247" s="775"/>
      <c r="N247" s="3216"/>
    </row>
    <row r="248" spans="1:14">
      <c r="A248" s="3296"/>
      <c r="J248" s="775"/>
      <c r="K248" s="1200"/>
      <c r="L248" s="1200"/>
      <c r="M248" s="775"/>
      <c r="N248" s="3216"/>
    </row>
    <row r="249" spans="1:14">
      <c r="A249" s="3296"/>
      <c r="J249" s="775"/>
      <c r="K249" s="1200"/>
      <c r="L249" s="1200"/>
      <c r="M249" s="775"/>
      <c r="N249" s="3216"/>
    </row>
    <row r="250" spans="1:14">
      <c r="A250" s="3296"/>
      <c r="J250" s="775"/>
      <c r="K250" s="1200"/>
      <c r="L250" s="1200"/>
      <c r="M250" s="775"/>
      <c r="N250" s="3216"/>
    </row>
    <row r="251" spans="1:14">
      <c r="A251" s="3296"/>
      <c r="J251" s="775"/>
      <c r="K251" s="1200"/>
      <c r="L251" s="1200"/>
      <c r="M251" s="775"/>
      <c r="N251" s="3216"/>
    </row>
    <row r="252" spans="1:14">
      <c r="A252" s="3296"/>
      <c r="J252" s="775"/>
      <c r="K252" s="1200"/>
      <c r="L252" s="1200"/>
      <c r="M252" s="775"/>
      <c r="N252" s="3216"/>
    </row>
    <row r="253" spans="1:14">
      <c r="A253" s="3296"/>
      <c r="J253" s="775"/>
      <c r="K253" s="1200"/>
      <c r="L253" s="1200"/>
      <c r="M253" s="775"/>
      <c r="N253" s="3216"/>
    </row>
    <row r="254" spans="1:14">
      <c r="A254" s="3296"/>
      <c r="J254" s="775"/>
      <c r="K254" s="1200"/>
      <c r="L254" s="1200"/>
      <c r="M254" s="775"/>
      <c r="N254" s="3216"/>
    </row>
    <row r="255" spans="1:14">
      <c r="A255" s="3296"/>
      <c r="J255" s="775"/>
      <c r="K255" s="1200"/>
      <c r="L255" s="1200"/>
      <c r="M255" s="775"/>
      <c r="N255" s="3216"/>
    </row>
    <row r="256" spans="1:14">
      <c r="A256" s="3296"/>
      <c r="J256" s="775"/>
      <c r="K256" s="1200"/>
      <c r="L256" s="1200"/>
      <c r="M256" s="775"/>
      <c r="N256" s="3216"/>
    </row>
    <row r="257" spans="1:14">
      <c r="A257" s="3296"/>
      <c r="J257" s="775"/>
      <c r="K257" s="1200"/>
      <c r="L257" s="1200"/>
      <c r="M257" s="775"/>
      <c r="N257" s="3216"/>
    </row>
    <row r="258" spans="1:14">
      <c r="A258" s="3296"/>
      <c r="J258" s="775"/>
      <c r="K258" s="1200"/>
      <c r="L258" s="1200"/>
      <c r="M258" s="775"/>
      <c r="N258" s="3216"/>
    </row>
    <row r="259" spans="1:14">
      <c r="A259" s="3296"/>
      <c r="J259" s="775"/>
      <c r="K259" s="1200"/>
      <c r="L259" s="1200"/>
      <c r="M259" s="775"/>
      <c r="N259" s="3216"/>
    </row>
    <row r="260" spans="1:14">
      <c r="A260" s="3296"/>
      <c r="J260" s="775"/>
      <c r="K260" s="1200"/>
      <c r="L260" s="1200"/>
      <c r="M260" s="775"/>
      <c r="N260" s="3216"/>
    </row>
    <row r="261" spans="1:14">
      <c r="A261" s="3296"/>
      <c r="J261" s="775"/>
      <c r="K261" s="1200"/>
      <c r="L261" s="1200"/>
      <c r="M261" s="775"/>
      <c r="N261" s="3216"/>
    </row>
    <row r="262" spans="1:14">
      <c r="A262" s="3296"/>
      <c r="J262" s="775"/>
      <c r="K262" s="1200"/>
      <c r="L262" s="1200"/>
      <c r="M262" s="775"/>
      <c r="N262" s="3216"/>
    </row>
    <row r="263" spans="1:14">
      <c r="A263" s="3296"/>
      <c r="J263" s="775"/>
      <c r="K263" s="1200"/>
      <c r="L263" s="1200"/>
      <c r="M263" s="775"/>
      <c r="N263" s="3216"/>
    </row>
    <row r="264" spans="1:14">
      <c r="A264" s="3296"/>
      <c r="J264" s="775"/>
      <c r="K264" s="1200"/>
      <c r="L264" s="1200"/>
      <c r="M264" s="775"/>
      <c r="N264" s="3216"/>
    </row>
    <row r="265" spans="1:14">
      <c r="A265" s="3296"/>
      <c r="J265" s="775"/>
      <c r="K265" s="1200"/>
      <c r="L265" s="1200"/>
      <c r="M265" s="775"/>
      <c r="N265" s="3216"/>
    </row>
    <row r="266" spans="1:14">
      <c r="A266" s="3296"/>
      <c r="J266" s="775"/>
      <c r="K266" s="1200"/>
      <c r="L266" s="1200"/>
      <c r="M266" s="775"/>
      <c r="N266" s="3216"/>
    </row>
    <row r="267" spans="1:14">
      <c r="A267" s="3296"/>
      <c r="J267" s="775"/>
      <c r="K267" s="1200"/>
      <c r="L267" s="1200"/>
      <c r="M267" s="775"/>
      <c r="N267" s="3216"/>
    </row>
    <row r="268" spans="1:14">
      <c r="A268" s="3296"/>
      <c r="J268" s="775"/>
      <c r="K268" s="1200"/>
      <c r="L268" s="1200"/>
      <c r="M268" s="775"/>
      <c r="N268" s="3216"/>
    </row>
    <row r="269" spans="1:14">
      <c r="A269" s="3296"/>
      <c r="J269" s="775"/>
      <c r="K269" s="1200"/>
      <c r="L269" s="1200"/>
      <c r="M269" s="775"/>
      <c r="N269" s="3216"/>
    </row>
    <row r="270" spans="1:14">
      <c r="A270" s="3296"/>
      <c r="J270" s="775"/>
      <c r="K270" s="1200"/>
      <c r="L270" s="1200"/>
      <c r="M270" s="775"/>
      <c r="N270" s="3216"/>
    </row>
    <row r="271" spans="1:14">
      <c r="A271" s="3296"/>
      <c r="J271" s="775"/>
      <c r="K271" s="1200"/>
      <c r="L271" s="1200"/>
      <c r="M271" s="775"/>
      <c r="N271" s="3216"/>
    </row>
    <row r="272" spans="1:14">
      <c r="A272" s="3296"/>
      <c r="J272" s="775"/>
      <c r="K272" s="1200"/>
      <c r="L272" s="1200"/>
      <c r="M272" s="775"/>
      <c r="N272" s="3216"/>
    </row>
    <row r="273" spans="1:14">
      <c r="A273" s="3296"/>
      <c r="J273" s="775"/>
      <c r="K273" s="1200"/>
      <c r="L273" s="1200"/>
      <c r="M273" s="775"/>
      <c r="N273" s="3216"/>
    </row>
    <row r="274" spans="1:14">
      <c r="A274" s="3296"/>
      <c r="J274" s="775"/>
      <c r="K274" s="1200"/>
      <c r="L274" s="1200"/>
      <c r="M274" s="775"/>
      <c r="N274" s="3216"/>
    </row>
    <row r="275" spans="1:14">
      <c r="A275" s="3296"/>
      <c r="J275" s="775"/>
      <c r="K275" s="1200"/>
      <c r="L275" s="1200"/>
      <c r="M275" s="775"/>
      <c r="N275" s="3216"/>
    </row>
    <row r="276" spans="1:14">
      <c r="A276" s="3296"/>
      <c r="J276" s="775"/>
      <c r="K276" s="1200"/>
      <c r="L276" s="1200"/>
      <c r="M276" s="775"/>
      <c r="N276" s="3216"/>
    </row>
    <row r="277" spans="1:14">
      <c r="A277" s="3296"/>
      <c r="J277" s="775"/>
      <c r="K277" s="1200"/>
      <c r="L277" s="1200"/>
      <c r="M277" s="775"/>
      <c r="N277" s="3216"/>
    </row>
    <row r="278" spans="1:14">
      <c r="A278" s="3296"/>
      <c r="J278" s="775"/>
      <c r="K278" s="1200"/>
      <c r="L278" s="1200"/>
      <c r="M278" s="775"/>
      <c r="N278" s="3216"/>
    </row>
    <row r="279" spans="1:14">
      <c r="A279" s="3296"/>
      <c r="J279" s="775"/>
      <c r="K279" s="1200"/>
      <c r="L279" s="1200"/>
      <c r="M279" s="775"/>
      <c r="N279" s="3216"/>
    </row>
    <row r="280" spans="1:14">
      <c r="A280" s="3296"/>
      <c r="J280" s="775"/>
      <c r="K280" s="1200"/>
      <c r="L280" s="1200"/>
      <c r="M280" s="775"/>
      <c r="N280" s="3216"/>
    </row>
    <row r="281" spans="1:14">
      <c r="A281" s="3296"/>
      <c r="J281" s="775"/>
      <c r="K281" s="1200"/>
      <c r="L281" s="1200"/>
      <c r="M281" s="775"/>
      <c r="N281" s="3216"/>
    </row>
    <row r="282" spans="1:14">
      <c r="A282" s="3296"/>
      <c r="J282" s="775"/>
      <c r="K282" s="1200"/>
      <c r="L282" s="1200"/>
      <c r="M282" s="775"/>
      <c r="N282" s="3216"/>
    </row>
    <row r="283" spans="1:14">
      <c r="A283" s="3296"/>
      <c r="J283" s="775"/>
      <c r="K283" s="1200"/>
      <c r="L283" s="1200"/>
      <c r="M283" s="775"/>
      <c r="N283" s="3216"/>
    </row>
    <row r="284" spans="1:14">
      <c r="A284" s="3296"/>
      <c r="J284" s="775"/>
      <c r="K284" s="1200"/>
      <c r="L284" s="1200"/>
      <c r="M284" s="775"/>
      <c r="N284" s="3216"/>
    </row>
    <row r="285" spans="1:14">
      <c r="A285" s="3296"/>
      <c r="J285" s="775"/>
      <c r="K285" s="1200"/>
      <c r="L285" s="1200"/>
      <c r="M285" s="775"/>
      <c r="N285" s="3216"/>
    </row>
    <row r="286" spans="1:14">
      <c r="A286" s="3296"/>
      <c r="J286" s="775"/>
      <c r="K286" s="1200"/>
      <c r="L286" s="1200"/>
      <c r="M286" s="775"/>
      <c r="N286" s="3216"/>
    </row>
    <row r="287" spans="1:14" ht="13.5" thickBot="1">
      <c r="A287" s="3320"/>
      <c r="B287" s="930"/>
      <c r="C287" s="930"/>
      <c r="D287" s="930"/>
      <c r="E287" s="930"/>
      <c r="F287" s="930"/>
      <c r="G287" s="930"/>
      <c r="H287" s="930"/>
      <c r="I287" s="930"/>
      <c r="J287" s="930"/>
      <c r="K287" s="473"/>
      <c r="L287" s="473"/>
      <c r="M287" s="930"/>
      <c r="N287" s="3287"/>
    </row>
    <row r="288" spans="1:14">
      <c r="A288" s="775"/>
      <c r="J288" s="775"/>
    </row>
    <row r="289" spans="1:10">
      <c r="A289" s="775"/>
      <c r="J289" s="775"/>
    </row>
    <row r="290" spans="1:10">
      <c r="A290" s="775"/>
      <c r="J290" s="775"/>
    </row>
    <row r="291" spans="1:10">
      <c r="A291" s="775"/>
      <c r="J291" s="775"/>
    </row>
    <row r="292" spans="1:10">
      <c r="A292" s="775"/>
      <c r="J292" s="775"/>
    </row>
    <row r="293" spans="1:10">
      <c r="A293" s="775"/>
      <c r="J293" s="775"/>
    </row>
    <row r="294" spans="1:10">
      <c r="A294" s="775"/>
      <c r="J294" s="775"/>
    </row>
    <row r="295" spans="1:10">
      <c r="A295" s="775"/>
      <c r="J295" s="775"/>
    </row>
    <row r="296" spans="1:10">
      <c r="A296" s="775"/>
      <c r="J296" s="775"/>
    </row>
    <row r="297" spans="1:10">
      <c r="A297" s="775"/>
      <c r="J297" s="775"/>
    </row>
    <row r="298" spans="1:10">
      <c r="A298" s="775"/>
      <c r="J298" s="775"/>
    </row>
    <row r="299" spans="1:10">
      <c r="A299" s="775"/>
      <c r="J299" s="775"/>
    </row>
    <row r="300" spans="1:10">
      <c r="A300" s="775"/>
      <c r="J300" s="775"/>
    </row>
    <row r="301" spans="1:10">
      <c r="A301" s="775"/>
      <c r="J301" s="775"/>
    </row>
    <row r="302" spans="1:10">
      <c r="A302" s="775"/>
      <c r="J302" s="775"/>
    </row>
    <row r="303" spans="1:10">
      <c r="A303" s="775"/>
      <c r="J303" s="775"/>
    </row>
    <row r="304" spans="1:10">
      <c r="A304" s="775"/>
      <c r="J304" s="775"/>
    </row>
    <row r="305" spans="1:10">
      <c r="A305" s="775"/>
      <c r="J305" s="775"/>
    </row>
    <row r="306" spans="1:10">
      <c r="A306" s="775"/>
      <c r="J306" s="775"/>
    </row>
    <row r="307" spans="1:10">
      <c r="A307" s="775"/>
      <c r="J307" s="775"/>
    </row>
    <row r="308" spans="1:10">
      <c r="A308" s="775"/>
      <c r="J308" s="775"/>
    </row>
    <row r="309" spans="1:10">
      <c r="A309" s="775"/>
      <c r="J309" s="775"/>
    </row>
    <row r="310" spans="1:10">
      <c r="A310" s="775"/>
      <c r="J310" s="775"/>
    </row>
    <row r="311" spans="1:10">
      <c r="A311" s="775"/>
      <c r="J311" s="775"/>
    </row>
    <row r="312" spans="1:10">
      <c r="A312" s="775"/>
      <c r="J312" s="775"/>
    </row>
    <row r="313" spans="1:10">
      <c r="A313" s="775"/>
      <c r="J313" s="775"/>
    </row>
    <row r="314" spans="1:10">
      <c r="A314" s="775"/>
      <c r="J314" s="775"/>
    </row>
    <row r="315" spans="1:10">
      <c r="A315" s="775"/>
      <c r="J315" s="775"/>
    </row>
    <row r="316" spans="1:10">
      <c r="A316" s="775"/>
      <c r="J316" s="775"/>
    </row>
    <row r="317" spans="1:10">
      <c r="A317" s="775"/>
      <c r="J317" s="775"/>
    </row>
    <row r="318" spans="1:10">
      <c r="A318" s="775"/>
      <c r="J318" s="775"/>
    </row>
    <row r="319" spans="1:10">
      <c r="A319" s="775"/>
      <c r="J319" s="775"/>
    </row>
    <row r="320" spans="1:10">
      <c r="A320" s="775"/>
      <c r="J320" s="775"/>
    </row>
    <row r="321" spans="1:10">
      <c r="A321" s="775"/>
      <c r="J321" s="775"/>
    </row>
    <row r="322" spans="1:10">
      <c r="A322" s="775"/>
      <c r="J322" s="775"/>
    </row>
    <row r="323" spans="1:10">
      <c r="A323" s="775"/>
      <c r="J323" s="775"/>
    </row>
    <row r="324" spans="1:10">
      <c r="A324" s="775"/>
      <c r="J324" s="775"/>
    </row>
    <row r="325" spans="1:10">
      <c r="A325" s="775"/>
      <c r="J325" s="775"/>
    </row>
    <row r="326" spans="1:10">
      <c r="A326" s="775"/>
      <c r="J326" s="775"/>
    </row>
    <row r="327" spans="1:10">
      <c r="A327" s="775"/>
      <c r="J327" s="775"/>
    </row>
    <row r="328" spans="1:10">
      <c r="A328" s="775"/>
      <c r="J328" s="775"/>
    </row>
    <row r="329" spans="1:10">
      <c r="A329" s="775"/>
      <c r="J329" s="775"/>
    </row>
    <row r="330" spans="1:10">
      <c r="A330" s="775"/>
      <c r="J330" s="775"/>
    </row>
    <row r="331" spans="1:10">
      <c r="A331" s="775"/>
      <c r="J331" s="775"/>
    </row>
    <row r="332" spans="1:10">
      <c r="A332" s="775"/>
      <c r="J332" s="775"/>
    </row>
    <row r="333" spans="1:10">
      <c r="A333" s="775"/>
      <c r="J333" s="775"/>
    </row>
    <row r="334" spans="1:10">
      <c r="A334" s="775"/>
      <c r="J334" s="775"/>
    </row>
    <row r="335" spans="1:10">
      <c r="A335" s="775"/>
      <c r="J335" s="775"/>
    </row>
    <row r="336" spans="1:10">
      <c r="A336" s="775"/>
      <c r="J336" s="775"/>
    </row>
    <row r="337" spans="1:12">
      <c r="A337" s="775"/>
      <c r="J337" s="775"/>
    </row>
    <row r="338" spans="1:12">
      <c r="A338" s="775"/>
      <c r="J338" s="775"/>
    </row>
    <row r="339" spans="1:12">
      <c r="A339" s="775"/>
      <c r="J339" s="775"/>
    </row>
    <row r="340" spans="1:12">
      <c r="A340" s="775"/>
      <c r="J340" s="775"/>
    </row>
    <row r="341" spans="1:12">
      <c r="A341" s="775"/>
      <c r="J341" s="775"/>
    </row>
    <row r="342" spans="1:12">
      <c r="A342" s="775"/>
      <c r="J342" s="775"/>
    </row>
    <row r="343" spans="1:12">
      <c r="A343" s="775"/>
      <c r="J343" s="775"/>
    </row>
    <row r="344" spans="1:12">
      <c r="A344" s="775"/>
      <c r="J344" s="775"/>
    </row>
    <row r="345" spans="1:12">
      <c r="A345" s="775"/>
      <c r="J345" s="775"/>
    </row>
    <row r="346" spans="1:12">
      <c r="A346" s="775"/>
      <c r="J346" s="775"/>
    </row>
    <row r="347" spans="1:12">
      <c r="A347" s="775"/>
      <c r="J347" s="775"/>
    </row>
    <row r="348" spans="1:12">
      <c r="A348" s="775"/>
      <c r="J348" s="775"/>
    </row>
    <row r="349" spans="1:12" ht="13.5" thickBot="1">
      <c r="A349" s="775"/>
      <c r="J349" s="775"/>
    </row>
    <row r="350" spans="1:12" ht="45">
      <c r="A350" s="927" t="s">
        <v>60</v>
      </c>
      <c r="B350" s="928"/>
      <c r="C350" s="928"/>
      <c r="D350" s="928"/>
      <c r="E350" s="928"/>
      <c r="F350" s="928"/>
      <c r="G350" s="928"/>
      <c r="H350" s="928"/>
      <c r="I350" s="928"/>
      <c r="J350" s="928"/>
      <c r="K350" s="929"/>
      <c r="L350" s="929"/>
    </row>
    <row r="351" spans="1:12">
      <c r="A351" s="775"/>
      <c r="J351" s="775"/>
      <c r="K351" s="1200"/>
      <c r="L351" s="1200"/>
    </row>
    <row r="352" spans="1:12">
      <c r="A352" s="775"/>
      <c r="J352" s="775"/>
      <c r="K352" s="1200"/>
      <c r="L352" s="1200"/>
    </row>
    <row r="353" spans="1:12">
      <c r="A353" s="775"/>
      <c r="J353" s="775"/>
      <c r="K353" s="1200"/>
      <c r="L353" s="1200"/>
    </row>
    <row r="354" spans="1:12">
      <c r="A354" s="775"/>
      <c r="J354" s="775"/>
      <c r="K354" s="1200"/>
      <c r="L354" s="1200"/>
    </row>
    <row r="355" spans="1:12">
      <c r="A355" s="775"/>
      <c r="J355" s="775"/>
      <c r="K355" s="1200"/>
      <c r="L355" s="1200"/>
    </row>
    <row r="356" spans="1:12">
      <c r="A356" s="775"/>
      <c r="J356" s="775"/>
      <c r="K356" s="1200"/>
      <c r="L356" s="1200"/>
    </row>
    <row r="357" spans="1:12">
      <c r="A357" s="775"/>
      <c r="J357" s="775"/>
      <c r="K357" s="1200"/>
      <c r="L357" s="1200"/>
    </row>
    <row r="358" spans="1:12">
      <c r="A358" s="775"/>
      <c r="J358" s="775"/>
      <c r="K358" s="1200"/>
      <c r="L358" s="1200"/>
    </row>
    <row r="359" spans="1:12">
      <c r="A359" s="775"/>
      <c r="J359" s="775"/>
      <c r="K359" s="1200"/>
      <c r="L359" s="1200"/>
    </row>
    <row r="360" spans="1:12">
      <c r="A360" s="775"/>
      <c r="J360" s="775"/>
      <c r="K360" s="1200"/>
      <c r="L360" s="1200"/>
    </row>
    <row r="361" spans="1:12" ht="13.5" thickBot="1">
      <c r="A361" s="930"/>
      <c r="B361" s="930"/>
      <c r="C361" s="930"/>
      <c r="D361" s="930"/>
      <c r="E361" s="930"/>
      <c r="F361" s="930"/>
      <c r="G361" s="930"/>
      <c r="H361" s="930"/>
      <c r="I361" s="930"/>
      <c r="J361" s="930"/>
      <c r="K361" s="473"/>
      <c r="L361" s="473"/>
    </row>
    <row r="362" spans="1:12">
      <c r="A362" s="775"/>
      <c r="J362" s="775"/>
    </row>
    <row r="363" spans="1:12" ht="13.5" thickBot="1">
      <c r="A363" s="930"/>
      <c r="J363" s="775"/>
    </row>
    <row r="364" spans="1:12" ht="13.5" thickBot="1">
      <c r="A364" s="1995"/>
      <c r="J364" s="775"/>
    </row>
    <row r="365" spans="1:12" ht="13.5" thickBot="1">
      <c r="A365" s="1995"/>
      <c r="J365" s="775"/>
    </row>
    <row r="366" spans="1:12" ht="13.5" thickBot="1">
      <c r="A366" s="1995"/>
      <c r="J366" s="775"/>
    </row>
    <row r="367" spans="1:12" ht="13.5" thickBot="1">
      <c r="A367" s="1995"/>
      <c r="J367" s="775"/>
    </row>
    <row r="368" spans="1:12" ht="13.5" thickBot="1">
      <c r="A368" s="1995"/>
      <c r="J368" s="775"/>
    </row>
    <row r="369" spans="1:14" ht="13.5" thickBot="1">
      <c r="A369" s="1995"/>
      <c r="J369" s="775"/>
      <c r="M369" s="930"/>
      <c r="N369" s="930"/>
    </row>
    <row r="370" spans="1:14" ht="13.5" thickBot="1">
      <c r="A370" s="1995"/>
      <c r="J370" s="775"/>
      <c r="M370" s="1995"/>
      <c r="N370" s="1995"/>
    </row>
    <row r="371" spans="1:14" ht="13.5" thickBot="1">
      <c r="A371" s="1995"/>
      <c r="C371" s="930"/>
      <c r="D371" s="930"/>
      <c r="E371" s="930"/>
      <c r="F371" s="930"/>
      <c r="G371" s="930"/>
      <c r="H371" s="930"/>
      <c r="I371" s="930"/>
      <c r="J371" s="930"/>
      <c r="K371" s="473"/>
      <c r="M371" s="1995"/>
      <c r="N371" s="1995"/>
    </row>
    <row r="372" spans="1:14" ht="13.5" thickBot="1">
      <c r="A372" s="1995"/>
      <c r="C372" s="928"/>
      <c r="D372" s="928"/>
      <c r="E372" s="928"/>
      <c r="F372" s="928"/>
      <c r="G372" s="928"/>
      <c r="H372" s="928"/>
      <c r="I372" s="928"/>
      <c r="J372" s="928"/>
      <c r="K372" s="929"/>
      <c r="M372" s="928"/>
      <c r="N372" s="1995"/>
    </row>
    <row r="373" spans="1:14" ht="13.5" thickBot="1">
      <c r="A373" s="1995"/>
      <c r="J373" s="775"/>
      <c r="N373" s="1995"/>
    </row>
    <row r="374" spans="1:14" ht="13.5" thickBot="1">
      <c r="A374" s="1995"/>
      <c r="J374" s="775"/>
      <c r="N374" s="1995"/>
    </row>
    <row r="375" spans="1:14" ht="13.5" thickBot="1">
      <c r="A375" s="1995"/>
      <c r="J375" s="775"/>
      <c r="N375" s="1995"/>
    </row>
    <row r="376" spans="1:14" ht="13.5" thickBot="1">
      <c r="A376" s="1995"/>
      <c r="J376" s="775"/>
      <c r="N376" s="1995"/>
    </row>
    <row r="377" spans="1:14" ht="13.5" thickBot="1">
      <c r="A377" s="1995"/>
      <c r="J377" s="775"/>
      <c r="N377" s="928"/>
    </row>
    <row r="378" spans="1:14" ht="13.5" thickBot="1">
      <c r="A378" s="1995"/>
      <c r="J378" s="775"/>
    </row>
    <row r="379" spans="1:14" ht="13.5" thickBot="1">
      <c r="A379" s="1995"/>
      <c r="J379" s="775"/>
    </row>
    <row r="380" spans="1:14">
      <c r="A380" s="928"/>
      <c r="J380" s="775"/>
    </row>
    <row r="381" spans="1:14">
      <c r="A381" s="775"/>
      <c r="J381" s="775"/>
    </row>
    <row r="382" spans="1:14">
      <c r="A382" s="775"/>
      <c r="J382" s="775"/>
    </row>
    <row r="383" spans="1:14">
      <c r="A383" s="775"/>
      <c r="J383" s="775"/>
    </row>
    <row r="384" spans="1:14">
      <c r="A384" s="775"/>
      <c r="J384" s="775"/>
    </row>
    <row r="385" spans="1:10">
      <c r="A385" s="775"/>
      <c r="J385" s="775"/>
    </row>
    <row r="386" spans="1:10">
      <c r="A386" s="775"/>
      <c r="J386" s="775"/>
    </row>
    <row r="387" spans="1:10">
      <c r="A387" s="775"/>
      <c r="J387" s="775"/>
    </row>
    <row r="388" spans="1:10">
      <c r="A388" s="775"/>
      <c r="J388" s="775"/>
    </row>
    <row r="389" spans="1:10">
      <c r="A389" s="775"/>
      <c r="J389" s="775"/>
    </row>
    <row r="390" spans="1:10">
      <c r="A390" s="775"/>
      <c r="J390" s="775"/>
    </row>
    <row r="391" spans="1:10">
      <c r="A391" s="775"/>
      <c r="J391" s="775"/>
    </row>
    <row r="392" spans="1:10">
      <c r="A392" s="775"/>
      <c r="J392" s="775"/>
    </row>
    <row r="393" spans="1:10">
      <c r="A393" s="775"/>
      <c r="J393" s="775"/>
    </row>
    <row r="394" spans="1:10">
      <c r="A394" s="775"/>
      <c r="J394" s="775"/>
    </row>
    <row r="395" spans="1:10">
      <c r="A395" s="775"/>
      <c r="J395" s="775"/>
    </row>
    <row r="396" spans="1:10">
      <c r="A396" s="775"/>
      <c r="J396" s="775"/>
    </row>
    <row r="397" spans="1:10">
      <c r="A397" s="775"/>
      <c r="J397" s="775"/>
    </row>
    <row r="398" spans="1:10">
      <c r="A398" s="775"/>
      <c r="J398" s="775"/>
    </row>
    <row r="399" spans="1:10">
      <c r="A399" s="775"/>
      <c r="J399" s="775"/>
    </row>
    <row r="400" spans="1:10">
      <c r="A400" s="775"/>
      <c r="J400" s="775"/>
    </row>
    <row r="401" spans="1:10">
      <c r="A401" s="775"/>
      <c r="J401" s="775"/>
    </row>
    <row r="402" spans="1:10">
      <c r="A402" s="775"/>
      <c r="J402" s="775"/>
    </row>
    <row r="403" spans="1:10">
      <c r="A403" s="775"/>
      <c r="J403" s="775"/>
    </row>
    <row r="404" spans="1:10">
      <c r="A404" s="775"/>
      <c r="J404" s="775"/>
    </row>
    <row r="405" spans="1:10">
      <c r="A405" s="775"/>
      <c r="J405" s="775"/>
    </row>
    <row r="406" spans="1:10">
      <c r="A406" s="775"/>
      <c r="J406" s="775"/>
    </row>
    <row r="407" spans="1:10">
      <c r="A407" s="775"/>
      <c r="J407" s="775"/>
    </row>
    <row r="408" spans="1:10">
      <c r="A408" s="775"/>
      <c r="J408" s="775"/>
    </row>
    <row r="409" spans="1:10">
      <c r="A409" s="775"/>
      <c r="J409" s="775"/>
    </row>
    <row r="410" spans="1:10">
      <c r="A410" s="775"/>
      <c r="J410" s="775"/>
    </row>
    <row r="411" spans="1:10">
      <c r="A411" s="775"/>
      <c r="J411" s="775"/>
    </row>
    <row r="412" spans="1:10">
      <c r="A412" s="775"/>
      <c r="J412" s="775"/>
    </row>
    <row r="413" spans="1:10">
      <c r="A413" s="775"/>
      <c r="J413" s="775"/>
    </row>
    <row r="414" spans="1:10">
      <c r="A414" s="775"/>
      <c r="J414" s="775"/>
    </row>
    <row r="415" spans="1:10">
      <c r="A415" s="775"/>
      <c r="J415" s="775"/>
    </row>
    <row r="416" spans="1:10">
      <c r="A416" s="775"/>
      <c r="J416" s="775"/>
    </row>
    <row r="417" spans="1:10">
      <c r="A417" s="775"/>
      <c r="J417" s="775"/>
    </row>
    <row r="418" spans="1:10">
      <c r="A418" s="775"/>
      <c r="J418" s="775"/>
    </row>
    <row r="419" spans="1:10">
      <c r="A419" s="775"/>
      <c r="J419" s="775"/>
    </row>
    <row r="420" spans="1:10">
      <c r="A420" s="775"/>
      <c r="J420" s="775"/>
    </row>
    <row r="421" spans="1:10">
      <c r="A421" s="775"/>
      <c r="J421" s="775"/>
    </row>
    <row r="422" spans="1:10">
      <c r="A422" s="775"/>
      <c r="J422" s="775"/>
    </row>
    <row r="423" spans="1:10">
      <c r="A423" s="775"/>
      <c r="J423" s="775"/>
    </row>
    <row r="424" spans="1:10">
      <c r="A424" s="775"/>
      <c r="J424" s="775"/>
    </row>
    <row r="425" spans="1:10">
      <c r="A425" s="775"/>
      <c r="J425" s="775"/>
    </row>
    <row r="426" spans="1:10">
      <c r="A426" s="775"/>
      <c r="J426" s="775"/>
    </row>
    <row r="427" spans="1:10">
      <c r="A427" s="775"/>
      <c r="J427" s="775"/>
    </row>
    <row r="428" spans="1:10">
      <c r="A428" s="775"/>
      <c r="J428" s="775"/>
    </row>
    <row r="429" spans="1:10">
      <c r="A429" s="775"/>
      <c r="J429" s="775"/>
    </row>
    <row r="430" spans="1:10">
      <c r="A430" s="775"/>
      <c r="J430" s="775"/>
    </row>
    <row r="431" spans="1:10">
      <c r="A431" s="775"/>
      <c r="J431" s="775"/>
    </row>
    <row r="432" spans="1:10">
      <c r="A432" s="775"/>
      <c r="J432" s="775"/>
    </row>
    <row r="433" spans="1:10">
      <c r="A433" s="775"/>
      <c r="J433" s="775"/>
    </row>
    <row r="434" spans="1:10">
      <c r="A434" s="775"/>
      <c r="J434" s="775"/>
    </row>
    <row r="435" spans="1:10">
      <c r="A435" s="775"/>
      <c r="J435" s="775"/>
    </row>
    <row r="436" spans="1:10">
      <c r="A436" s="775"/>
      <c r="J436" s="775"/>
    </row>
    <row r="437" spans="1:10">
      <c r="A437" s="775"/>
      <c r="J437" s="775"/>
    </row>
    <row r="438" spans="1:10">
      <c r="A438" s="775"/>
      <c r="J438" s="775"/>
    </row>
    <row r="439" spans="1:10">
      <c r="A439" s="775"/>
      <c r="J439" s="775"/>
    </row>
    <row r="440" spans="1:10">
      <c r="A440" s="775"/>
      <c r="J440" s="775"/>
    </row>
    <row r="441" spans="1:10">
      <c r="A441" s="775"/>
      <c r="J441" s="775"/>
    </row>
    <row r="442" spans="1:10">
      <c r="A442" s="775"/>
      <c r="J442" s="775"/>
    </row>
    <row r="443" spans="1:10">
      <c r="A443" s="775"/>
      <c r="J443" s="775"/>
    </row>
    <row r="444" spans="1:10">
      <c r="A444" s="775"/>
      <c r="J444" s="775"/>
    </row>
    <row r="445" spans="1:10">
      <c r="A445" s="775"/>
      <c r="J445" s="775"/>
    </row>
    <row r="446" spans="1:10">
      <c r="A446" s="775"/>
      <c r="J446" s="775"/>
    </row>
    <row r="447" spans="1:10">
      <c r="A447" s="775"/>
      <c r="J447" s="775"/>
    </row>
    <row r="448" spans="1:10">
      <c r="A448" s="775"/>
      <c r="J448" s="775"/>
    </row>
    <row r="449" spans="1:10">
      <c r="A449" s="775"/>
      <c r="J449" s="775"/>
    </row>
    <row r="450" spans="1:10">
      <c r="A450" s="775"/>
      <c r="J450" s="775"/>
    </row>
    <row r="451" spans="1:10">
      <c r="A451" s="775"/>
      <c r="J451" s="775"/>
    </row>
    <row r="452" spans="1:10">
      <c r="A452" s="775"/>
      <c r="J452" s="775"/>
    </row>
    <row r="453" spans="1:10">
      <c r="A453" s="775"/>
      <c r="J453" s="775"/>
    </row>
    <row r="454" spans="1:10">
      <c r="A454" s="775"/>
      <c r="J454" s="775"/>
    </row>
    <row r="455" spans="1:10">
      <c r="A455" s="775"/>
      <c r="J455" s="775"/>
    </row>
    <row r="456" spans="1:10">
      <c r="A456" s="775"/>
      <c r="J456" s="775"/>
    </row>
    <row r="457" spans="1:10">
      <c r="A457" s="775"/>
      <c r="J457" s="775"/>
    </row>
    <row r="458" spans="1:10">
      <c r="A458" s="775"/>
      <c r="J458" s="775"/>
    </row>
    <row r="459" spans="1:10">
      <c r="A459" s="775"/>
      <c r="J459" s="775"/>
    </row>
    <row r="460" spans="1:10">
      <c r="A460" s="775"/>
      <c r="J460" s="775"/>
    </row>
    <row r="461" spans="1:10">
      <c r="A461" s="775"/>
      <c r="J461" s="775"/>
    </row>
    <row r="462" spans="1:10">
      <c r="A462" s="775"/>
      <c r="J462" s="775"/>
    </row>
    <row r="463" spans="1:10">
      <c r="A463" s="775"/>
      <c r="J463" s="775"/>
    </row>
    <row r="464" spans="1:10">
      <c r="A464" s="775"/>
      <c r="J464" s="775"/>
    </row>
    <row r="465" spans="1:14">
      <c r="A465" s="775"/>
      <c r="J465" s="775"/>
    </row>
    <row r="466" spans="1:14">
      <c r="A466" s="775"/>
      <c r="J466" s="775"/>
    </row>
    <row r="467" spans="1:14">
      <c r="A467" s="775"/>
      <c r="J467" s="775"/>
    </row>
    <row r="468" spans="1:14">
      <c r="A468" s="775"/>
      <c r="J468" s="775"/>
    </row>
    <row r="469" spans="1:14">
      <c r="A469" s="775"/>
      <c r="J469" s="775"/>
    </row>
    <row r="470" spans="1:14">
      <c r="A470" s="775"/>
      <c r="J470" s="775"/>
    </row>
    <row r="471" spans="1:14">
      <c r="A471" s="775"/>
      <c r="J471" s="775"/>
    </row>
    <row r="472" spans="1:14">
      <c r="A472" s="775"/>
      <c r="J472" s="775"/>
    </row>
    <row r="473" spans="1:14">
      <c r="A473" s="775"/>
      <c r="J473" s="775"/>
    </row>
    <row r="474" spans="1:14">
      <c r="A474" s="775"/>
      <c r="J474" s="775"/>
    </row>
    <row r="475" spans="1:14">
      <c r="A475" s="775"/>
      <c r="J475" s="775"/>
    </row>
    <row r="476" spans="1:14">
      <c r="A476" s="775"/>
      <c r="J476" s="775"/>
    </row>
    <row r="477" spans="1:14">
      <c r="A477" s="775"/>
      <c r="J477" s="775"/>
    </row>
    <row r="478" spans="1:14" ht="13.5" thickBot="1">
      <c r="A478" s="775"/>
      <c r="J478" s="775"/>
      <c r="N478" s="930"/>
    </row>
    <row r="479" spans="1:14" ht="13.5" thickBot="1">
      <c r="A479" s="775"/>
      <c r="J479" s="775"/>
      <c r="N479" s="1995"/>
    </row>
    <row r="480" spans="1:14" ht="13.5" thickBot="1">
      <c r="A480" s="775"/>
      <c r="J480" s="775"/>
      <c r="N480" s="1995"/>
    </row>
    <row r="481" spans="1:14" ht="13.5" thickBot="1">
      <c r="A481" s="775"/>
      <c r="J481" s="775"/>
      <c r="N481" s="1995"/>
    </row>
    <row r="482" spans="1:14" ht="13.5" thickBot="1">
      <c r="A482" s="775"/>
      <c r="J482" s="775"/>
      <c r="M482" s="930"/>
      <c r="N482" s="1995"/>
    </row>
    <row r="483" spans="1:14" ht="13.5" thickBot="1">
      <c r="A483" s="775"/>
      <c r="J483" s="775"/>
      <c r="M483" s="1995"/>
      <c r="N483" s="1995"/>
    </row>
    <row r="484" spans="1:14" ht="13.5" thickBot="1">
      <c r="A484" s="775"/>
      <c r="J484" s="775"/>
      <c r="M484" s="1995"/>
      <c r="N484" s="1995"/>
    </row>
    <row r="485" spans="1:14" ht="13.5" thickBot="1">
      <c r="A485" s="775"/>
      <c r="J485" s="775"/>
      <c r="M485" s="1995"/>
      <c r="N485" s="1995"/>
    </row>
    <row r="486" spans="1:14" ht="13.5" thickBot="1">
      <c r="A486" s="775"/>
      <c r="J486" s="775"/>
      <c r="M486" s="1995"/>
      <c r="N486" s="1995"/>
    </row>
    <row r="487" spans="1:14" ht="13.5" thickBot="1">
      <c r="A487" s="930"/>
      <c r="B487" s="930"/>
      <c r="C487" s="930"/>
      <c r="D487" s="930"/>
      <c r="E487" s="930"/>
      <c r="F487" s="930"/>
      <c r="G487" s="930"/>
      <c r="H487" s="930"/>
      <c r="I487" s="930"/>
      <c r="J487" s="930"/>
      <c r="K487" s="473"/>
      <c r="M487" s="1995"/>
      <c r="N487" s="1995"/>
    </row>
    <row r="488" spans="1:14" ht="13.5" thickBot="1">
      <c r="A488" s="1995"/>
      <c r="B488" s="928"/>
      <c r="C488" s="928"/>
      <c r="D488" s="928"/>
      <c r="E488" s="928"/>
      <c r="F488" s="928"/>
      <c r="G488" s="928"/>
      <c r="H488" s="928"/>
      <c r="I488" s="928"/>
      <c r="J488" s="928"/>
      <c r="K488" s="929"/>
      <c r="M488" s="928"/>
      <c r="N488" s="1995"/>
    </row>
    <row r="489" spans="1:14" ht="13.5" thickBot="1">
      <c r="A489" s="1995"/>
      <c r="J489" s="775"/>
      <c r="N489" s="1995"/>
    </row>
    <row r="490" spans="1:14" ht="13.5" thickBot="1">
      <c r="A490" s="1995"/>
      <c r="J490" s="775"/>
      <c r="N490" s="1995"/>
    </row>
    <row r="491" spans="1:14" ht="13.5" thickBot="1">
      <c r="A491" s="1995"/>
      <c r="J491" s="775"/>
      <c r="N491" s="1995"/>
    </row>
    <row r="492" spans="1:14" ht="13.5" thickBot="1">
      <c r="A492" s="1995"/>
      <c r="J492" s="775"/>
      <c r="N492" s="1995"/>
    </row>
    <row r="493" spans="1:14" ht="13.5" thickBot="1">
      <c r="A493" s="1995"/>
      <c r="J493" s="775"/>
      <c r="N493" s="1995"/>
    </row>
    <row r="494" spans="1:14" ht="13.5" thickBot="1">
      <c r="A494" s="1995"/>
      <c r="J494" s="775"/>
      <c r="N494" s="1995"/>
    </row>
    <row r="495" spans="1:14">
      <c r="A495" s="928"/>
      <c r="J495" s="775"/>
      <c r="N495" s="928"/>
    </row>
    <row r="496" spans="1:14">
      <c r="A496" s="775"/>
      <c r="J496" s="775"/>
    </row>
    <row r="497" spans="1:10">
      <c r="A497" s="775"/>
      <c r="J497" s="775"/>
    </row>
    <row r="498" spans="1:10">
      <c r="A498" s="775"/>
      <c r="J498" s="775"/>
    </row>
    <row r="499" spans="1:10">
      <c r="A499" s="775"/>
      <c r="J499" s="775"/>
    </row>
    <row r="500" spans="1:10">
      <c r="A500" s="775"/>
      <c r="J500" s="775"/>
    </row>
    <row r="501" spans="1:10">
      <c r="A501" s="775"/>
      <c r="J501" s="775"/>
    </row>
    <row r="502" spans="1:10">
      <c r="A502" s="775"/>
      <c r="J502" s="775"/>
    </row>
    <row r="503" spans="1:10">
      <c r="A503" s="775"/>
      <c r="J503" s="775"/>
    </row>
    <row r="504" spans="1:10">
      <c r="A504" s="775"/>
      <c r="J504" s="775"/>
    </row>
    <row r="505" spans="1:10">
      <c r="A505" s="775"/>
      <c r="J505" s="775"/>
    </row>
    <row r="506" spans="1:10">
      <c r="A506" s="775"/>
      <c r="J506" s="775"/>
    </row>
    <row r="507" spans="1:10">
      <c r="A507" s="775"/>
      <c r="J507" s="775"/>
    </row>
    <row r="508" spans="1:10">
      <c r="A508" s="775"/>
      <c r="J508" s="775"/>
    </row>
    <row r="509" spans="1:10">
      <c r="A509" s="775"/>
      <c r="J509" s="775"/>
    </row>
    <row r="510" spans="1:10">
      <c r="A510" s="775"/>
      <c r="J510" s="775"/>
    </row>
    <row r="511" spans="1:10">
      <c r="A511" s="775"/>
      <c r="J511" s="775"/>
    </row>
    <row r="512" spans="1:10">
      <c r="A512" s="775"/>
      <c r="J512" s="775"/>
    </row>
    <row r="513" spans="1:10">
      <c r="A513" s="775"/>
      <c r="J513" s="775"/>
    </row>
    <row r="514" spans="1:10">
      <c r="A514" s="775"/>
      <c r="J514" s="775"/>
    </row>
    <row r="515" spans="1:10">
      <c r="A515" s="775"/>
      <c r="J515" s="775"/>
    </row>
    <row r="516" spans="1:10">
      <c r="A516" s="775"/>
      <c r="J516" s="775"/>
    </row>
    <row r="517" spans="1:10">
      <c r="A517" s="775"/>
      <c r="J517" s="775"/>
    </row>
    <row r="518" spans="1:10">
      <c r="A518" s="775"/>
      <c r="J518" s="775"/>
    </row>
    <row r="519" spans="1:10">
      <c r="A519" s="775"/>
      <c r="J519" s="775"/>
    </row>
    <row r="520" spans="1:10">
      <c r="A520" s="775"/>
      <c r="J520" s="775"/>
    </row>
    <row r="521" spans="1:10">
      <c r="A521" s="775"/>
      <c r="J521" s="775"/>
    </row>
    <row r="522" spans="1:10">
      <c r="A522" s="775"/>
      <c r="J522" s="775"/>
    </row>
    <row r="523" spans="1:10">
      <c r="A523" s="775"/>
      <c r="J523" s="775"/>
    </row>
    <row r="524" spans="1:10">
      <c r="A524" s="775"/>
      <c r="J524" s="775"/>
    </row>
    <row r="525" spans="1:10">
      <c r="A525" s="775"/>
      <c r="J525" s="775"/>
    </row>
    <row r="526" spans="1:10">
      <c r="A526" s="775"/>
      <c r="J526" s="775"/>
    </row>
    <row r="527" spans="1:10">
      <c r="A527" s="775"/>
      <c r="J527" s="775"/>
    </row>
    <row r="528" spans="1:10">
      <c r="A528" s="775"/>
      <c r="J528" s="775"/>
    </row>
    <row r="529" spans="1:10">
      <c r="A529" s="775"/>
      <c r="J529" s="775"/>
    </row>
    <row r="530" spans="1:10">
      <c r="A530" s="775"/>
      <c r="J530" s="775"/>
    </row>
    <row r="531" spans="1:10">
      <c r="A531" s="775"/>
      <c r="J531" s="775"/>
    </row>
    <row r="532" spans="1:10">
      <c r="A532" s="775"/>
      <c r="J532" s="775"/>
    </row>
    <row r="533" spans="1:10">
      <c r="A533" s="775"/>
      <c r="J533" s="775"/>
    </row>
    <row r="534" spans="1:10">
      <c r="A534" s="775"/>
      <c r="J534" s="775"/>
    </row>
    <row r="535" spans="1:10">
      <c r="A535" s="775"/>
      <c r="J535" s="775"/>
    </row>
    <row r="536" spans="1:10">
      <c r="A536" s="775"/>
      <c r="J536" s="775"/>
    </row>
    <row r="537" spans="1:10">
      <c r="A537" s="775"/>
      <c r="J537" s="775"/>
    </row>
    <row r="538" spans="1:10">
      <c r="A538" s="775"/>
      <c r="J538" s="775"/>
    </row>
    <row r="539" spans="1:10">
      <c r="A539" s="775"/>
      <c r="J539" s="775"/>
    </row>
    <row r="540" spans="1:10">
      <c r="A540" s="775"/>
      <c r="J540" s="775"/>
    </row>
    <row r="541" spans="1:10">
      <c r="A541" s="775"/>
      <c r="J541" s="775"/>
    </row>
    <row r="542" spans="1:10">
      <c r="A542" s="775"/>
      <c r="J542" s="775"/>
    </row>
    <row r="543" spans="1:10">
      <c r="A543" s="775"/>
      <c r="J543" s="775"/>
    </row>
    <row r="544" spans="1:10">
      <c r="A544" s="775"/>
      <c r="J544" s="775"/>
    </row>
    <row r="545" spans="1:10">
      <c r="A545" s="775"/>
      <c r="J545" s="775"/>
    </row>
    <row r="546" spans="1:10">
      <c r="A546" s="775"/>
      <c r="J546" s="775"/>
    </row>
    <row r="547" spans="1:10">
      <c r="A547" s="775"/>
      <c r="J547" s="775"/>
    </row>
    <row r="548" spans="1:10">
      <c r="A548" s="775"/>
      <c r="J548" s="775"/>
    </row>
    <row r="549" spans="1:10">
      <c r="A549" s="775"/>
      <c r="J549" s="775"/>
    </row>
    <row r="550" spans="1:10">
      <c r="A550" s="775"/>
      <c r="J550" s="775"/>
    </row>
    <row r="551" spans="1:10">
      <c r="A551" s="775"/>
      <c r="J551" s="775"/>
    </row>
    <row r="552" spans="1:10">
      <c r="A552" s="775"/>
      <c r="J552" s="775"/>
    </row>
    <row r="553" spans="1:10">
      <c r="A553" s="775"/>
      <c r="J553" s="775"/>
    </row>
    <row r="554" spans="1:10">
      <c r="A554" s="775"/>
      <c r="J554" s="775"/>
    </row>
    <row r="555" spans="1:10">
      <c r="A555" s="775"/>
      <c r="J555" s="775"/>
    </row>
    <row r="556" spans="1:10">
      <c r="A556" s="775"/>
      <c r="J556" s="775"/>
    </row>
    <row r="557" spans="1:10">
      <c r="A557" s="775"/>
      <c r="J557" s="775"/>
    </row>
    <row r="558" spans="1:10">
      <c r="A558" s="775"/>
      <c r="J558" s="775"/>
    </row>
    <row r="559" spans="1:10">
      <c r="A559" s="775"/>
      <c r="J559" s="775"/>
    </row>
    <row r="560" spans="1:10">
      <c r="A560" s="775"/>
      <c r="J560" s="775"/>
    </row>
    <row r="561" spans="1:10">
      <c r="A561" s="775"/>
      <c r="J561" s="775"/>
    </row>
    <row r="562" spans="1:10">
      <c r="A562" s="775"/>
      <c r="J562" s="775"/>
    </row>
    <row r="563" spans="1:10">
      <c r="A563" s="775"/>
      <c r="J563" s="775"/>
    </row>
    <row r="564" spans="1:10">
      <c r="A564" s="775"/>
      <c r="J564" s="775"/>
    </row>
    <row r="565" spans="1:10">
      <c r="A565" s="775"/>
      <c r="J565" s="775"/>
    </row>
    <row r="566" spans="1:10">
      <c r="A566" s="775"/>
      <c r="J566" s="775"/>
    </row>
    <row r="567" spans="1:10">
      <c r="A567" s="775"/>
      <c r="J567" s="775"/>
    </row>
    <row r="568" spans="1:10">
      <c r="A568" s="775"/>
      <c r="J568" s="775"/>
    </row>
    <row r="569" spans="1:10">
      <c r="A569" s="775"/>
      <c r="J569" s="775"/>
    </row>
    <row r="570" spans="1:10">
      <c r="A570" s="775"/>
      <c r="J570" s="775"/>
    </row>
    <row r="571" spans="1:10">
      <c r="A571" s="775"/>
      <c r="J571" s="775"/>
    </row>
    <row r="572" spans="1:10">
      <c r="A572" s="775"/>
      <c r="J572" s="775"/>
    </row>
    <row r="573" spans="1:10">
      <c r="A573" s="775"/>
      <c r="J573" s="775"/>
    </row>
    <row r="574" spans="1:10">
      <c r="A574" s="775"/>
      <c r="J574" s="775"/>
    </row>
    <row r="575" spans="1:10">
      <c r="A575" s="775"/>
      <c r="J575" s="775"/>
    </row>
    <row r="576" spans="1:10">
      <c r="A576" s="775"/>
      <c r="J576" s="775"/>
    </row>
    <row r="577" spans="1:10">
      <c r="A577" s="775"/>
      <c r="J577" s="775"/>
    </row>
    <row r="578" spans="1:10">
      <c r="A578" s="775"/>
      <c r="J578" s="775"/>
    </row>
    <row r="579" spans="1:10">
      <c r="A579" s="775"/>
      <c r="J579" s="775"/>
    </row>
    <row r="580" spans="1:10">
      <c r="A580" s="775"/>
      <c r="J580" s="775"/>
    </row>
    <row r="581" spans="1:10">
      <c r="A581" s="775"/>
      <c r="J581" s="775"/>
    </row>
    <row r="582" spans="1:10">
      <c r="A582" s="775"/>
      <c r="J582" s="775"/>
    </row>
    <row r="583" spans="1:10">
      <c r="A583" s="775"/>
      <c r="J583" s="775"/>
    </row>
    <row r="584" spans="1:10">
      <c r="A584" s="775"/>
      <c r="J584" s="775"/>
    </row>
    <row r="585" spans="1:10">
      <c r="A585" s="775"/>
      <c r="J585" s="775"/>
    </row>
    <row r="586" spans="1:10">
      <c r="A586" s="775"/>
      <c r="J586" s="775"/>
    </row>
    <row r="587" spans="1:10">
      <c r="A587" s="775"/>
      <c r="J587" s="775"/>
    </row>
    <row r="588" spans="1:10">
      <c r="A588" s="775"/>
      <c r="J588" s="775"/>
    </row>
    <row r="589" spans="1:10">
      <c r="A589" s="775"/>
      <c r="J589" s="775"/>
    </row>
    <row r="590" spans="1:10">
      <c r="A590" s="775"/>
      <c r="J590" s="775"/>
    </row>
    <row r="591" spans="1:10">
      <c r="A591" s="775"/>
      <c r="J591" s="775"/>
    </row>
    <row r="592" spans="1:10">
      <c r="A592" s="775"/>
      <c r="J592" s="775"/>
    </row>
    <row r="593" spans="1:10">
      <c r="A593" s="775"/>
      <c r="J593" s="775"/>
    </row>
    <row r="594" spans="1:10">
      <c r="A594" s="775"/>
      <c r="J594" s="775"/>
    </row>
    <row r="595" spans="1:10">
      <c r="A595" s="775"/>
      <c r="J595" s="775"/>
    </row>
    <row r="596" spans="1:10">
      <c r="A596" s="775"/>
      <c r="J596" s="775"/>
    </row>
    <row r="597" spans="1:10">
      <c r="A597" s="775"/>
      <c r="J597" s="775"/>
    </row>
    <row r="598" spans="1:10">
      <c r="A598" s="775"/>
      <c r="J598" s="775"/>
    </row>
    <row r="599" spans="1:10">
      <c r="A599" s="775"/>
      <c r="J599" s="775"/>
    </row>
    <row r="600" spans="1:10">
      <c r="A600" s="775"/>
      <c r="J600" s="775"/>
    </row>
    <row r="601" spans="1:10">
      <c r="A601" s="775"/>
      <c r="J601" s="775"/>
    </row>
    <row r="602" spans="1:10">
      <c r="A602" s="775"/>
      <c r="J602" s="775"/>
    </row>
    <row r="603" spans="1:10">
      <c r="A603" s="775"/>
      <c r="J603" s="775"/>
    </row>
    <row r="604" spans="1:10">
      <c r="A604" s="775"/>
      <c r="J604" s="775"/>
    </row>
    <row r="605" spans="1:10">
      <c r="A605" s="775"/>
      <c r="J605" s="775"/>
    </row>
    <row r="606" spans="1:10">
      <c r="A606" s="775"/>
      <c r="J606" s="775"/>
    </row>
    <row r="607" spans="1:10">
      <c r="A607" s="775"/>
      <c r="J607" s="775"/>
    </row>
    <row r="608" spans="1:10">
      <c r="A608" s="775"/>
      <c r="J608" s="775"/>
    </row>
    <row r="609" spans="1:10">
      <c r="A609" s="775"/>
      <c r="J609" s="775"/>
    </row>
    <row r="610" spans="1:10">
      <c r="A610" s="775"/>
      <c r="J610" s="775"/>
    </row>
    <row r="611" spans="1:10">
      <c r="A611" s="775"/>
      <c r="J611" s="775"/>
    </row>
    <row r="612" spans="1:10">
      <c r="A612" s="775"/>
      <c r="J612" s="775"/>
    </row>
    <row r="613" spans="1:10">
      <c r="A613" s="775"/>
      <c r="J613" s="775"/>
    </row>
    <row r="614" spans="1:10">
      <c r="A614" s="775"/>
      <c r="J614" s="775"/>
    </row>
    <row r="615" spans="1:10">
      <c r="A615" s="775"/>
      <c r="J615" s="775"/>
    </row>
    <row r="616" spans="1:10">
      <c r="A616" s="775"/>
      <c r="J616" s="775"/>
    </row>
    <row r="617" spans="1:10">
      <c r="A617" s="775"/>
      <c r="J617" s="775"/>
    </row>
    <row r="618" spans="1:10">
      <c r="A618" s="775"/>
      <c r="J618" s="775"/>
    </row>
    <row r="619" spans="1:10">
      <c r="A619" s="775"/>
      <c r="J619" s="775"/>
    </row>
    <row r="620" spans="1:10">
      <c r="A620" s="775"/>
      <c r="J620" s="775"/>
    </row>
    <row r="621" spans="1:10">
      <c r="A621" s="775"/>
      <c r="J621" s="775"/>
    </row>
    <row r="622" spans="1:10">
      <c r="A622" s="775"/>
      <c r="J622" s="775"/>
    </row>
    <row r="623" spans="1:10">
      <c r="A623" s="775"/>
      <c r="J623" s="775"/>
    </row>
    <row r="624" spans="1:10">
      <c r="A624" s="775"/>
      <c r="J624" s="775"/>
    </row>
    <row r="625" spans="1:10">
      <c r="A625" s="775"/>
      <c r="J625" s="775"/>
    </row>
    <row r="626" spans="1:10">
      <c r="A626" s="775"/>
      <c r="J626" s="775"/>
    </row>
    <row r="627" spans="1:10">
      <c r="A627" s="775"/>
      <c r="J627" s="775"/>
    </row>
    <row r="628" spans="1:10">
      <c r="A628" s="775"/>
      <c r="J628" s="775"/>
    </row>
    <row r="629" spans="1:10">
      <c r="A629" s="775"/>
      <c r="J629" s="775"/>
    </row>
    <row r="630" spans="1:10">
      <c r="A630" s="775"/>
      <c r="J630" s="775"/>
    </row>
    <row r="631" spans="1:10">
      <c r="A631" s="775"/>
      <c r="J631" s="775"/>
    </row>
    <row r="632" spans="1:10">
      <c r="A632" s="775"/>
      <c r="J632" s="775"/>
    </row>
    <row r="633" spans="1:10">
      <c r="A633" s="775"/>
      <c r="J633" s="775"/>
    </row>
    <row r="634" spans="1:10">
      <c r="A634" s="775"/>
      <c r="J634" s="775"/>
    </row>
    <row r="635" spans="1:10">
      <c r="A635" s="775"/>
      <c r="J635" s="775"/>
    </row>
    <row r="636" spans="1:10">
      <c r="A636" s="775"/>
      <c r="J636" s="775"/>
    </row>
    <row r="637" spans="1:10">
      <c r="A637" s="775"/>
      <c r="J637" s="775"/>
    </row>
    <row r="638" spans="1:10">
      <c r="A638" s="775"/>
      <c r="J638" s="775"/>
    </row>
    <row r="639" spans="1:10">
      <c r="A639" s="775"/>
      <c r="J639" s="775"/>
    </row>
    <row r="640" spans="1:10">
      <c r="A640" s="775"/>
      <c r="J640" s="775"/>
    </row>
    <row r="641" spans="1:10">
      <c r="A641" s="775"/>
      <c r="J641" s="775"/>
    </row>
    <row r="642" spans="1:10">
      <c r="A642" s="775"/>
      <c r="J642" s="775"/>
    </row>
    <row r="643" spans="1:10">
      <c r="A643" s="775"/>
      <c r="J643" s="775"/>
    </row>
    <row r="644" spans="1:10">
      <c r="A644" s="775"/>
      <c r="J644" s="775"/>
    </row>
    <row r="645" spans="1:10">
      <c r="A645" s="775"/>
      <c r="J645" s="775"/>
    </row>
    <row r="646" spans="1:10">
      <c r="A646" s="775"/>
      <c r="J646" s="775"/>
    </row>
    <row r="647" spans="1:10">
      <c r="A647" s="775"/>
      <c r="J647" s="775"/>
    </row>
    <row r="648" spans="1:10">
      <c r="A648" s="775"/>
      <c r="J648" s="775"/>
    </row>
    <row r="649" spans="1:10">
      <c r="A649" s="775"/>
      <c r="J649" s="775"/>
    </row>
    <row r="650" spans="1:10">
      <c r="A650" s="775"/>
      <c r="J650" s="775"/>
    </row>
    <row r="651" spans="1:10">
      <c r="A651" s="775"/>
      <c r="J651" s="775"/>
    </row>
    <row r="652" spans="1:10">
      <c r="A652" s="775"/>
      <c r="J652" s="775"/>
    </row>
    <row r="653" spans="1:10">
      <c r="A653" s="775"/>
      <c r="J653" s="775"/>
    </row>
    <row r="654" spans="1:10">
      <c r="A654" s="775"/>
      <c r="J654" s="775"/>
    </row>
    <row r="655" spans="1:10">
      <c r="A655" s="775"/>
      <c r="J655" s="775"/>
    </row>
    <row r="656" spans="1:10">
      <c r="A656" s="775"/>
      <c r="J656" s="775"/>
    </row>
    <row r="657" spans="1:10">
      <c r="A657" s="775"/>
      <c r="J657" s="775"/>
    </row>
    <row r="658" spans="1:10">
      <c r="A658" s="775"/>
      <c r="J658" s="775"/>
    </row>
    <row r="659" spans="1:10">
      <c r="A659" s="775"/>
      <c r="J659" s="775"/>
    </row>
    <row r="660" spans="1:10">
      <c r="A660" s="775"/>
      <c r="J660" s="775"/>
    </row>
    <row r="661" spans="1:10">
      <c r="A661" s="775"/>
      <c r="J661" s="775"/>
    </row>
    <row r="662" spans="1:10">
      <c r="A662" s="775"/>
      <c r="J662" s="775"/>
    </row>
    <row r="663" spans="1:10">
      <c r="A663" s="775"/>
      <c r="J663" s="775"/>
    </row>
    <row r="664" spans="1:10">
      <c r="A664" s="775"/>
      <c r="J664" s="775"/>
    </row>
    <row r="665" spans="1:10">
      <c r="A665" s="775"/>
      <c r="J665" s="775"/>
    </row>
    <row r="666" spans="1:10">
      <c r="A666" s="775"/>
      <c r="J666" s="775"/>
    </row>
    <row r="667" spans="1:10">
      <c r="A667" s="775"/>
      <c r="J667" s="775"/>
    </row>
    <row r="668" spans="1:10">
      <c r="A668" s="775"/>
      <c r="J668" s="775"/>
    </row>
    <row r="669" spans="1:10">
      <c r="A669" s="775"/>
      <c r="J669" s="775"/>
    </row>
    <row r="670" spans="1:10">
      <c r="A670" s="775"/>
      <c r="J670" s="775"/>
    </row>
    <row r="671" spans="1:10">
      <c r="A671" s="775"/>
      <c r="J671" s="775"/>
    </row>
    <row r="672" spans="1:10">
      <c r="A672" s="775"/>
      <c r="J672" s="775"/>
    </row>
    <row r="673" spans="1:10">
      <c r="A673" s="775"/>
      <c r="J673" s="775"/>
    </row>
    <row r="674" spans="1:10">
      <c r="A674" s="775"/>
      <c r="J674" s="775"/>
    </row>
    <row r="675" spans="1:10">
      <c r="A675" s="775"/>
      <c r="J675" s="775"/>
    </row>
    <row r="676" spans="1:10">
      <c r="A676" s="775"/>
      <c r="J676" s="775"/>
    </row>
    <row r="677" spans="1:10">
      <c r="A677" s="775"/>
      <c r="J677" s="775"/>
    </row>
    <row r="678" spans="1:10">
      <c r="A678" s="775"/>
      <c r="J678" s="775"/>
    </row>
    <row r="679" spans="1:10">
      <c r="A679" s="775"/>
      <c r="J679" s="775"/>
    </row>
    <row r="680" spans="1:10">
      <c r="A680" s="775"/>
      <c r="J680" s="775"/>
    </row>
    <row r="681" spans="1:10">
      <c r="A681" s="775"/>
      <c r="J681" s="775"/>
    </row>
    <row r="682" spans="1:10">
      <c r="A682" s="775"/>
      <c r="J682" s="775"/>
    </row>
    <row r="683" spans="1:10">
      <c r="A683" s="775"/>
      <c r="J683" s="775"/>
    </row>
    <row r="684" spans="1:10">
      <c r="A684" s="775"/>
      <c r="J684" s="775"/>
    </row>
    <row r="685" spans="1:10">
      <c r="A685" s="775"/>
      <c r="J685" s="775"/>
    </row>
    <row r="686" spans="1:10">
      <c r="A686" s="775"/>
      <c r="J686" s="775"/>
    </row>
    <row r="687" spans="1:10">
      <c r="A687" s="775"/>
      <c r="J687" s="775"/>
    </row>
    <row r="688" spans="1:10">
      <c r="A688" s="775"/>
      <c r="J688" s="775"/>
    </row>
    <row r="689" spans="1:10">
      <c r="A689" s="775"/>
      <c r="J689" s="775"/>
    </row>
    <row r="690" spans="1:10">
      <c r="A690" s="775"/>
      <c r="J690" s="775"/>
    </row>
    <row r="691" spans="1:10">
      <c r="A691" s="775"/>
      <c r="J691" s="775"/>
    </row>
    <row r="692" spans="1:10">
      <c r="A692" s="775"/>
      <c r="J692" s="775"/>
    </row>
    <row r="693" spans="1:10">
      <c r="A693" s="775"/>
      <c r="J693" s="775"/>
    </row>
    <row r="694" spans="1:10">
      <c r="A694" s="775"/>
      <c r="J694" s="775"/>
    </row>
    <row r="695" spans="1:10">
      <c r="A695" s="775"/>
      <c r="J695" s="775"/>
    </row>
    <row r="696" spans="1:10">
      <c r="A696" s="775"/>
      <c r="J696" s="775"/>
    </row>
    <row r="697" spans="1:10">
      <c r="A697" s="775"/>
      <c r="J697" s="775"/>
    </row>
    <row r="698" spans="1:10">
      <c r="A698" s="775"/>
      <c r="J698" s="775"/>
    </row>
    <row r="699" spans="1:10">
      <c r="A699" s="775"/>
      <c r="J699" s="775"/>
    </row>
    <row r="700" spans="1:10">
      <c r="A700" s="775"/>
      <c r="J700" s="775"/>
    </row>
    <row r="701" spans="1:10">
      <c r="A701" s="775"/>
      <c r="J701" s="775"/>
    </row>
    <row r="702" spans="1:10">
      <c r="A702" s="775"/>
      <c r="J702" s="775"/>
    </row>
    <row r="703" spans="1:10">
      <c r="A703" s="775"/>
      <c r="J703" s="775"/>
    </row>
    <row r="704" spans="1:10">
      <c r="A704" s="775"/>
      <c r="J704" s="775"/>
    </row>
    <row r="705" spans="1:10">
      <c r="A705" s="775"/>
      <c r="J705" s="775"/>
    </row>
    <row r="706" spans="1:10">
      <c r="A706" s="775"/>
      <c r="J706" s="775"/>
    </row>
    <row r="707" spans="1:10">
      <c r="A707" s="775"/>
      <c r="J707" s="775"/>
    </row>
    <row r="708" spans="1:10">
      <c r="A708" s="775"/>
      <c r="J708" s="775"/>
    </row>
    <row r="709" spans="1:10">
      <c r="A709" s="775"/>
      <c r="J709" s="775"/>
    </row>
    <row r="710" spans="1:10">
      <c r="A710" s="775"/>
      <c r="J710" s="775"/>
    </row>
    <row r="711" spans="1:10">
      <c r="A711" s="775"/>
      <c r="J711" s="775"/>
    </row>
    <row r="712" spans="1:10">
      <c r="A712" s="775"/>
      <c r="J712" s="775"/>
    </row>
    <row r="713" spans="1:10">
      <c r="A713" s="775"/>
      <c r="J713" s="775"/>
    </row>
    <row r="714" spans="1:10">
      <c r="A714" s="775"/>
      <c r="J714" s="775"/>
    </row>
    <row r="715" spans="1:10">
      <c r="A715" s="775"/>
      <c r="J715" s="775"/>
    </row>
    <row r="716" spans="1:10">
      <c r="A716" s="775"/>
      <c r="J716" s="775"/>
    </row>
    <row r="717" spans="1:10">
      <c r="A717" s="775"/>
      <c r="J717" s="775"/>
    </row>
    <row r="718" spans="1:10">
      <c r="A718" s="775"/>
      <c r="J718" s="775"/>
    </row>
    <row r="719" spans="1:10">
      <c r="A719" s="775"/>
      <c r="J719" s="775"/>
    </row>
    <row r="720" spans="1:10">
      <c r="A720" s="775"/>
      <c r="J720" s="775"/>
    </row>
    <row r="721" spans="1:10">
      <c r="A721" s="775"/>
      <c r="J721" s="775"/>
    </row>
    <row r="722" spans="1:10">
      <c r="A722" s="775"/>
      <c r="J722" s="775"/>
    </row>
    <row r="723" spans="1:10">
      <c r="A723" s="775"/>
      <c r="J723" s="775"/>
    </row>
    <row r="724" spans="1:10">
      <c r="A724" s="775"/>
      <c r="J724" s="775"/>
    </row>
    <row r="725" spans="1:10">
      <c r="A725" s="775"/>
      <c r="J725" s="775"/>
    </row>
    <row r="726" spans="1:10">
      <c r="A726" s="775"/>
      <c r="J726" s="775"/>
    </row>
    <row r="727" spans="1:10">
      <c r="A727" s="775"/>
      <c r="J727" s="775"/>
    </row>
    <row r="728" spans="1:10">
      <c r="A728" s="775"/>
      <c r="J728" s="775"/>
    </row>
    <row r="729" spans="1:10">
      <c r="A729" s="775"/>
      <c r="J729" s="775"/>
    </row>
    <row r="730" spans="1:10">
      <c r="A730" s="775"/>
      <c r="J730" s="775"/>
    </row>
    <row r="731" spans="1:10">
      <c r="A731" s="775"/>
      <c r="J731" s="775"/>
    </row>
    <row r="732" spans="1:10">
      <c r="A732" s="775"/>
      <c r="J732" s="775"/>
    </row>
    <row r="733" spans="1:10">
      <c r="A733" s="775"/>
      <c r="J733" s="775"/>
    </row>
    <row r="734" spans="1:10">
      <c r="A734" s="775"/>
      <c r="J734" s="775"/>
    </row>
    <row r="735" spans="1:10">
      <c r="A735" s="775"/>
      <c r="J735" s="775"/>
    </row>
    <row r="736" spans="1:10">
      <c r="A736" s="775"/>
      <c r="J736" s="775"/>
    </row>
    <row r="737" spans="1:10">
      <c r="A737" s="775"/>
      <c r="J737" s="775"/>
    </row>
    <row r="738" spans="1:10">
      <c r="A738" s="775"/>
      <c r="J738" s="775"/>
    </row>
    <row r="739" spans="1:10">
      <c r="A739" s="775"/>
      <c r="J739" s="775"/>
    </row>
    <row r="740" spans="1:10">
      <c r="A740" s="775"/>
      <c r="J740" s="775"/>
    </row>
    <row r="741" spans="1:10">
      <c r="A741" s="775"/>
      <c r="J741" s="775"/>
    </row>
    <row r="742" spans="1:10">
      <c r="A742" s="775"/>
      <c r="J742" s="775"/>
    </row>
    <row r="743" spans="1:10">
      <c r="A743" s="775"/>
      <c r="J743" s="775"/>
    </row>
    <row r="744" spans="1:10">
      <c r="A744" s="775"/>
      <c r="J744" s="775"/>
    </row>
    <row r="745" spans="1:10">
      <c r="A745" s="775"/>
      <c r="J745" s="775"/>
    </row>
    <row r="746" spans="1:10">
      <c r="A746" s="775"/>
      <c r="J746" s="775"/>
    </row>
    <row r="747" spans="1:10">
      <c r="A747" s="775"/>
      <c r="J747" s="775"/>
    </row>
    <row r="748" spans="1:10">
      <c r="A748" s="775"/>
      <c r="J748" s="775"/>
    </row>
    <row r="749" spans="1:10">
      <c r="A749" s="775"/>
      <c r="J749" s="775"/>
    </row>
    <row r="750" spans="1:10">
      <c r="A750" s="775"/>
      <c r="J750" s="775"/>
    </row>
    <row r="751" spans="1:10">
      <c r="A751" s="775"/>
      <c r="J751" s="775"/>
    </row>
    <row r="752" spans="1:10">
      <c r="A752" s="775"/>
      <c r="J752" s="775"/>
    </row>
    <row r="753" spans="1:10">
      <c r="A753" s="775"/>
      <c r="J753" s="775"/>
    </row>
    <row r="754" spans="1:10">
      <c r="A754" s="775"/>
      <c r="J754" s="775"/>
    </row>
    <row r="755" spans="1:10">
      <c r="A755" s="775"/>
      <c r="J755" s="775"/>
    </row>
    <row r="756" spans="1:10">
      <c r="A756" s="775"/>
      <c r="J756" s="775"/>
    </row>
    <row r="757" spans="1:10">
      <c r="A757" s="775"/>
      <c r="J757" s="775"/>
    </row>
    <row r="758" spans="1:10">
      <c r="A758" s="775"/>
      <c r="J758" s="775"/>
    </row>
    <row r="759" spans="1:10">
      <c r="A759" s="775"/>
      <c r="J759" s="775"/>
    </row>
    <row r="760" spans="1:10">
      <c r="A760" s="775"/>
      <c r="J760" s="775"/>
    </row>
    <row r="761" spans="1:10">
      <c r="A761" s="775"/>
      <c r="J761" s="775"/>
    </row>
    <row r="762" spans="1:10">
      <c r="A762" s="775"/>
      <c r="J762" s="775"/>
    </row>
    <row r="763" spans="1:10">
      <c r="A763" s="775"/>
      <c r="J763" s="775"/>
    </row>
    <row r="764" spans="1:10">
      <c r="A764" s="775"/>
      <c r="J764" s="775"/>
    </row>
    <row r="765" spans="1:10">
      <c r="A765" s="775"/>
      <c r="J765" s="775"/>
    </row>
    <row r="766" spans="1:10">
      <c r="A766" s="775"/>
      <c r="J766" s="775"/>
    </row>
    <row r="767" spans="1:10">
      <c r="A767" s="775"/>
      <c r="J767" s="775"/>
    </row>
    <row r="768" spans="1:10">
      <c r="A768" s="775"/>
      <c r="J768" s="775"/>
    </row>
    <row r="769" spans="1:10">
      <c r="A769" s="775"/>
      <c r="J769" s="775"/>
    </row>
    <row r="770" spans="1:10">
      <c r="A770" s="775"/>
      <c r="J770" s="775"/>
    </row>
    <row r="771" spans="1:10">
      <c r="A771" s="775"/>
      <c r="J771" s="775"/>
    </row>
    <row r="772" spans="1:10">
      <c r="A772" s="775"/>
      <c r="J772" s="775"/>
    </row>
    <row r="773" spans="1:10">
      <c r="A773" s="775"/>
      <c r="J773" s="775"/>
    </row>
    <row r="774" spans="1:10">
      <c r="A774" s="775"/>
      <c r="J774" s="775"/>
    </row>
    <row r="775" spans="1:10">
      <c r="A775" s="775"/>
      <c r="J775" s="775"/>
    </row>
    <row r="776" spans="1:10">
      <c r="A776" s="775"/>
      <c r="J776" s="775"/>
    </row>
    <row r="777" spans="1:10">
      <c r="A777" s="775"/>
      <c r="J777" s="775"/>
    </row>
    <row r="778" spans="1:10">
      <c r="A778" s="775"/>
      <c r="J778" s="775"/>
    </row>
    <row r="779" spans="1:10">
      <c r="A779" s="775"/>
      <c r="J779" s="775"/>
    </row>
    <row r="780" spans="1:10">
      <c r="A780" s="775"/>
      <c r="J780" s="775"/>
    </row>
    <row r="781" spans="1:10">
      <c r="A781" s="775"/>
      <c r="J781" s="775"/>
    </row>
    <row r="782" spans="1:10">
      <c r="A782" s="775"/>
      <c r="J782" s="775"/>
    </row>
    <row r="783" spans="1:10">
      <c r="A783" s="775"/>
      <c r="J783" s="775"/>
    </row>
    <row r="784" spans="1:10">
      <c r="A784" s="775"/>
      <c r="J784" s="775"/>
    </row>
    <row r="785" spans="1:10">
      <c r="A785" s="775"/>
      <c r="J785" s="775"/>
    </row>
    <row r="786" spans="1:10">
      <c r="A786" s="775"/>
      <c r="J786" s="775"/>
    </row>
    <row r="787" spans="1:10">
      <c r="A787" s="775"/>
      <c r="J787" s="775"/>
    </row>
    <row r="788" spans="1:10">
      <c r="A788" s="775"/>
      <c r="J788" s="775"/>
    </row>
    <row r="789" spans="1:10">
      <c r="A789" s="775"/>
      <c r="J789" s="775"/>
    </row>
    <row r="790" spans="1:10">
      <c r="A790" s="775"/>
      <c r="J790" s="775"/>
    </row>
    <row r="791" spans="1:10">
      <c r="A791" s="775"/>
      <c r="J791" s="775"/>
    </row>
    <row r="792" spans="1:10">
      <c r="A792" s="775"/>
      <c r="J792" s="775"/>
    </row>
    <row r="793" spans="1:10">
      <c r="A793" s="775"/>
      <c r="J793" s="775"/>
    </row>
    <row r="794" spans="1:10">
      <c r="A794" s="775"/>
      <c r="J794" s="775"/>
    </row>
    <row r="795" spans="1:10">
      <c r="A795" s="775"/>
      <c r="J795" s="775"/>
    </row>
    <row r="796" spans="1:10">
      <c r="A796" s="775"/>
      <c r="J796" s="775"/>
    </row>
    <row r="797" spans="1:10">
      <c r="A797" s="775"/>
      <c r="J797" s="775"/>
    </row>
    <row r="798" spans="1:10">
      <c r="A798" s="775"/>
      <c r="J798" s="775"/>
    </row>
    <row r="799" spans="1:10">
      <c r="A799" s="775"/>
      <c r="J799" s="775"/>
    </row>
    <row r="800" spans="1:10">
      <c r="A800" s="775"/>
      <c r="J800" s="775"/>
    </row>
    <row r="801" spans="1:10">
      <c r="A801" s="775"/>
      <c r="J801" s="775"/>
    </row>
    <row r="802" spans="1:10">
      <c r="A802" s="775"/>
      <c r="J802" s="775"/>
    </row>
    <row r="803" spans="1:10">
      <c r="A803" s="775"/>
      <c r="J803" s="775"/>
    </row>
    <row r="804" spans="1:10">
      <c r="A804" s="775"/>
      <c r="J804" s="775"/>
    </row>
    <row r="805" spans="1:10">
      <c r="A805" s="775"/>
      <c r="J805" s="775"/>
    </row>
    <row r="806" spans="1:10">
      <c r="A806" s="775"/>
      <c r="J806" s="775"/>
    </row>
    <row r="807" spans="1:10">
      <c r="A807" s="775"/>
      <c r="J807" s="775"/>
    </row>
    <row r="808" spans="1:10">
      <c r="A808" s="775"/>
      <c r="J808" s="775"/>
    </row>
    <row r="809" spans="1:10">
      <c r="A809" s="775"/>
      <c r="J809" s="775"/>
    </row>
    <row r="810" spans="1:10">
      <c r="A810" s="775"/>
      <c r="J810" s="775"/>
    </row>
    <row r="811" spans="1:10">
      <c r="A811" s="775"/>
      <c r="J811" s="775"/>
    </row>
    <row r="812" spans="1:10">
      <c r="A812" s="775"/>
      <c r="J812" s="775"/>
    </row>
    <row r="813" spans="1:10">
      <c r="A813" s="775"/>
      <c r="J813" s="775"/>
    </row>
    <row r="814" spans="1:10">
      <c r="A814" s="775"/>
      <c r="J814" s="775"/>
    </row>
    <row r="815" spans="1:10">
      <c r="A815" s="775"/>
      <c r="J815" s="775"/>
    </row>
    <row r="816" spans="1:10">
      <c r="A816" s="775"/>
      <c r="J816" s="775"/>
    </row>
    <row r="817" spans="1:10">
      <c r="A817" s="775"/>
      <c r="J817" s="775"/>
    </row>
    <row r="818" spans="1:10">
      <c r="A818" s="775"/>
      <c r="J818" s="775"/>
    </row>
    <row r="819" spans="1:10">
      <c r="A819" s="775"/>
      <c r="J819" s="775"/>
    </row>
    <row r="820" spans="1:10">
      <c r="A820" s="775"/>
      <c r="J820" s="775"/>
    </row>
    <row r="821" spans="1:10">
      <c r="A821" s="775"/>
      <c r="J821" s="775"/>
    </row>
    <row r="822" spans="1:10">
      <c r="A822" s="775"/>
      <c r="J822" s="775"/>
    </row>
    <row r="823" spans="1:10">
      <c r="A823" s="775"/>
      <c r="J823" s="775"/>
    </row>
    <row r="824" spans="1:10">
      <c r="A824" s="775"/>
      <c r="J824" s="775"/>
    </row>
    <row r="825" spans="1:10">
      <c r="A825" s="775"/>
      <c r="J825" s="775"/>
    </row>
    <row r="826" spans="1:10">
      <c r="A826" s="775"/>
      <c r="J826" s="775"/>
    </row>
    <row r="827" spans="1:10">
      <c r="A827" s="775"/>
      <c r="J827" s="775"/>
    </row>
    <row r="828" spans="1:10">
      <c r="A828" s="775"/>
      <c r="J828" s="775"/>
    </row>
    <row r="829" spans="1:10">
      <c r="A829" s="775"/>
      <c r="J829" s="775"/>
    </row>
    <row r="830" spans="1:10">
      <c r="A830" s="775"/>
      <c r="J830" s="775"/>
    </row>
    <row r="831" spans="1:10">
      <c r="A831" s="775"/>
      <c r="J831" s="775"/>
    </row>
    <row r="832" spans="1:10">
      <c r="A832" s="775"/>
      <c r="J832" s="775"/>
    </row>
    <row r="833" spans="1:10">
      <c r="A833" s="775"/>
      <c r="J833" s="775"/>
    </row>
    <row r="834" spans="1:10">
      <c r="A834" s="775"/>
      <c r="J834" s="775"/>
    </row>
    <row r="835" spans="1:10">
      <c r="A835" s="775"/>
      <c r="J835" s="775"/>
    </row>
    <row r="836" spans="1:10">
      <c r="A836" s="775"/>
      <c r="J836" s="775"/>
    </row>
    <row r="837" spans="1:10">
      <c r="A837" s="775"/>
      <c r="J837" s="775"/>
    </row>
    <row r="838" spans="1:10">
      <c r="A838" s="775"/>
      <c r="J838" s="775"/>
    </row>
    <row r="839" spans="1:10">
      <c r="A839" s="775"/>
      <c r="J839" s="775"/>
    </row>
    <row r="840" spans="1:10">
      <c r="A840" s="775"/>
      <c r="J840" s="775"/>
    </row>
    <row r="841" spans="1:10">
      <c r="A841" s="775"/>
      <c r="J841" s="775"/>
    </row>
    <row r="842" spans="1:10">
      <c r="A842" s="775"/>
      <c r="J842" s="775"/>
    </row>
    <row r="843" spans="1:10">
      <c r="A843" s="775"/>
      <c r="J843" s="775"/>
    </row>
    <row r="844" spans="1:10">
      <c r="A844" s="775"/>
      <c r="J844" s="775"/>
    </row>
    <row r="845" spans="1:10">
      <c r="A845" s="775"/>
      <c r="J845" s="775"/>
    </row>
    <row r="846" spans="1:10">
      <c r="A846" s="775"/>
      <c r="J846" s="775"/>
    </row>
    <row r="847" spans="1:10">
      <c r="A847" s="775"/>
      <c r="J847" s="775"/>
    </row>
    <row r="848" spans="1:10">
      <c r="A848" s="775"/>
      <c r="J848" s="775"/>
    </row>
    <row r="849" spans="1:10">
      <c r="A849" s="775"/>
      <c r="J849" s="775"/>
    </row>
    <row r="850" spans="1:10">
      <c r="A850" s="775"/>
      <c r="J850" s="775"/>
    </row>
    <row r="851" spans="1:10">
      <c r="A851" s="775"/>
      <c r="J851" s="775"/>
    </row>
    <row r="852" spans="1:10">
      <c r="A852" s="775"/>
      <c r="J852" s="775"/>
    </row>
    <row r="853" spans="1:10">
      <c r="A853" s="775"/>
      <c r="J853" s="775"/>
    </row>
    <row r="854" spans="1:10">
      <c r="A854" s="775"/>
      <c r="J854" s="775"/>
    </row>
    <row r="855" spans="1:10">
      <c r="A855" s="775"/>
      <c r="J855" s="775"/>
    </row>
    <row r="856" spans="1:10">
      <c r="A856" s="775"/>
      <c r="J856" s="775"/>
    </row>
    <row r="857" spans="1:10">
      <c r="A857" s="775"/>
      <c r="J857" s="775"/>
    </row>
    <row r="858" spans="1:10">
      <c r="A858" s="775"/>
      <c r="J858" s="775"/>
    </row>
    <row r="859" spans="1:10">
      <c r="A859" s="775"/>
      <c r="J859" s="775"/>
    </row>
    <row r="860" spans="1:10">
      <c r="A860" s="775"/>
      <c r="J860" s="775"/>
    </row>
    <row r="861" spans="1:10">
      <c r="A861" s="775"/>
      <c r="J861" s="775"/>
    </row>
    <row r="862" spans="1:10">
      <c r="A862" s="775"/>
      <c r="J862" s="775"/>
    </row>
    <row r="863" spans="1:10">
      <c r="A863" s="775"/>
      <c r="J863" s="775"/>
    </row>
    <row r="864" spans="1:10">
      <c r="A864" s="775"/>
      <c r="J864" s="775"/>
    </row>
    <row r="865" spans="1:10">
      <c r="A865" s="775"/>
      <c r="J865" s="775"/>
    </row>
    <row r="866" spans="1:10">
      <c r="A866" s="775"/>
      <c r="J866" s="775"/>
    </row>
    <row r="867" spans="1:10">
      <c r="A867" s="775"/>
      <c r="J867" s="775"/>
    </row>
    <row r="868" spans="1:10">
      <c r="A868" s="775"/>
      <c r="J868" s="775"/>
    </row>
    <row r="869" spans="1:10">
      <c r="A869" s="775"/>
      <c r="J869" s="775"/>
    </row>
    <row r="870" spans="1:10">
      <c r="A870" s="775"/>
      <c r="J870" s="775"/>
    </row>
    <row r="871" spans="1:10">
      <c r="A871" s="775"/>
      <c r="J871" s="775"/>
    </row>
    <row r="872" spans="1:10">
      <c r="A872" s="775"/>
      <c r="J872" s="775"/>
    </row>
    <row r="873" spans="1:10">
      <c r="A873" s="775"/>
      <c r="J873" s="775"/>
    </row>
    <row r="874" spans="1:10">
      <c r="A874" s="775"/>
      <c r="J874" s="775"/>
    </row>
    <row r="875" spans="1:10">
      <c r="A875" s="775"/>
      <c r="J875" s="775"/>
    </row>
    <row r="876" spans="1:10">
      <c r="A876" s="775"/>
      <c r="J876" s="775"/>
    </row>
    <row r="877" spans="1:10">
      <c r="A877" s="775"/>
      <c r="J877" s="775"/>
    </row>
    <row r="878" spans="1:10">
      <c r="A878" s="775"/>
      <c r="J878" s="775"/>
    </row>
    <row r="879" spans="1:10">
      <c r="A879" s="775"/>
      <c r="J879" s="775"/>
    </row>
    <row r="880" spans="1:10">
      <c r="A880" s="775"/>
      <c r="J880" s="775"/>
    </row>
    <row r="881" spans="1:10">
      <c r="A881" s="775"/>
      <c r="J881" s="775"/>
    </row>
    <row r="882" spans="1:10">
      <c r="A882" s="775"/>
      <c r="J882" s="775"/>
    </row>
    <row r="883" spans="1:10">
      <c r="A883" s="775"/>
      <c r="J883" s="775"/>
    </row>
    <row r="884" spans="1:10">
      <c r="A884" s="775"/>
      <c r="J884" s="775"/>
    </row>
    <row r="885" spans="1:10">
      <c r="A885" s="775"/>
      <c r="J885" s="775"/>
    </row>
    <row r="886" spans="1:10">
      <c r="A886" s="775"/>
      <c r="J886" s="775"/>
    </row>
    <row r="887" spans="1:10">
      <c r="A887" s="775"/>
      <c r="J887" s="775"/>
    </row>
    <row r="888" spans="1:10">
      <c r="A888" s="775"/>
      <c r="J888" s="775"/>
    </row>
    <row r="889" spans="1:10">
      <c r="A889" s="775"/>
      <c r="J889" s="775"/>
    </row>
    <row r="890" spans="1:10">
      <c r="A890" s="775"/>
      <c r="J890" s="775"/>
    </row>
    <row r="891" spans="1:10">
      <c r="A891" s="775"/>
      <c r="J891" s="775"/>
    </row>
    <row r="892" spans="1:10">
      <c r="A892" s="775"/>
      <c r="J892" s="775"/>
    </row>
    <row r="893" spans="1:10">
      <c r="A893" s="775"/>
      <c r="J893" s="775"/>
    </row>
    <row r="894" spans="1:10">
      <c r="A894" s="775"/>
      <c r="J894" s="775"/>
    </row>
    <row r="895" spans="1:10">
      <c r="A895" s="775"/>
      <c r="J895" s="775"/>
    </row>
    <row r="896" spans="1:10">
      <c r="A896" s="775"/>
      <c r="J896" s="775"/>
    </row>
    <row r="897" spans="1:10">
      <c r="A897" s="775"/>
      <c r="J897" s="775"/>
    </row>
    <row r="898" spans="1:10">
      <c r="A898" s="775"/>
      <c r="J898" s="775"/>
    </row>
    <row r="899" spans="1:10">
      <c r="A899" s="775"/>
      <c r="J899" s="775"/>
    </row>
    <row r="900" spans="1:10">
      <c r="A900" s="775"/>
      <c r="J900" s="775"/>
    </row>
    <row r="901" spans="1:10">
      <c r="A901" s="775"/>
      <c r="J901" s="775"/>
    </row>
    <row r="902" spans="1:10">
      <c r="A902" s="775"/>
      <c r="J902" s="775"/>
    </row>
    <row r="903" spans="1:10">
      <c r="A903" s="775"/>
      <c r="J903" s="775"/>
    </row>
    <row r="904" spans="1:10">
      <c r="A904" s="775"/>
      <c r="J904" s="775"/>
    </row>
    <row r="905" spans="1:10">
      <c r="A905" s="775"/>
      <c r="J905" s="775"/>
    </row>
    <row r="906" spans="1:10">
      <c r="A906" s="775"/>
      <c r="J906" s="775"/>
    </row>
    <row r="907" spans="1:10">
      <c r="A907" s="775"/>
      <c r="J907" s="775"/>
    </row>
    <row r="908" spans="1:10">
      <c r="A908" s="775"/>
      <c r="J908" s="775"/>
    </row>
    <row r="909" spans="1:10">
      <c r="A909" s="775"/>
      <c r="J909" s="775"/>
    </row>
    <row r="910" spans="1:10">
      <c r="A910" s="775"/>
      <c r="J910" s="775"/>
    </row>
    <row r="911" spans="1:10">
      <c r="A911" s="775"/>
      <c r="J911" s="775"/>
    </row>
    <row r="912" spans="1:10">
      <c r="A912" s="775"/>
      <c r="J912" s="775"/>
    </row>
    <row r="913" spans="1:10">
      <c r="A913" s="775"/>
      <c r="J913" s="775"/>
    </row>
    <row r="914" spans="1:10">
      <c r="A914" s="775"/>
      <c r="J914" s="775"/>
    </row>
    <row r="915" spans="1:10">
      <c r="A915" s="775"/>
      <c r="J915" s="775"/>
    </row>
    <row r="916" spans="1:10">
      <c r="A916" s="775"/>
      <c r="J916" s="775"/>
    </row>
    <row r="917" spans="1:10">
      <c r="A917" s="775"/>
      <c r="J917" s="775"/>
    </row>
    <row r="918" spans="1:10">
      <c r="A918" s="775"/>
      <c r="J918" s="775"/>
    </row>
    <row r="919" spans="1:10">
      <c r="A919" s="775"/>
      <c r="J919" s="775"/>
    </row>
    <row r="920" spans="1:10">
      <c r="A920" s="775"/>
      <c r="J920" s="775"/>
    </row>
    <row r="921" spans="1:10">
      <c r="A921" s="775"/>
      <c r="J921" s="775"/>
    </row>
    <row r="922" spans="1:10">
      <c r="A922" s="775"/>
      <c r="J922" s="775"/>
    </row>
    <row r="923" spans="1:10">
      <c r="A923" s="775"/>
      <c r="J923" s="775"/>
    </row>
    <row r="924" spans="1:10">
      <c r="A924" s="775"/>
      <c r="J924" s="775"/>
    </row>
    <row r="925" spans="1:10">
      <c r="A925" s="775"/>
      <c r="J925" s="775"/>
    </row>
    <row r="926" spans="1:10">
      <c r="A926" s="775"/>
      <c r="J926" s="775"/>
    </row>
    <row r="927" spans="1:10">
      <c r="A927" s="775"/>
      <c r="J927" s="775"/>
    </row>
    <row r="928" spans="1:10">
      <c r="A928" s="775"/>
      <c r="J928" s="775"/>
    </row>
    <row r="929" spans="1:10">
      <c r="A929" s="775"/>
      <c r="J929" s="775"/>
    </row>
    <row r="930" spans="1:10">
      <c r="A930" s="775"/>
      <c r="J930" s="775"/>
    </row>
    <row r="931" spans="1:10">
      <c r="A931" s="775"/>
      <c r="J931" s="775"/>
    </row>
    <row r="932" spans="1:10">
      <c r="A932" s="775"/>
      <c r="J932" s="775"/>
    </row>
    <row r="933" spans="1:10">
      <c r="A933" s="775"/>
      <c r="J933" s="775"/>
    </row>
    <row r="934" spans="1:10">
      <c r="A934" s="775"/>
      <c r="J934" s="775"/>
    </row>
    <row r="935" spans="1:10">
      <c r="A935" s="775"/>
      <c r="J935" s="775"/>
    </row>
    <row r="936" spans="1:10">
      <c r="A936" s="775"/>
      <c r="J936" s="775"/>
    </row>
    <row r="937" spans="1:10">
      <c r="A937" s="775"/>
      <c r="J937" s="775"/>
    </row>
    <row r="938" spans="1:10">
      <c r="A938" s="775"/>
      <c r="J938" s="775"/>
    </row>
    <row r="939" spans="1:10">
      <c r="A939" s="775"/>
      <c r="J939" s="775"/>
    </row>
    <row r="940" spans="1:10">
      <c r="A940" s="775"/>
      <c r="J940" s="775"/>
    </row>
    <row r="941" spans="1:10">
      <c r="A941" s="775"/>
      <c r="J941" s="775"/>
    </row>
    <row r="942" spans="1:10">
      <c r="A942" s="775"/>
      <c r="J942" s="775"/>
    </row>
    <row r="943" spans="1:10">
      <c r="A943" s="775"/>
      <c r="J943" s="775"/>
    </row>
    <row r="944" spans="1:10">
      <c r="A944" s="775"/>
      <c r="J944" s="775"/>
    </row>
    <row r="945" spans="1:10">
      <c r="A945" s="775"/>
      <c r="J945" s="775"/>
    </row>
    <row r="946" spans="1:10">
      <c r="A946" s="775"/>
      <c r="J946" s="775"/>
    </row>
    <row r="947" spans="1:10">
      <c r="A947" s="775"/>
      <c r="J947" s="775"/>
    </row>
    <row r="948" spans="1:10">
      <c r="A948" s="775"/>
      <c r="J948" s="775"/>
    </row>
    <row r="949" spans="1:10">
      <c r="A949" s="775"/>
      <c r="J949" s="775"/>
    </row>
    <row r="950" spans="1:10">
      <c r="A950" s="775"/>
      <c r="J950" s="775"/>
    </row>
    <row r="951" spans="1:10">
      <c r="A951" s="775"/>
      <c r="J951" s="775"/>
    </row>
    <row r="952" spans="1:10">
      <c r="A952" s="775"/>
      <c r="J952" s="775"/>
    </row>
    <row r="953" spans="1:10">
      <c r="A953" s="775"/>
      <c r="J953" s="775"/>
    </row>
    <row r="954" spans="1:10">
      <c r="A954" s="775"/>
      <c r="J954" s="775"/>
    </row>
    <row r="955" spans="1:10">
      <c r="A955" s="775"/>
      <c r="J955" s="775"/>
    </row>
    <row r="956" spans="1:10">
      <c r="A956" s="775"/>
      <c r="J956" s="775"/>
    </row>
    <row r="957" spans="1:10">
      <c r="A957" s="775"/>
      <c r="J957" s="775"/>
    </row>
    <row r="958" spans="1:10">
      <c r="A958" s="775"/>
      <c r="J958" s="775"/>
    </row>
    <row r="959" spans="1:10">
      <c r="A959" s="775"/>
      <c r="J959" s="775"/>
    </row>
    <row r="960" spans="1:10">
      <c r="A960" s="775"/>
      <c r="J960" s="775"/>
    </row>
    <row r="961" spans="1:10">
      <c r="A961" s="775"/>
      <c r="J961" s="775"/>
    </row>
    <row r="962" spans="1:10">
      <c r="A962" s="775"/>
      <c r="J962" s="775"/>
    </row>
    <row r="963" spans="1:10">
      <c r="A963" s="775"/>
      <c r="J963" s="775"/>
    </row>
    <row r="964" spans="1:10">
      <c r="A964" s="775"/>
      <c r="J964" s="775"/>
    </row>
    <row r="965" spans="1:10">
      <c r="A965" s="775"/>
      <c r="J965" s="775"/>
    </row>
    <row r="966" spans="1:10">
      <c r="A966" s="775"/>
      <c r="J966" s="775"/>
    </row>
    <row r="967" spans="1:10">
      <c r="A967" s="775"/>
      <c r="J967" s="775"/>
    </row>
    <row r="968" spans="1:10">
      <c r="A968" s="775"/>
      <c r="J968" s="775"/>
    </row>
    <row r="969" spans="1:10">
      <c r="A969" s="775"/>
      <c r="J969" s="775"/>
    </row>
    <row r="970" spans="1:10">
      <c r="A970" s="775"/>
      <c r="J970" s="775"/>
    </row>
    <row r="971" spans="1:10">
      <c r="A971" s="775"/>
      <c r="J971" s="775"/>
    </row>
    <row r="972" spans="1:10">
      <c r="A972" s="775"/>
      <c r="J972" s="775"/>
    </row>
    <row r="973" spans="1:10">
      <c r="A973" s="775"/>
      <c r="J973" s="775"/>
    </row>
    <row r="974" spans="1:10">
      <c r="A974" s="775"/>
      <c r="J974" s="775"/>
    </row>
    <row r="975" spans="1:10">
      <c r="A975" s="775"/>
      <c r="J975" s="775"/>
    </row>
    <row r="976" spans="1:10">
      <c r="A976" s="775"/>
      <c r="J976" s="775"/>
    </row>
    <row r="977" spans="1:10">
      <c r="A977" s="775"/>
      <c r="J977" s="775"/>
    </row>
    <row r="978" spans="1:10">
      <c r="A978" s="775"/>
      <c r="J978" s="775"/>
    </row>
    <row r="979" spans="1:10">
      <c r="A979" s="775"/>
      <c r="J979" s="775"/>
    </row>
    <row r="980" spans="1:10">
      <c r="A980" s="775"/>
      <c r="J980" s="775"/>
    </row>
    <row r="981" spans="1:10">
      <c r="A981" s="775"/>
      <c r="J981" s="775"/>
    </row>
    <row r="982" spans="1:10">
      <c r="A982" s="775"/>
      <c r="J982" s="775"/>
    </row>
    <row r="983" spans="1:10">
      <c r="A983" s="775"/>
      <c r="J983" s="775"/>
    </row>
    <row r="984" spans="1:10">
      <c r="A984" s="775"/>
      <c r="J984" s="775"/>
    </row>
    <row r="985" spans="1:10">
      <c r="A985" s="775"/>
      <c r="J985" s="775"/>
    </row>
    <row r="986" spans="1:10">
      <c r="A986" s="775"/>
      <c r="J986" s="775"/>
    </row>
    <row r="987" spans="1:10">
      <c r="A987" s="775"/>
      <c r="J987" s="775"/>
    </row>
    <row r="988" spans="1:10">
      <c r="A988" s="775"/>
      <c r="J988" s="775"/>
    </row>
    <row r="989" spans="1:10">
      <c r="A989" s="775"/>
      <c r="J989" s="775"/>
    </row>
    <row r="990" spans="1:10">
      <c r="A990" s="775"/>
      <c r="J990" s="775"/>
    </row>
    <row r="991" spans="1:10">
      <c r="A991" s="775"/>
      <c r="J991" s="775"/>
    </row>
    <row r="992" spans="1:10">
      <c r="A992" s="775"/>
      <c r="J992" s="775"/>
    </row>
    <row r="993" spans="1:10">
      <c r="A993" s="775"/>
      <c r="J993" s="775"/>
    </row>
    <row r="994" spans="1:10">
      <c r="A994" s="775"/>
      <c r="J994" s="775"/>
    </row>
    <row r="995" spans="1:10">
      <c r="A995" s="775"/>
      <c r="J995" s="775"/>
    </row>
    <row r="996" spans="1:10">
      <c r="A996" s="775"/>
      <c r="J996" s="775"/>
    </row>
    <row r="997" spans="1:10">
      <c r="A997" s="775"/>
      <c r="J997" s="775"/>
    </row>
    <row r="998" spans="1:10">
      <c r="A998" s="775"/>
      <c r="J998" s="775"/>
    </row>
    <row r="999" spans="1:10">
      <c r="A999" s="775"/>
      <c r="J999" s="775"/>
    </row>
    <row r="1000" spans="1:10">
      <c r="A1000" s="775"/>
      <c r="J1000" s="775"/>
    </row>
    <row r="1001" spans="1:10">
      <c r="A1001" s="775"/>
      <c r="J1001" s="775"/>
    </row>
    <row r="1002" spans="1:10">
      <c r="A1002" s="775"/>
      <c r="J1002" s="775"/>
    </row>
    <row r="1003" spans="1:10">
      <c r="A1003" s="775"/>
      <c r="J1003" s="775"/>
    </row>
    <row r="1004" spans="1:10">
      <c r="A1004" s="775"/>
      <c r="J1004" s="775"/>
    </row>
    <row r="1005" spans="1:10">
      <c r="A1005" s="775"/>
      <c r="J1005" s="775"/>
    </row>
  </sheetData>
  <mergeCells count="20">
    <mergeCell ref="M11:N11"/>
    <mergeCell ref="K8:K10"/>
    <mergeCell ref="K27:K35"/>
    <mergeCell ref="K44:K46"/>
    <mergeCell ref="K62:K69"/>
    <mergeCell ref="D44:H45"/>
    <mergeCell ref="A106:A107"/>
    <mergeCell ref="A129:A130"/>
    <mergeCell ref="A5:J5"/>
    <mergeCell ref="A7:J7"/>
    <mergeCell ref="J8:J10"/>
    <mergeCell ref="B8:B9"/>
    <mergeCell ref="A43:J43"/>
    <mergeCell ref="J44:J46"/>
    <mergeCell ref="B44:B45"/>
    <mergeCell ref="I8:I10"/>
    <mergeCell ref="I44:I46"/>
    <mergeCell ref="C8:C9"/>
    <mergeCell ref="D8:H9"/>
    <mergeCell ref="C44:C4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12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R548"/>
  <sheetViews>
    <sheetView showGridLines="0" tabSelected="1" view="pageBreakPreview" topLeftCell="A4" zoomScale="98" zoomScaleSheetLayoutView="98" workbookViewId="0">
      <pane xSplit="2" ySplit="4" topLeftCell="C8" activePane="bottomRight" state="frozen"/>
      <selection activeCell="A4" sqref="A1:XFD1048576"/>
      <selection pane="topRight" activeCell="A4" sqref="A1:XFD1048576"/>
      <selection pane="bottomLeft" activeCell="A4" sqref="A1:XFD1048576"/>
      <selection pane="bottomRight" activeCell="A4" sqref="A4:N4"/>
    </sheetView>
  </sheetViews>
  <sheetFormatPr defaultRowHeight="11.25"/>
  <cols>
    <col min="1" max="1" width="2.85546875" style="589" customWidth="1"/>
    <col min="2" max="2" width="60.42578125" style="455" customWidth="1"/>
    <col min="3" max="3" width="10.5703125" style="455" customWidth="1"/>
    <col min="4" max="4" width="14.140625" style="455" customWidth="1"/>
    <col min="5" max="5" width="13.28515625" style="455" customWidth="1"/>
    <col min="6" max="6" width="9.7109375" style="455" customWidth="1"/>
    <col min="7" max="7" width="10.140625" style="455" customWidth="1"/>
    <col min="8" max="8" width="10.7109375" style="455" customWidth="1"/>
    <col min="9" max="9" width="10.42578125" style="455" customWidth="1"/>
    <col min="10" max="11" width="9.28515625" style="455" customWidth="1"/>
    <col min="12" max="12" width="9.28515625" style="455" hidden="1" customWidth="1"/>
    <col min="13" max="13" width="11.42578125" style="455" customWidth="1"/>
    <col min="14" max="14" width="15.28515625" style="625" customWidth="1"/>
    <col min="15" max="15" width="11.85546875" style="455" hidden="1" customWidth="1"/>
    <col min="16" max="18" width="0" style="455" hidden="1" customWidth="1"/>
    <col min="19" max="250" width="9.140625" style="455"/>
    <col min="251" max="251" width="2.85546875" style="455" customWidth="1"/>
    <col min="252" max="252" width="50.7109375" style="455" customWidth="1"/>
    <col min="253" max="253" width="9.42578125" style="455" customWidth="1"/>
    <col min="254" max="254" width="11.85546875" style="455" customWidth="1"/>
    <col min="255" max="255" width="8.42578125" style="455" bestFit="1" customWidth="1"/>
    <col min="256" max="258" width="0" style="455" hidden="1" customWidth="1"/>
    <col min="259" max="259" width="6" style="455" bestFit="1" customWidth="1"/>
    <col min="260" max="260" width="9.5703125" style="455" customWidth="1"/>
    <col min="261" max="261" width="9.85546875" style="455" customWidth="1"/>
    <col min="262" max="262" width="9.7109375" style="455" customWidth="1"/>
    <col min="263" max="263" width="9.5703125" style="455" customWidth="1"/>
    <col min="264" max="264" width="9.85546875" style="455" customWidth="1"/>
    <col min="265" max="265" width="6.5703125" style="455" customWidth="1"/>
    <col min="266" max="266" width="6" style="455" bestFit="1" customWidth="1"/>
    <col min="267" max="267" width="6.28515625" style="455" customWidth="1"/>
    <col min="268" max="268" width="11.7109375" style="455" customWidth="1"/>
    <col min="269" max="269" width="0" style="455" hidden="1" customWidth="1"/>
    <col min="270" max="270" width="14.5703125" style="455" customWidth="1"/>
    <col min="271" max="271" width="11.85546875" style="455" customWidth="1"/>
    <col min="272" max="506" width="9.140625" style="455"/>
    <col min="507" max="507" width="2.85546875" style="455" customWidth="1"/>
    <col min="508" max="508" width="50.7109375" style="455" customWidth="1"/>
    <col min="509" max="509" width="9.42578125" style="455" customWidth="1"/>
    <col min="510" max="510" width="11.85546875" style="455" customWidth="1"/>
    <col min="511" max="511" width="8.42578125" style="455" bestFit="1" customWidth="1"/>
    <col min="512" max="514" width="0" style="455" hidden="1" customWidth="1"/>
    <col min="515" max="515" width="6" style="455" bestFit="1" customWidth="1"/>
    <col min="516" max="516" width="9.5703125" style="455" customWidth="1"/>
    <col min="517" max="517" width="9.85546875" style="455" customWidth="1"/>
    <col min="518" max="518" width="9.7109375" style="455" customWidth="1"/>
    <col min="519" max="519" width="9.5703125" style="455" customWidth="1"/>
    <col min="520" max="520" width="9.85546875" style="455" customWidth="1"/>
    <col min="521" max="521" width="6.5703125" style="455" customWidth="1"/>
    <col min="522" max="522" width="6" style="455" bestFit="1" customWidth="1"/>
    <col min="523" max="523" width="6.28515625" style="455" customWidth="1"/>
    <col min="524" max="524" width="11.7109375" style="455" customWidth="1"/>
    <col min="525" max="525" width="0" style="455" hidden="1" customWidth="1"/>
    <col min="526" max="526" width="14.5703125" style="455" customWidth="1"/>
    <col min="527" max="527" width="11.85546875" style="455" customWidth="1"/>
    <col min="528" max="762" width="9.140625" style="455"/>
    <col min="763" max="763" width="2.85546875" style="455" customWidth="1"/>
    <col min="764" max="764" width="50.7109375" style="455" customWidth="1"/>
    <col min="765" max="765" width="9.42578125" style="455" customWidth="1"/>
    <col min="766" max="766" width="11.85546875" style="455" customWidth="1"/>
    <col min="767" max="767" width="8.42578125" style="455" bestFit="1" customWidth="1"/>
    <col min="768" max="770" width="0" style="455" hidden="1" customWidth="1"/>
    <col min="771" max="771" width="6" style="455" bestFit="1" customWidth="1"/>
    <col min="772" max="772" width="9.5703125" style="455" customWidth="1"/>
    <col min="773" max="773" width="9.85546875" style="455" customWidth="1"/>
    <col min="774" max="774" width="9.7109375" style="455" customWidth="1"/>
    <col min="775" max="775" width="9.5703125" style="455" customWidth="1"/>
    <col min="776" max="776" width="9.85546875" style="455" customWidth="1"/>
    <col min="777" max="777" width="6.5703125" style="455" customWidth="1"/>
    <col min="778" max="778" width="6" style="455" bestFit="1" customWidth="1"/>
    <col min="779" max="779" width="6.28515625" style="455" customWidth="1"/>
    <col min="780" max="780" width="11.7109375" style="455" customWidth="1"/>
    <col min="781" max="781" width="0" style="455" hidden="1" customWidth="1"/>
    <col min="782" max="782" width="14.5703125" style="455" customWidth="1"/>
    <col min="783" max="783" width="11.85546875" style="455" customWidth="1"/>
    <col min="784" max="1018" width="9.140625" style="455"/>
    <col min="1019" max="1019" width="2.85546875" style="455" customWidth="1"/>
    <col min="1020" max="1020" width="50.7109375" style="455" customWidth="1"/>
    <col min="1021" max="1021" width="9.42578125" style="455" customWidth="1"/>
    <col min="1022" max="1022" width="11.85546875" style="455" customWidth="1"/>
    <col min="1023" max="1023" width="8.42578125" style="455" bestFit="1" customWidth="1"/>
    <col min="1024" max="1026" width="0" style="455" hidden="1" customWidth="1"/>
    <col min="1027" max="1027" width="6" style="455" bestFit="1" customWidth="1"/>
    <col min="1028" max="1028" width="9.5703125" style="455" customWidth="1"/>
    <col min="1029" max="1029" width="9.85546875" style="455" customWidth="1"/>
    <col min="1030" max="1030" width="9.7109375" style="455" customWidth="1"/>
    <col min="1031" max="1031" width="9.5703125" style="455" customWidth="1"/>
    <col min="1032" max="1032" width="9.85546875" style="455" customWidth="1"/>
    <col min="1033" max="1033" width="6.5703125" style="455" customWidth="1"/>
    <col min="1034" max="1034" width="6" style="455" bestFit="1" customWidth="1"/>
    <col min="1035" max="1035" width="6.28515625" style="455" customWidth="1"/>
    <col min="1036" max="1036" width="11.7109375" style="455" customWidth="1"/>
    <col min="1037" max="1037" width="0" style="455" hidden="1" customWidth="1"/>
    <col min="1038" max="1038" width="14.5703125" style="455" customWidth="1"/>
    <col min="1039" max="1039" width="11.85546875" style="455" customWidth="1"/>
    <col min="1040" max="1274" width="9.140625" style="455"/>
    <col min="1275" max="1275" width="2.85546875" style="455" customWidth="1"/>
    <col min="1276" max="1276" width="50.7109375" style="455" customWidth="1"/>
    <col min="1277" max="1277" width="9.42578125" style="455" customWidth="1"/>
    <col min="1278" max="1278" width="11.85546875" style="455" customWidth="1"/>
    <col min="1279" max="1279" width="8.42578125" style="455" bestFit="1" customWidth="1"/>
    <col min="1280" max="1282" width="0" style="455" hidden="1" customWidth="1"/>
    <col min="1283" max="1283" width="6" style="455" bestFit="1" customWidth="1"/>
    <col min="1284" max="1284" width="9.5703125" style="455" customWidth="1"/>
    <col min="1285" max="1285" width="9.85546875" style="455" customWidth="1"/>
    <col min="1286" max="1286" width="9.7109375" style="455" customWidth="1"/>
    <col min="1287" max="1287" width="9.5703125" style="455" customWidth="1"/>
    <col min="1288" max="1288" width="9.85546875" style="455" customWidth="1"/>
    <col min="1289" max="1289" width="6.5703125" style="455" customWidth="1"/>
    <col min="1290" max="1290" width="6" style="455" bestFit="1" customWidth="1"/>
    <col min="1291" max="1291" width="6.28515625" style="455" customWidth="1"/>
    <col min="1292" max="1292" width="11.7109375" style="455" customWidth="1"/>
    <col min="1293" max="1293" width="0" style="455" hidden="1" customWidth="1"/>
    <col min="1294" max="1294" width="14.5703125" style="455" customWidth="1"/>
    <col min="1295" max="1295" width="11.85546875" style="455" customWidth="1"/>
    <col min="1296" max="1530" width="9.140625" style="455"/>
    <col min="1531" max="1531" width="2.85546875" style="455" customWidth="1"/>
    <col min="1532" max="1532" width="50.7109375" style="455" customWidth="1"/>
    <col min="1533" max="1533" width="9.42578125" style="455" customWidth="1"/>
    <col min="1534" max="1534" width="11.85546875" style="455" customWidth="1"/>
    <col min="1535" max="1535" width="8.42578125" style="455" bestFit="1" customWidth="1"/>
    <col min="1536" max="1538" width="0" style="455" hidden="1" customWidth="1"/>
    <col min="1539" max="1539" width="6" style="455" bestFit="1" customWidth="1"/>
    <col min="1540" max="1540" width="9.5703125" style="455" customWidth="1"/>
    <col min="1541" max="1541" width="9.85546875" style="455" customWidth="1"/>
    <col min="1542" max="1542" width="9.7109375" style="455" customWidth="1"/>
    <col min="1543" max="1543" width="9.5703125" style="455" customWidth="1"/>
    <col min="1544" max="1544" width="9.85546875" style="455" customWidth="1"/>
    <col min="1545" max="1545" width="6.5703125" style="455" customWidth="1"/>
    <col min="1546" max="1546" width="6" style="455" bestFit="1" customWidth="1"/>
    <col min="1547" max="1547" width="6.28515625" style="455" customWidth="1"/>
    <col min="1548" max="1548" width="11.7109375" style="455" customWidth="1"/>
    <col min="1549" max="1549" width="0" style="455" hidden="1" customWidth="1"/>
    <col min="1550" max="1550" width="14.5703125" style="455" customWidth="1"/>
    <col min="1551" max="1551" width="11.85546875" style="455" customWidth="1"/>
    <col min="1552" max="1786" width="9.140625" style="455"/>
    <col min="1787" max="1787" width="2.85546875" style="455" customWidth="1"/>
    <col min="1788" max="1788" width="50.7109375" style="455" customWidth="1"/>
    <col min="1789" max="1789" width="9.42578125" style="455" customWidth="1"/>
    <col min="1790" max="1790" width="11.85546875" style="455" customWidth="1"/>
    <col min="1791" max="1791" width="8.42578125" style="455" bestFit="1" customWidth="1"/>
    <col min="1792" max="1794" width="0" style="455" hidden="1" customWidth="1"/>
    <col min="1795" max="1795" width="6" style="455" bestFit="1" customWidth="1"/>
    <col min="1796" max="1796" width="9.5703125" style="455" customWidth="1"/>
    <col min="1797" max="1797" width="9.85546875" style="455" customWidth="1"/>
    <col min="1798" max="1798" width="9.7109375" style="455" customWidth="1"/>
    <col min="1799" max="1799" width="9.5703125" style="455" customWidth="1"/>
    <col min="1800" max="1800" width="9.85546875" style="455" customWidth="1"/>
    <col min="1801" max="1801" width="6.5703125" style="455" customWidth="1"/>
    <col min="1802" max="1802" width="6" style="455" bestFit="1" customWidth="1"/>
    <col min="1803" max="1803" width="6.28515625" style="455" customWidth="1"/>
    <col min="1804" max="1804" width="11.7109375" style="455" customWidth="1"/>
    <col min="1805" max="1805" width="0" style="455" hidden="1" customWidth="1"/>
    <col min="1806" max="1806" width="14.5703125" style="455" customWidth="1"/>
    <col min="1807" max="1807" width="11.85546875" style="455" customWidth="1"/>
    <col min="1808" max="2042" width="9.140625" style="455"/>
    <col min="2043" max="2043" width="2.85546875" style="455" customWidth="1"/>
    <col min="2044" max="2044" width="50.7109375" style="455" customWidth="1"/>
    <col min="2045" max="2045" width="9.42578125" style="455" customWidth="1"/>
    <col min="2046" max="2046" width="11.85546875" style="455" customWidth="1"/>
    <col min="2047" max="2047" width="8.42578125" style="455" bestFit="1" customWidth="1"/>
    <col min="2048" max="2050" width="0" style="455" hidden="1" customWidth="1"/>
    <col min="2051" max="2051" width="6" style="455" bestFit="1" customWidth="1"/>
    <col min="2052" max="2052" width="9.5703125" style="455" customWidth="1"/>
    <col min="2053" max="2053" width="9.85546875" style="455" customWidth="1"/>
    <col min="2054" max="2054" width="9.7109375" style="455" customWidth="1"/>
    <col min="2055" max="2055" width="9.5703125" style="455" customWidth="1"/>
    <col min="2056" max="2056" width="9.85546875" style="455" customWidth="1"/>
    <col min="2057" max="2057" width="6.5703125" style="455" customWidth="1"/>
    <col min="2058" max="2058" width="6" style="455" bestFit="1" customWidth="1"/>
    <col min="2059" max="2059" width="6.28515625" style="455" customWidth="1"/>
    <col min="2060" max="2060" width="11.7109375" style="455" customWidth="1"/>
    <col min="2061" max="2061" width="0" style="455" hidden="1" customWidth="1"/>
    <col min="2062" max="2062" width="14.5703125" style="455" customWidth="1"/>
    <col min="2063" max="2063" width="11.85546875" style="455" customWidth="1"/>
    <col min="2064" max="2298" width="9.140625" style="455"/>
    <col min="2299" max="2299" width="2.85546875" style="455" customWidth="1"/>
    <col min="2300" max="2300" width="50.7109375" style="455" customWidth="1"/>
    <col min="2301" max="2301" width="9.42578125" style="455" customWidth="1"/>
    <col min="2302" max="2302" width="11.85546875" style="455" customWidth="1"/>
    <col min="2303" max="2303" width="8.42578125" style="455" bestFit="1" customWidth="1"/>
    <col min="2304" max="2306" width="0" style="455" hidden="1" customWidth="1"/>
    <col min="2307" max="2307" width="6" style="455" bestFit="1" customWidth="1"/>
    <col min="2308" max="2308" width="9.5703125" style="455" customWidth="1"/>
    <col min="2309" max="2309" width="9.85546875" style="455" customWidth="1"/>
    <col min="2310" max="2310" width="9.7109375" style="455" customWidth="1"/>
    <col min="2311" max="2311" width="9.5703125" style="455" customWidth="1"/>
    <col min="2312" max="2312" width="9.85546875" style="455" customWidth="1"/>
    <col min="2313" max="2313" width="6.5703125" style="455" customWidth="1"/>
    <col min="2314" max="2314" width="6" style="455" bestFit="1" customWidth="1"/>
    <col min="2315" max="2315" width="6.28515625" style="455" customWidth="1"/>
    <col min="2316" max="2316" width="11.7109375" style="455" customWidth="1"/>
    <col min="2317" max="2317" width="0" style="455" hidden="1" customWidth="1"/>
    <col min="2318" max="2318" width="14.5703125" style="455" customWidth="1"/>
    <col min="2319" max="2319" width="11.85546875" style="455" customWidth="1"/>
    <col min="2320" max="2554" width="9.140625" style="455"/>
    <col min="2555" max="2555" width="2.85546875" style="455" customWidth="1"/>
    <col min="2556" max="2556" width="50.7109375" style="455" customWidth="1"/>
    <col min="2557" max="2557" width="9.42578125" style="455" customWidth="1"/>
    <col min="2558" max="2558" width="11.85546875" style="455" customWidth="1"/>
    <col min="2559" max="2559" width="8.42578125" style="455" bestFit="1" customWidth="1"/>
    <col min="2560" max="2562" width="0" style="455" hidden="1" customWidth="1"/>
    <col min="2563" max="2563" width="6" style="455" bestFit="1" customWidth="1"/>
    <col min="2564" max="2564" width="9.5703125" style="455" customWidth="1"/>
    <col min="2565" max="2565" width="9.85546875" style="455" customWidth="1"/>
    <col min="2566" max="2566" width="9.7109375" style="455" customWidth="1"/>
    <col min="2567" max="2567" width="9.5703125" style="455" customWidth="1"/>
    <col min="2568" max="2568" width="9.85546875" style="455" customWidth="1"/>
    <col min="2569" max="2569" width="6.5703125" style="455" customWidth="1"/>
    <col min="2570" max="2570" width="6" style="455" bestFit="1" customWidth="1"/>
    <col min="2571" max="2571" width="6.28515625" style="455" customWidth="1"/>
    <col min="2572" max="2572" width="11.7109375" style="455" customWidth="1"/>
    <col min="2573" max="2573" width="0" style="455" hidden="1" customWidth="1"/>
    <col min="2574" max="2574" width="14.5703125" style="455" customWidth="1"/>
    <col min="2575" max="2575" width="11.85546875" style="455" customWidth="1"/>
    <col min="2576" max="2810" width="9.140625" style="455"/>
    <col min="2811" max="2811" width="2.85546875" style="455" customWidth="1"/>
    <col min="2812" max="2812" width="50.7109375" style="455" customWidth="1"/>
    <col min="2813" max="2813" width="9.42578125" style="455" customWidth="1"/>
    <col min="2814" max="2814" width="11.85546875" style="455" customWidth="1"/>
    <col min="2815" max="2815" width="8.42578125" style="455" bestFit="1" customWidth="1"/>
    <col min="2816" max="2818" width="0" style="455" hidden="1" customWidth="1"/>
    <col min="2819" max="2819" width="6" style="455" bestFit="1" customWidth="1"/>
    <col min="2820" max="2820" width="9.5703125" style="455" customWidth="1"/>
    <col min="2821" max="2821" width="9.85546875" style="455" customWidth="1"/>
    <col min="2822" max="2822" width="9.7109375" style="455" customWidth="1"/>
    <col min="2823" max="2823" width="9.5703125" style="455" customWidth="1"/>
    <col min="2824" max="2824" width="9.85546875" style="455" customWidth="1"/>
    <col min="2825" max="2825" width="6.5703125" style="455" customWidth="1"/>
    <col min="2826" max="2826" width="6" style="455" bestFit="1" customWidth="1"/>
    <col min="2827" max="2827" width="6.28515625" style="455" customWidth="1"/>
    <col min="2828" max="2828" width="11.7109375" style="455" customWidth="1"/>
    <col min="2829" max="2829" width="0" style="455" hidden="1" customWidth="1"/>
    <col min="2830" max="2830" width="14.5703125" style="455" customWidth="1"/>
    <col min="2831" max="2831" width="11.85546875" style="455" customWidth="1"/>
    <col min="2832" max="3066" width="9.140625" style="455"/>
    <col min="3067" max="3067" width="2.85546875" style="455" customWidth="1"/>
    <col min="3068" max="3068" width="50.7109375" style="455" customWidth="1"/>
    <col min="3069" max="3069" width="9.42578125" style="455" customWidth="1"/>
    <col min="3070" max="3070" width="11.85546875" style="455" customWidth="1"/>
    <col min="3071" max="3071" width="8.42578125" style="455" bestFit="1" customWidth="1"/>
    <col min="3072" max="3074" width="0" style="455" hidden="1" customWidth="1"/>
    <col min="3075" max="3075" width="6" style="455" bestFit="1" customWidth="1"/>
    <col min="3076" max="3076" width="9.5703125" style="455" customWidth="1"/>
    <col min="3077" max="3077" width="9.85546875" style="455" customWidth="1"/>
    <col min="3078" max="3078" width="9.7109375" style="455" customWidth="1"/>
    <col min="3079" max="3079" width="9.5703125" style="455" customWidth="1"/>
    <col min="3080" max="3080" width="9.85546875" style="455" customWidth="1"/>
    <col min="3081" max="3081" width="6.5703125" style="455" customWidth="1"/>
    <col min="3082" max="3082" width="6" style="455" bestFit="1" customWidth="1"/>
    <col min="3083" max="3083" width="6.28515625" style="455" customWidth="1"/>
    <col min="3084" max="3084" width="11.7109375" style="455" customWidth="1"/>
    <col min="3085" max="3085" width="0" style="455" hidden="1" customWidth="1"/>
    <col min="3086" max="3086" width="14.5703125" style="455" customWidth="1"/>
    <col min="3087" max="3087" width="11.85546875" style="455" customWidth="1"/>
    <col min="3088" max="3322" width="9.140625" style="455"/>
    <col min="3323" max="3323" width="2.85546875" style="455" customWidth="1"/>
    <col min="3324" max="3324" width="50.7109375" style="455" customWidth="1"/>
    <col min="3325" max="3325" width="9.42578125" style="455" customWidth="1"/>
    <col min="3326" max="3326" width="11.85546875" style="455" customWidth="1"/>
    <col min="3327" max="3327" width="8.42578125" style="455" bestFit="1" customWidth="1"/>
    <col min="3328" max="3330" width="0" style="455" hidden="1" customWidth="1"/>
    <col min="3331" max="3331" width="6" style="455" bestFit="1" customWidth="1"/>
    <col min="3332" max="3332" width="9.5703125" style="455" customWidth="1"/>
    <col min="3333" max="3333" width="9.85546875" style="455" customWidth="1"/>
    <col min="3334" max="3334" width="9.7109375" style="455" customWidth="1"/>
    <col min="3335" max="3335" width="9.5703125" style="455" customWidth="1"/>
    <col min="3336" max="3336" width="9.85546875" style="455" customWidth="1"/>
    <col min="3337" max="3337" width="6.5703125" style="455" customWidth="1"/>
    <col min="3338" max="3338" width="6" style="455" bestFit="1" customWidth="1"/>
    <col min="3339" max="3339" width="6.28515625" style="455" customWidth="1"/>
    <col min="3340" max="3340" width="11.7109375" style="455" customWidth="1"/>
    <col min="3341" max="3341" width="0" style="455" hidden="1" customWidth="1"/>
    <col min="3342" max="3342" width="14.5703125" style="455" customWidth="1"/>
    <col min="3343" max="3343" width="11.85546875" style="455" customWidth="1"/>
    <col min="3344" max="3578" width="9.140625" style="455"/>
    <col min="3579" max="3579" width="2.85546875" style="455" customWidth="1"/>
    <col min="3580" max="3580" width="50.7109375" style="455" customWidth="1"/>
    <col min="3581" max="3581" width="9.42578125" style="455" customWidth="1"/>
    <col min="3582" max="3582" width="11.85546875" style="455" customWidth="1"/>
    <col min="3583" max="3583" width="8.42578125" style="455" bestFit="1" customWidth="1"/>
    <col min="3584" max="3586" width="0" style="455" hidden="1" customWidth="1"/>
    <col min="3587" max="3587" width="6" style="455" bestFit="1" customWidth="1"/>
    <col min="3588" max="3588" width="9.5703125" style="455" customWidth="1"/>
    <col min="3589" max="3589" width="9.85546875" style="455" customWidth="1"/>
    <col min="3590" max="3590" width="9.7109375" style="455" customWidth="1"/>
    <col min="3591" max="3591" width="9.5703125" style="455" customWidth="1"/>
    <col min="3592" max="3592" width="9.85546875" style="455" customWidth="1"/>
    <col min="3593" max="3593" width="6.5703125" style="455" customWidth="1"/>
    <col min="3594" max="3594" width="6" style="455" bestFit="1" customWidth="1"/>
    <col min="3595" max="3595" width="6.28515625" style="455" customWidth="1"/>
    <col min="3596" max="3596" width="11.7109375" style="455" customWidth="1"/>
    <col min="3597" max="3597" width="0" style="455" hidden="1" customWidth="1"/>
    <col min="3598" max="3598" width="14.5703125" style="455" customWidth="1"/>
    <col min="3599" max="3599" width="11.85546875" style="455" customWidth="1"/>
    <col min="3600" max="3834" width="9.140625" style="455"/>
    <col min="3835" max="3835" width="2.85546875" style="455" customWidth="1"/>
    <col min="3836" max="3836" width="50.7109375" style="455" customWidth="1"/>
    <col min="3837" max="3837" width="9.42578125" style="455" customWidth="1"/>
    <col min="3838" max="3838" width="11.85546875" style="455" customWidth="1"/>
    <col min="3839" max="3839" width="8.42578125" style="455" bestFit="1" customWidth="1"/>
    <col min="3840" max="3842" width="0" style="455" hidden="1" customWidth="1"/>
    <col min="3843" max="3843" width="6" style="455" bestFit="1" customWidth="1"/>
    <col min="3844" max="3844" width="9.5703125" style="455" customWidth="1"/>
    <col min="3845" max="3845" width="9.85546875" style="455" customWidth="1"/>
    <col min="3846" max="3846" width="9.7109375" style="455" customWidth="1"/>
    <col min="3847" max="3847" width="9.5703125" style="455" customWidth="1"/>
    <col min="3848" max="3848" width="9.85546875" style="455" customWidth="1"/>
    <col min="3849" max="3849" width="6.5703125" style="455" customWidth="1"/>
    <col min="3850" max="3850" width="6" style="455" bestFit="1" customWidth="1"/>
    <col min="3851" max="3851" width="6.28515625" style="455" customWidth="1"/>
    <col min="3852" max="3852" width="11.7109375" style="455" customWidth="1"/>
    <col min="3853" max="3853" width="0" style="455" hidden="1" customWidth="1"/>
    <col min="3854" max="3854" width="14.5703125" style="455" customWidth="1"/>
    <col min="3855" max="3855" width="11.85546875" style="455" customWidth="1"/>
    <col min="3856" max="4090" width="9.140625" style="455"/>
    <col min="4091" max="4091" width="2.85546875" style="455" customWidth="1"/>
    <col min="4092" max="4092" width="50.7109375" style="455" customWidth="1"/>
    <col min="4093" max="4093" width="9.42578125" style="455" customWidth="1"/>
    <col min="4094" max="4094" width="11.85546875" style="455" customWidth="1"/>
    <col min="4095" max="4095" width="8.42578125" style="455" bestFit="1" customWidth="1"/>
    <col min="4096" max="4098" width="0" style="455" hidden="1" customWidth="1"/>
    <col min="4099" max="4099" width="6" style="455" bestFit="1" customWidth="1"/>
    <col min="4100" max="4100" width="9.5703125" style="455" customWidth="1"/>
    <col min="4101" max="4101" width="9.85546875" style="455" customWidth="1"/>
    <col min="4102" max="4102" width="9.7109375" style="455" customWidth="1"/>
    <col min="4103" max="4103" width="9.5703125" style="455" customWidth="1"/>
    <col min="4104" max="4104" width="9.85546875" style="455" customWidth="1"/>
    <col min="4105" max="4105" width="6.5703125" style="455" customWidth="1"/>
    <col min="4106" max="4106" width="6" style="455" bestFit="1" customWidth="1"/>
    <col min="4107" max="4107" width="6.28515625" style="455" customWidth="1"/>
    <col min="4108" max="4108" width="11.7109375" style="455" customWidth="1"/>
    <col min="4109" max="4109" width="0" style="455" hidden="1" customWidth="1"/>
    <col min="4110" max="4110" width="14.5703125" style="455" customWidth="1"/>
    <col min="4111" max="4111" width="11.85546875" style="455" customWidth="1"/>
    <col min="4112" max="4346" width="9.140625" style="455"/>
    <col min="4347" max="4347" width="2.85546875" style="455" customWidth="1"/>
    <col min="4348" max="4348" width="50.7109375" style="455" customWidth="1"/>
    <col min="4349" max="4349" width="9.42578125" style="455" customWidth="1"/>
    <col min="4350" max="4350" width="11.85546875" style="455" customWidth="1"/>
    <col min="4351" max="4351" width="8.42578125" style="455" bestFit="1" customWidth="1"/>
    <col min="4352" max="4354" width="0" style="455" hidden="1" customWidth="1"/>
    <col min="4355" max="4355" width="6" style="455" bestFit="1" customWidth="1"/>
    <col min="4356" max="4356" width="9.5703125" style="455" customWidth="1"/>
    <col min="4357" max="4357" width="9.85546875" style="455" customWidth="1"/>
    <col min="4358" max="4358" width="9.7109375" style="455" customWidth="1"/>
    <col min="4359" max="4359" width="9.5703125" style="455" customWidth="1"/>
    <col min="4360" max="4360" width="9.85546875" style="455" customWidth="1"/>
    <col min="4361" max="4361" width="6.5703125" style="455" customWidth="1"/>
    <col min="4362" max="4362" width="6" style="455" bestFit="1" customWidth="1"/>
    <col min="4363" max="4363" width="6.28515625" style="455" customWidth="1"/>
    <col min="4364" max="4364" width="11.7109375" style="455" customWidth="1"/>
    <col min="4365" max="4365" width="0" style="455" hidden="1" customWidth="1"/>
    <col min="4366" max="4366" width="14.5703125" style="455" customWidth="1"/>
    <col min="4367" max="4367" width="11.85546875" style="455" customWidth="1"/>
    <col min="4368" max="4602" width="9.140625" style="455"/>
    <col min="4603" max="4603" width="2.85546875" style="455" customWidth="1"/>
    <col min="4604" max="4604" width="50.7109375" style="455" customWidth="1"/>
    <col min="4605" max="4605" width="9.42578125" style="455" customWidth="1"/>
    <col min="4606" max="4606" width="11.85546875" style="455" customWidth="1"/>
    <col min="4607" max="4607" width="8.42578125" style="455" bestFit="1" customWidth="1"/>
    <col min="4608" max="4610" width="0" style="455" hidden="1" customWidth="1"/>
    <col min="4611" max="4611" width="6" style="455" bestFit="1" customWidth="1"/>
    <col min="4612" max="4612" width="9.5703125" style="455" customWidth="1"/>
    <col min="4613" max="4613" width="9.85546875" style="455" customWidth="1"/>
    <col min="4614" max="4614" width="9.7109375" style="455" customWidth="1"/>
    <col min="4615" max="4615" width="9.5703125" style="455" customWidth="1"/>
    <col min="4616" max="4616" width="9.85546875" style="455" customWidth="1"/>
    <col min="4617" max="4617" width="6.5703125" style="455" customWidth="1"/>
    <col min="4618" max="4618" width="6" style="455" bestFit="1" customWidth="1"/>
    <col min="4619" max="4619" width="6.28515625" style="455" customWidth="1"/>
    <col min="4620" max="4620" width="11.7109375" style="455" customWidth="1"/>
    <col min="4621" max="4621" width="0" style="455" hidden="1" customWidth="1"/>
    <col min="4622" max="4622" width="14.5703125" style="455" customWidth="1"/>
    <col min="4623" max="4623" width="11.85546875" style="455" customWidth="1"/>
    <col min="4624" max="4858" width="9.140625" style="455"/>
    <col min="4859" max="4859" width="2.85546875" style="455" customWidth="1"/>
    <col min="4860" max="4860" width="50.7109375" style="455" customWidth="1"/>
    <col min="4861" max="4861" width="9.42578125" style="455" customWidth="1"/>
    <col min="4862" max="4862" width="11.85546875" style="455" customWidth="1"/>
    <col min="4863" max="4863" width="8.42578125" style="455" bestFit="1" customWidth="1"/>
    <col min="4864" max="4866" width="0" style="455" hidden="1" customWidth="1"/>
    <col min="4867" max="4867" width="6" style="455" bestFit="1" customWidth="1"/>
    <col min="4868" max="4868" width="9.5703125" style="455" customWidth="1"/>
    <col min="4869" max="4869" width="9.85546875" style="455" customWidth="1"/>
    <col min="4870" max="4870" width="9.7109375" style="455" customWidth="1"/>
    <col min="4871" max="4871" width="9.5703125" style="455" customWidth="1"/>
    <col min="4872" max="4872" width="9.85546875" style="455" customWidth="1"/>
    <col min="4873" max="4873" width="6.5703125" style="455" customWidth="1"/>
    <col min="4874" max="4874" width="6" style="455" bestFit="1" customWidth="1"/>
    <col min="4875" max="4875" width="6.28515625" style="455" customWidth="1"/>
    <col min="4876" max="4876" width="11.7109375" style="455" customWidth="1"/>
    <col min="4877" max="4877" width="0" style="455" hidden="1" customWidth="1"/>
    <col min="4878" max="4878" width="14.5703125" style="455" customWidth="1"/>
    <col min="4879" max="4879" width="11.85546875" style="455" customWidth="1"/>
    <col min="4880" max="5114" width="9.140625" style="455"/>
    <col min="5115" max="5115" width="2.85546875" style="455" customWidth="1"/>
    <col min="5116" max="5116" width="50.7109375" style="455" customWidth="1"/>
    <col min="5117" max="5117" width="9.42578125" style="455" customWidth="1"/>
    <col min="5118" max="5118" width="11.85546875" style="455" customWidth="1"/>
    <col min="5119" max="5119" width="8.42578125" style="455" bestFit="1" customWidth="1"/>
    <col min="5120" max="5122" width="0" style="455" hidden="1" customWidth="1"/>
    <col min="5123" max="5123" width="6" style="455" bestFit="1" customWidth="1"/>
    <col min="5124" max="5124" width="9.5703125" style="455" customWidth="1"/>
    <col min="5125" max="5125" width="9.85546875" style="455" customWidth="1"/>
    <col min="5126" max="5126" width="9.7109375" style="455" customWidth="1"/>
    <col min="5127" max="5127" width="9.5703125" style="455" customWidth="1"/>
    <col min="5128" max="5128" width="9.85546875" style="455" customWidth="1"/>
    <col min="5129" max="5129" width="6.5703125" style="455" customWidth="1"/>
    <col min="5130" max="5130" width="6" style="455" bestFit="1" customWidth="1"/>
    <col min="5131" max="5131" width="6.28515625" style="455" customWidth="1"/>
    <col min="5132" max="5132" width="11.7109375" style="455" customWidth="1"/>
    <col min="5133" max="5133" width="0" style="455" hidden="1" customWidth="1"/>
    <col min="5134" max="5134" width="14.5703125" style="455" customWidth="1"/>
    <col min="5135" max="5135" width="11.85546875" style="455" customWidth="1"/>
    <col min="5136" max="5370" width="9.140625" style="455"/>
    <col min="5371" max="5371" width="2.85546875" style="455" customWidth="1"/>
    <col min="5372" max="5372" width="50.7109375" style="455" customWidth="1"/>
    <col min="5373" max="5373" width="9.42578125" style="455" customWidth="1"/>
    <col min="5374" max="5374" width="11.85546875" style="455" customWidth="1"/>
    <col min="5375" max="5375" width="8.42578125" style="455" bestFit="1" customWidth="1"/>
    <col min="5376" max="5378" width="0" style="455" hidden="1" customWidth="1"/>
    <col min="5379" max="5379" width="6" style="455" bestFit="1" customWidth="1"/>
    <col min="5380" max="5380" width="9.5703125" style="455" customWidth="1"/>
    <col min="5381" max="5381" width="9.85546875" style="455" customWidth="1"/>
    <col min="5382" max="5382" width="9.7109375" style="455" customWidth="1"/>
    <col min="5383" max="5383" width="9.5703125" style="455" customWidth="1"/>
    <col min="5384" max="5384" width="9.85546875" style="455" customWidth="1"/>
    <col min="5385" max="5385" width="6.5703125" style="455" customWidth="1"/>
    <col min="5386" max="5386" width="6" style="455" bestFit="1" customWidth="1"/>
    <col min="5387" max="5387" width="6.28515625" style="455" customWidth="1"/>
    <col min="5388" max="5388" width="11.7109375" style="455" customWidth="1"/>
    <col min="5389" max="5389" width="0" style="455" hidden="1" customWidth="1"/>
    <col min="5390" max="5390" width="14.5703125" style="455" customWidth="1"/>
    <col min="5391" max="5391" width="11.85546875" style="455" customWidth="1"/>
    <col min="5392" max="5626" width="9.140625" style="455"/>
    <col min="5627" max="5627" width="2.85546875" style="455" customWidth="1"/>
    <col min="5628" max="5628" width="50.7109375" style="455" customWidth="1"/>
    <col min="5629" max="5629" width="9.42578125" style="455" customWidth="1"/>
    <col min="5630" max="5630" width="11.85546875" style="455" customWidth="1"/>
    <col min="5631" max="5631" width="8.42578125" style="455" bestFit="1" customWidth="1"/>
    <col min="5632" max="5634" width="0" style="455" hidden="1" customWidth="1"/>
    <col min="5635" max="5635" width="6" style="455" bestFit="1" customWidth="1"/>
    <col min="5636" max="5636" width="9.5703125" style="455" customWidth="1"/>
    <col min="5637" max="5637" width="9.85546875" style="455" customWidth="1"/>
    <col min="5638" max="5638" width="9.7109375" style="455" customWidth="1"/>
    <col min="5639" max="5639" width="9.5703125" style="455" customWidth="1"/>
    <col min="5640" max="5640" width="9.85546875" style="455" customWidth="1"/>
    <col min="5641" max="5641" width="6.5703125" style="455" customWidth="1"/>
    <col min="5642" max="5642" width="6" style="455" bestFit="1" customWidth="1"/>
    <col min="5643" max="5643" width="6.28515625" style="455" customWidth="1"/>
    <col min="5644" max="5644" width="11.7109375" style="455" customWidth="1"/>
    <col min="5645" max="5645" width="0" style="455" hidden="1" customWidth="1"/>
    <col min="5646" max="5646" width="14.5703125" style="455" customWidth="1"/>
    <col min="5647" max="5647" width="11.85546875" style="455" customWidth="1"/>
    <col min="5648" max="5882" width="9.140625" style="455"/>
    <col min="5883" max="5883" width="2.85546875" style="455" customWidth="1"/>
    <col min="5884" max="5884" width="50.7109375" style="455" customWidth="1"/>
    <col min="5885" max="5885" width="9.42578125" style="455" customWidth="1"/>
    <col min="5886" max="5886" width="11.85546875" style="455" customWidth="1"/>
    <col min="5887" max="5887" width="8.42578125" style="455" bestFit="1" customWidth="1"/>
    <col min="5888" max="5890" width="0" style="455" hidden="1" customWidth="1"/>
    <col min="5891" max="5891" width="6" style="455" bestFit="1" customWidth="1"/>
    <col min="5892" max="5892" width="9.5703125" style="455" customWidth="1"/>
    <col min="5893" max="5893" width="9.85546875" style="455" customWidth="1"/>
    <col min="5894" max="5894" width="9.7109375" style="455" customWidth="1"/>
    <col min="5895" max="5895" width="9.5703125" style="455" customWidth="1"/>
    <col min="5896" max="5896" width="9.85546875" style="455" customWidth="1"/>
    <col min="5897" max="5897" width="6.5703125" style="455" customWidth="1"/>
    <col min="5898" max="5898" width="6" style="455" bestFit="1" customWidth="1"/>
    <col min="5899" max="5899" width="6.28515625" style="455" customWidth="1"/>
    <col min="5900" max="5900" width="11.7109375" style="455" customWidth="1"/>
    <col min="5901" max="5901" width="0" style="455" hidden="1" customWidth="1"/>
    <col min="5902" max="5902" width="14.5703125" style="455" customWidth="1"/>
    <col min="5903" max="5903" width="11.85546875" style="455" customWidth="1"/>
    <col min="5904" max="6138" width="9.140625" style="455"/>
    <col min="6139" max="6139" width="2.85546875" style="455" customWidth="1"/>
    <col min="6140" max="6140" width="50.7109375" style="455" customWidth="1"/>
    <col min="6141" max="6141" width="9.42578125" style="455" customWidth="1"/>
    <col min="6142" max="6142" width="11.85546875" style="455" customWidth="1"/>
    <col min="6143" max="6143" width="8.42578125" style="455" bestFit="1" customWidth="1"/>
    <col min="6144" max="6146" width="0" style="455" hidden="1" customWidth="1"/>
    <col min="6147" max="6147" width="6" style="455" bestFit="1" customWidth="1"/>
    <col min="6148" max="6148" width="9.5703125" style="455" customWidth="1"/>
    <col min="6149" max="6149" width="9.85546875" style="455" customWidth="1"/>
    <col min="6150" max="6150" width="9.7109375" style="455" customWidth="1"/>
    <col min="6151" max="6151" width="9.5703125" style="455" customWidth="1"/>
    <col min="6152" max="6152" width="9.85546875" style="455" customWidth="1"/>
    <col min="6153" max="6153" width="6.5703125" style="455" customWidth="1"/>
    <col min="6154" max="6154" width="6" style="455" bestFit="1" customWidth="1"/>
    <col min="6155" max="6155" width="6.28515625" style="455" customWidth="1"/>
    <col min="6156" max="6156" width="11.7109375" style="455" customWidth="1"/>
    <col min="6157" max="6157" width="0" style="455" hidden="1" customWidth="1"/>
    <col min="6158" max="6158" width="14.5703125" style="455" customWidth="1"/>
    <col min="6159" max="6159" width="11.85546875" style="455" customWidth="1"/>
    <col min="6160" max="6394" width="9.140625" style="455"/>
    <col min="6395" max="6395" width="2.85546875" style="455" customWidth="1"/>
    <col min="6396" max="6396" width="50.7109375" style="455" customWidth="1"/>
    <col min="6397" max="6397" width="9.42578125" style="455" customWidth="1"/>
    <col min="6398" max="6398" width="11.85546875" style="455" customWidth="1"/>
    <col min="6399" max="6399" width="8.42578125" style="455" bestFit="1" customWidth="1"/>
    <col min="6400" max="6402" width="0" style="455" hidden="1" customWidth="1"/>
    <col min="6403" max="6403" width="6" style="455" bestFit="1" customWidth="1"/>
    <col min="6404" max="6404" width="9.5703125" style="455" customWidth="1"/>
    <col min="6405" max="6405" width="9.85546875" style="455" customWidth="1"/>
    <col min="6406" max="6406" width="9.7109375" style="455" customWidth="1"/>
    <col min="6407" max="6407" width="9.5703125" style="455" customWidth="1"/>
    <col min="6408" max="6408" width="9.85546875" style="455" customWidth="1"/>
    <col min="6409" max="6409" width="6.5703125" style="455" customWidth="1"/>
    <col min="6410" max="6410" width="6" style="455" bestFit="1" customWidth="1"/>
    <col min="6411" max="6411" width="6.28515625" style="455" customWidth="1"/>
    <col min="6412" max="6412" width="11.7109375" style="455" customWidth="1"/>
    <col min="6413" max="6413" width="0" style="455" hidden="1" customWidth="1"/>
    <col min="6414" max="6414" width="14.5703125" style="455" customWidth="1"/>
    <col min="6415" max="6415" width="11.85546875" style="455" customWidth="1"/>
    <col min="6416" max="6650" width="9.140625" style="455"/>
    <col min="6651" max="6651" width="2.85546875" style="455" customWidth="1"/>
    <col min="6652" max="6652" width="50.7109375" style="455" customWidth="1"/>
    <col min="6653" max="6653" width="9.42578125" style="455" customWidth="1"/>
    <col min="6654" max="6654" width="11.85546875" style="455" customWidth="1"/>
    <col min="6655" max="6655" width="8.42578125" style="455" bestFit="1" customWidth="1"/>
    <col min="6656" max="6658" width="0" style="455" hidden="1" customWidth="1"/>
    <col min="6659" max="6659" width="6" style="455" bestFit="1" customWidth="1"/>
    <col min="6660" max="6660" width="9.5703125" style="455" customWidth="1"/>
    <col min="6661" max="6661" width="9.85546875" style="455" customWidth="1"/>
    <col min="6662" max="6662" width="9.7109375" style="455" customWidth="1"/>
    <col min="6663" max="6663" width="9.5703125" style="455" customWidth="1"/>
    <col min="6664" max="6664" width="9.85546875" style="455" customWidth="1"/>
    <col min="6665" max="6665" width="6.5703125" style="455" customWidth="1"/>
    <col min="6666" max="6666" width="6" style="455" bestFit="1" customWidth="1"/>
    <col min="6667" max="6667" width="6.28515625" style="455" customWidth="1"/>
    <col min="6668" max="6668" width="11.7109375" style="455" customWidth="1"/>
    <col min="6669" max="6669" width="0" style="455" hidden="1" customWidth="1"/>
    <col min="6670" max="6670" width="14.5703125" style="455" customWidth="1"/>
    <col min="6671" max="6671" width="11.85546875" style="455" customWidth="1"/>
    <col min="6672" max="6906" width="9.140625" style="455"/>
    <col min="6907" max="6907" width="2.85546875" style="455" customWidth="1"/>
    <col min="6908" max="6908" width="50.7109375" style="455" customWidth="1"/>
    <col min="6909" max="6909" width="9.42578125" style="455" customWidth="1"/>
    <col min="6910" max="6910" width="11.85546875" style="455" customWidth="1"/>
    <col min="6911" max="6911" width="8.42578125" style="455" bestFit="1" customWidth="1"/>
    <col min="6912" max="6914" width="0" style="455" hidden="1" customWidth="1"/>
    <col min="6915" max="6915" width="6" style="455" bestFit="1" customWidth="1"/>
    <col min="6916" max="6916" width="9.5703125" style="455" customWidth="1"/>
    <col min="6917" max="6917" width="9.85546875" style="455" customWidth="1"/>
    <col min="6918" max="6918" width="9.7109375" style="455" customWidth="1"/>
    <col min="6919" max="6919" width="9.5703125" style="455" customWidth="1"/>
    <col min="6920" max="6920" width="9.85546875" style="455" customWidth="1"/>
    <col min="6921" max="6921" width="6.5703125" style="455" customWidth="1"/>
    <col min="6922" max="6922" width="6" style="455" bestFit="1" customWidth="1"/>
    <col min="6923" max="6923" width="6.28515625" style="455" customWidth="1"/>
    <col min="6924" max="6924" width="11.7109375" style="455" customWidth="1"/>
    <col min="6925" max="6925" width="0" style="455" hidden="1" customWidth="1"/>
    <col min="6926" max="6926" width="14.5703125" style="455" customWidth="1"/>
    <col min="6927" max="6927" width="11.85546875" style="455" customWidth="1"/>
    <col min="6928" max="7162" width="9.140625" style="455"/>
    <col min="7163" max="7163" width="2.85546875" style="455" customWidth="1"/>
    <col min="7164" max="7164" width="50.7109375" style="455" customWidth="1"/>
    <col min="7165" max="7165" width="9.42578125" style="455" customWidth="1"/>
    <col min="7166" max="7166" width="11.85546875" style="455" customWidth="1"/>
    <col min="7167" max="7167" width="8.42578125" style="455" bestFit="1" customWidth="1"/>
    <col min="7168" max="7170" width="0" style="455" hidden="1" customWidth="1"/>
    <col min="7171" max="7171" width="6" style="455" bestFit="1" customWidth="1"/>
    <col min="7172" max="7172" width="9.5703125" style="455" customWidth="1"/>
    <col min="7173" max="7173" width="9.85546875" style="455" customWidth="1"/>
    <col min="7174" max="7174" width="9.7109375" style="455" customWidth="1"/>
    <col min="7175" max="7175" width="9.5703125" style="455" customWidth="1"/>
    <col min="7176" max="7176" width="9.85546875" style="455" customWidth="1"/>
    <col min="7177" max="7177" width="6.5703125" style="455" customWidth="1"/>
    <col min="7178" max="7178" width="6" style="455" bestFit="1" customWidth="1"/>
    <col min="7179" max="7179" width="6.28515625" style="455" customWidth="1"/>
    <col min="7180" max="7180" width="11.7109375" style="455" customWidth="1"/>
    <col min="7181" max="7181" width="0" style="455" hidden="1" customWidth="1"/>
    <col min="7182" max="7182" width="14.5703125" style="455" customWidth="1"/>
    <col min="7183" max="7183" width="11.85546875" style="455" customWidth="1"/>
    <col min="7184" max="7418" width="9.140625" style="455"/>
    <col min="7419" max="7419" width="2.85546875" style="455" customWidth="1"/>
    <col min="7420" max="7420" width="50.7109375" style="455" customWidth="1"/>
    <col min="7421" max="7421" width="9.42578125" style="455" customWidth="1"/>
    <col min="7422" max="7422" width="11.85546875" style="455" customWidth="1"/>
    <col min="7423" max="7423" width="8.42578125" style="455" bestFit="1" customWidth="1"/>
    <col min="7424" max="7426" width="0" style="455" hidden="1" customWidth="1"/>
    <col min="7427" max="7427" width="6" style="455" bestFit="1" customWidth="1"/>
    <col min="7428" max="7428" width="9.5703125" style="455" customWidth="1"/>
    <col min="7429" max="7429" width="9.85546875" style="455" customWidth="1"/>
    <col min="7430" max="7430" width="9.7109375" style="455" customWidth="1"/>
    <col min="7431" max="7431" width="9.5703125" style="455" customWidth="1"/>
    <col min="7432" max="7432" width="9.85546875" style="455" customWidth="1"/>
    <col min="7433" max="7433" width="6.5703125" style="455" customWidth="1"/>
    <col min="7434" max="7434" width="6" style="455" bestFit="1" customWidth="1"/>
    <col min="7435" max="7435" width="6.28515625" style="455" customWidth="1"/>
    <col min="7436" max="7436" width="11.7109375" style="455" customWidth="1"/>
    <col min="7437" max="7437" width="0" style="455" hidden="1" customWidth="1"/>
    <col min="7438" max="7438" width="14.5703125" style="455" customWidth="1"/>
    <col min="7439" max="7439" width="11.85546875" style="455" customWidth="1"/>
    <col min="7440" max="7674" width="9.140625" style="455"/>
    <col min="7675" max="7675" width="2.85546875" style="455" customWidth="1"/>
    <col min="7676" max="7676" width="50.7109375" style="455" customWidth="1"/>
    <col min="7677" max="7677" width="9.42578125" style="455" customWidth="1"/>
    <col min="7678" max="7678" width="11.85546875" style="455" customWidth="1"/>
    <col min="7679" max="7679" width="8.42578125" style="455" bestFit="1" customWidth="1"/>
    <col min="7680" max="7682" width="0" style="455" hidden="1" customWidth="1"/>
    <col min="7683" max="7683" width="6" style="455" bestFit="1" customWidth="1"/>
    <col min="7684" max="7684" width="9.5703125" style="455" customWidth="1"/>
    <col min="7685" max="7685" width="9.85546875" style="455" customWidth="1"/>
    <col min="7686" max="7686" width="9.7109375" style="455" customWidth="1"/>
    <col min="7687" max="7687" width="9.5703125" style="455" customWidth="1"/>
    <col min="7688" max="7688" width="9.85546875" style="455" customWidth="1"/>
    <col min="7689" max="7689" width="6.5703125" style="455" customWidth="1"/>
    <col min="7690" max="7690" width="6" style="455" bestFit="1" customWidth="1"/>
    <col min="7691" max="7691" width="6.28515625" style="455" customWidth="1"/>
    <col min="7692" max="7692" width="11.7109375" style="455" customWidth="1"/>
    <col min="7693" max="7693" width="0" style="455" hidden="1" customWidth="1"/>
    <col min="7694" max="7694" width="14.5703125" style="455" customWidth="1"/>
    <col min="7695" max="7695" width="11.85546875" style="455" customWidth="1"/>
    <col min="7696" max="7930" width="9.140625" style="455"/>
    <col min="7931" max="7931" width="2.85546875" style="455" customWidth="1"/>
    <col min="7932" max="7932" width="50.7109375" style="455" customWidth="1"/>
    <col min="7933" max="7933" width="9.42578125" style="455" customWidth="1"/>
    <col min="7934" max="7934" width="11.85546875" style="455" customWidth="1"/>
    <col min="7935" max="7935" width="8.42578125" style="455" bestFit="1" customWidth="1"/>
    <col min="7936" max="7938" width="0" style="455" hidden="1" customWidth="1"/>
    <col min="7939" max="7939" width="6" style="455" bestFit="1" customWidth="1"/>
    <col min="7940" max="7940" width="9.5703125" style="455" customWidth="1"/>
    <col min="7941" max="7941" width="9.85546875" style="455" customWidth="1"/>
    <col min="7942" max="7942" width="9.7109375" style="455" customWidth="1"/>
    <col min="7943" max="7943" width="9.5703125" style="455" customWidth="1"/>
    <col min="7944" max="7944" width="9.85546875" style="455" customWidth="1"/>
    <col min="7945" max="7945" width="6.5703125" style="455" customWidth="1"/>
    <col min="7946" max="7946" width="6" style="455" bestFit="1" customWidth="1"/>
    <col min="7947" max="7947" width="6.28515625" style="455" customWidth="1"/>
    <col min="7948" max="7948" width="11.7109375" style="455" customWidth="1"/>
    <col min="7949" max="7949" width="0" style="455" hidden="1" customWidth="1"/>
    <col min="7950" max="7950" width="14.5703125" style="455" customWidth="1"/>
    <col min="7951" max="7951" width="11.85546875" style="455" customWidth="1"/>
    <col min="7952" max="8186" width="9.140625" style="455"/>
    <col min="8187" max="8187" width="2.85546875" style="455" customWidth="1"/>
    <col min="8188" max="8188" width="50.7109375" style="455" customWidth="1"/>
    <col min="8189" max="8189" width="9.42578125" style="455" customWidth="1"/>
    <col min="8190" max="8190" width="11.85546875" style="455" customWidth="1"/>
    <col min="8191" max="8191" width="8.42578125" style="455" bestFit="1" customWidth="1"/>
    <col min="8192" max="8194" width="0" style="455" hidden="1" customWidth="1"/>
    <col min="8195" max="8195" width="6" style="455" bestFit="1" customWidth="1"/>
    <col min="8196" max="8196" width="9.5703125" style="455" customWidth="1"/>
    <col min="8197" max="8197" width="9.85546875" style="455" customWidth="1"/>
    <col min="8198" max="8198" width="9.7109375" style="455" customWidth="1"/>
    <col min="8199" max="8199" width="9.5703125" style="455" customWidth="1"/>
    <col min="8200" max="8200" width="9.85546875" style="455" customWidth="1"/>
    <col min="8201" max="8201" width="6.5703125" style="455" customWidth="1"/>
    <col min="8202" max="8202" width="6" style="455" bestFit="1" customWidth="1"/>
    <col min="8203" max="8203" width="6.28515625" style="455" customWidth="1"/>
    <col min="8204" max="8204" width="11.7109375" style="455" customWidth="1"/>
    <col min="8205" max="8205" width="0" style="455" hidden="1" customWidth="1"/>
    <col min="8206" max="8206" width="14.5703125" style="455" customWidth="1"/>
    <col min="8207" max="8207" width="11.85546875" style="455" customWidth="1"/>
    <col min="8208" max="8442" width="9.140625" style="455"/>
    <col min="8443" max="8443" width="2.85546875" style="455" customWidth="1"/>
    <col min="8444" max="8444" width="50.7109375" style="455" customWidth="1"/>
    <col min="8445" max="8445" width="9.42578125" style="455" customWidth="1"/>
    <col min="8446" max="8446" width="11.85546875" style="455" customWidth="1"/>
    <col min="8447" max="8447" width="8.42578125" style="455" bestFit="1" customWidth="1"/>
    <col min="8448" max="8450" width="0" style="455" hidden="1" customWidth="1"/>
    <col min="8451" max="8451" width="6" style="455" bestFit="1" customWidth="1"/>
    <col min="8452" max="8452" width="9.5703125" style="455" customWidth="1"/>
    <col min="8453" max="8453" width="9.85546875" style="455" customWidth="1"/>
    <col min="8454" max="8454" width="9.7109375" style="455" customWidth="1"/>
    <col min="8455" max="8455" width="9.5703125" style="455" customWidth="1"/>
    <col min="8456" max="8456" width="9.85546875" style="455" customWidth="1"/>
    <col min="8457" max="8457" width="6.5703125" style="455" customWidth="1"/>
    <col min="8458" max="8458" width="6" style="455" bestFit="1" customWidth="1"/>
    <col min="8459" max="8459" width="6.28515625" style="455" customWidth="1"/>
    <col min="8460" max="8460" width="11.7109375" style="455" customWidth="1"/>
    <col min="8461" max="8461" width="0" style="455" hidden="1" customWidth="1"/>
    <col min="8462" max="8462" width="14.5703125" style="455" customWidth="1"/>
    <col min="8463" max="8463" width="11.85546875" style="455" customWidth="1"/>
    <col min="8464" max="8698" width="9.140625" style="455"/>
    <col min="8699" max="8699" width="2.85546875" style="455" customWidth="1"/>
    <col min="8700" max="8700" width="50.7109375" style="455" customWidth="1"/>
    <col min="8701" max="8701" width="9.42578125" style="455" customWidth="1"/>
    <col min="8702" max="8702" width="11.85546875" style="455" customWidth="1"/>
    <col min="8703" max="8703" width="8.42578125" style="455" bestFit="1" customWidth="1"/>
    <col min="8704" max="8706" width="0" style="455" hidden="1" customWidth="1"/>
    <col min="8707" max="8707" width="6" style="455" bestFit="1" customWidth="1"/>
    <col min="8708" max="8708" width="9.5703125" style="455" customWidth="1"/>
    <col min="8709" max="8709" width="9.85546875" style="455" customWidth="1"/>
    <col min="8710" max="8710" width="9.7109375" style="455" customWidth="1"/>
    <col min="8711" max="8711" width="9.5703125" style="455" customWidth="1"/>
    <col min="8712" max="8712" width="9.85546875" style="455" customWidth="1"/>
    <col min="8713" max="8713" width="6.5703125" style="455" customWidth="1"/>
    <col min="8714" max="8714" width="6" style="455" bestFit="1" customWidth="1"/>
    <col min="8715" max="8715" width="6.28515625" style="455" customWidth="1"/>
    <col min="8716" max="8716" width="11.7109375" style="455" customWidth="1"/>
    <col min="8717" max="8717" width="0" style="455" hidden="1" customWidth="1"/>
    <col min="8718" max="8718" width="14.5703125" style="455" customWidth="1"/>
    <col min="8719" max="8719" width="11.85546875" style="455" customWidth="1"/>
    <col min="8720" max="8954" width="9.140625" style="455"/>
    <col min="8955" max="8955" width="2.85546875" style="455" customWidth="1"/>
    <col min="8956" max="8956" width="50.7109375" style="455" customWidth="1"/>
    <col min="8957" max="8957" width="9.42578125" style="455" customWidth="1"/>
    <col min="8958" max="8958" width="11.85546875" style="455" customWidth="1"/>
    <col min="8959" max="8959" width="8.42578125" style="455" bestFit="1" customWidth="1"/>
    <col min="8960" max="8962" width="0" style="455" hidden="1" customWidth="1"/>
    <col min="8963" max="8963" width="6" style="455" bestFit="1" customWidth="1"/>
    <col min="8964" max="8964" width="9.5703125" style="455" customWidth="1"/>
    <col min="8965" max="8965" width="9.85546875" style="455" customWidth="1"/>
    <col min="8966" max="8966" width="9.7109375" style="455" customWidth="1"/>
    <col min="8967" max="8967" width="9.5703125" style="455" customWidth="1"/>
    <col min="8968" max="8968" width="9.85546875" style="455" customWidth="1"/>
    <col min="8969" max="8969" width="6.5703125" style="455" customWidth="1"/>
    <col min="8970" max="8970" width="6" style="455" bestFit="1" customWidth="1"/>
    <col min="8971" max="8971" width="6.28515625" style="455" customWidth="1"/>
    <col min="8972" max="8972" width="11.7109375" style="455" customWidth="1"/>
    <col min="8973" max="8973" width="0" style="455" hidden="1" customWidth="1"/>
    <col min="8974" max="8974" width="14.5703125" style="455" customWidth="1"/>
    <col min="8975" max="8975" width="11.85546875" style="455" customWidth="1"/>
    <col min="8976" max="9210" width="9.140625" style="455"/>
    <col min="9211" max="9211" width="2.85546875" style="455" customWidth="1"/>
    <col min="9212" max="9212" width="50.7109375" style="455" customWidth="1"/>
    <col min="9213" max="9213" width="9.42578125" style="455" customWidth="1"/>
    <col min="9214" max="9214" width="11.85546875" style="455" customWidth="1"/>
    <col min="9215" max="9215" width="8.42578125" style="455" bestFit="1" customWidth="1"/>
    <col min="9216" max="9218" width="0" style="455" hidden="1" customWidth="1"/>
    <col min="9219" max="9219" width="6" style="455" bestFit="1" customWidth="1"/>
    <col min="9220" max="9220" width="9.5703125" style="455" customWidth="1"/>
    <col min="9221" max="9221" width="9.85546875" style="455" customWidth="1"/>
    <col min="9222" max="9222" width="9.7109375" style="455" customWidth="1"/>
    <col min="9223" max="9223" width="9.5703125" style="455" customWidth="1"/>
    <col min="9224" max="9224" width="9.85546875" style="455" customWidth="1"/>
    <col min="9225" max="9225" width="6.5703125" style="455" customWidth="1"/>
    <col min="9226" max="9226" width="6" style="455" bestFit="1" customWidth="1"/>
    <col min="9227" max="9227" width="6.28515625" style="455" customWidth="1"/>
    <col min="9228" max="9228" width="11.7109375" style="455" customWidth="1"/>
    <col min="9229" max="9229" width="0" style="455" hidden="1" customWidth="1"/>
    <col min="9230" max="9230" width="14.5703125" style="455" customWidth="1"/>
    <col min="9231" max="9231" width="11.85546875" style="455" customWidth="1"/>
    <col min="9232" max="9466" width="9.140625" style="455"/>
    <col min="9467" max="9467" width="2.85546875" style="455" customWidth="1"/>
    <col min="9468" max="9468" width="50.7109375" style="455" customWidth="1"/>
    <col min="9469" max="9469" width="9.42578125" style="455" customWidth="1"/>
    <col min="9470" max="9470" width="11.85546875" style="455" customWidth="1"/>
    <col min="9471" max="9471" width="8.42578125" style="455" bestFit="1" customWidth="1"/>
    <col min="9472" max="9474" width="0" style="455" hidden="1" customWidth="1"/>
    <col min="9475" max="9475" width="6" style="455" bestFit="1" customWidth="1"/>
    <col min="9476" max="9476" width="9.5703125" style="455" customWidth="1"/>
    <col min="9477" max="9477" width="9.85546875" style="455" customWidth="1"/>
    <col min="9478" max="9478" width="9.7109375" style="455" customWidth="1"/>
    <col min="9479" max="9479" width="9.5703125" style="455" customWidth="1"/>
    <col min="9480" max="9480" width="9.85546875" style="455" customWidth="1"/>
    <col min="9481" max="9481" width="6.5703125" style="455" customWidth="1"/>
    <col min="9482" max="9482" width="6" style="455" bestFit="1" customWidth="1"/>
    <col min="9483" max="9483" width="6.28515625" style="455" customWidth="1"/>
    <col min="9484" max="9484" width="11.7109375" style="455" customWidth="1"/>
    <col min="9485" max="9485" width="0" style="455" hidden="1" customWidth="1"/>
    <col min="9486" max="9486" width="14.5703125" style="455" customWidth="1"/>
    <col min="9487" max="9487" width="11.85546875" style="455" customWidth="1"/>
    <col min="9488" max="9722" width="9.140625" style="455"/>
    <col min="9723" max="9723" width="2.85546875" style="455" customWidth="1"/>
    <col min="9724" max="9724" width="50.7109375" style="455" customWidth="1"/>
    <col min="9725" max="9725" width="9.42578125" style="455" customWidth="1"/>
    <col min="9726" max="9726" width="11.85546875" style="455" customWidth="1"/>
    <col min="9727" max="9727" width="8.42578125" style="455" bestFit="1" customWidth="1"/>
    <col min="9728" max="9730" width="0" style="455" hidden="1" customWidth="1"/>
    <col min="9731" max="9731" width="6" style="455" bestFit="1" customWidth="1"/>
    <col min="9732" max="9732" width="9.5703125" style="455" customWidth="1"/>
    <col min="9733" max="9733" width="9.85546875" style="455" customWidth="1"/>
    <col min="9734" max="9734" width="9.7109375" style="455" customWidth="1"/>
    <col min="9735" max="9735" width="9.5703125" style="455" customWidth="1"/>
    <col min="9736" max="9736" width="9.85546875" style="455" customWidth="1"/>
    <col min="9737" max="9737" width="6.5703125" style="455" customWidth="1"/>
    <col min="9738" max="9738" width="6" style="455" bestFit="1" customWidth="1"/>
    <col min="9739" max="9739" width="6.28515625" style="455" customWidth="1"/>
    <col min="9740" max="9740" width="11.7109375" style="455" customWidth="1"/>
    <col min="9741" max="9741" width="0" style="455" hidden="1" customWidth="1"/>
    <col min="9742" max="9742" width="14.5703125" style="455" customWidth="1"/>
    <col min="9743" max="9743" width="11.85546875" style="455" customWidth="1"/>
    <col min="9744" max="9978" width="9.140625" style="455"/>
    <col min="9979" max="9979" width="2.85546875" style="455" customWidth="1"/>
    <col min="9980" max="9980" width="50.7109375" style="455" customWidth="1"/>
    <col min="9981" max="9981" width="9.42578125" style="455" customWidth="1"/>
    <col min="9982" max="9982" width="11.85546875" style="455" customWidth="1"/>
    <col min="9983" max="9983" width="8.42578125" style="455" bestFit="1" customWidth="1"/>
    <col min="9984" max="9986" width="0" style="455" hidden="1" customWidth="1"/>
    <col min="9987" max="9987" width="6" style="455" bestFit="1" customWidth="1"/>
    <col min="9988" max="9988" width="9.5703125" style="455" customWidth="1"/>
    <col min="9989" max="9989" width="9.85546875" style="455" customWidth="1"/>
    <col min="9990" max="9990" width="9.7109375" style="455" customWidth="1"/>
    <col min="9991" max="9991" width="9.5703125" style="455" customWidth="1"/>
    <col min="9992" max="9992" width="9.85546875" style="455" customWidth="1"/>
    <col min="9993" max="9993" width="6.5703125" style="455" customWidth="1"/>
    <col min="9994" max="9994" width="6" style="455" bestFit="1" customWidth="1"/>
    <col min="9995" max="9995" width="6.28515625" style="455" customWidth="1"/>
    <col min="9996" max="9996" width="11.7109375" style="455" customWidth="1"/>
    <col min="9997" max="9997" width="0" style="455" hidden="1" customWidth="1"/>
    <col min="9998" max="9998" width="14.5703125" style="455" customWidth="1"/>
    <col min="9999" max="9999" width="11.85546875" style="455" customWidth="1"/>
    <col min="10000" max="10234" width="9.140625" style="455"/>
    <col min="10235" max="10235" width="2.85546875" style="455" customWidth="1"/>
    <col min="10236" max="10236" width="50.7109375" style="455" customWidth="1"/>
    <col min="10237" max="10237" width="9.42578125" style="455" customWidth="1"/>
    <col min="10238" max="10238" width="11.85546875" style="455" customWidth="1"/>
    <col min="10239" max="10239" width="8.42578125" style="455" bestFit="1" customWidth="1"/>
    <col min="10240" max="10242" width="0" style="455" hidden="1" customWidth="1"/>
    <col min="10243" max="10243" width="6" style="455" bestFit="1" customWidth="1"/>
    <col min="10244" max="10244" width="9.5703125" style="455" customWidth="1"/>
    <col min="10245" max="10245" width="9.85546875" style="455" customWidth="1"/>
    <col min="10246" max="10246" width="9.7109375" style="455" customWidth="1"/>
    <col min="10247" max="10247" width="9.5703125" style="455" customWidth="1"/>
    <col min="10248" max="10248" width="9.85546875" style="455" customWidth="1"/>
    <col min="10249" max="10249" width="6.5703125" style="455" customWidth="1"/>
    <col min="10250" max="10250" width="6" style="455" bestFit="1" customWidth="1"/>
    <col min="10251" max="10251" width="6.28515625" style="455" customWidth="1"/>
    <col min="10252" max="10252" width="11.7109375" style="455" customWidth="1"/>
    <col min="10253" max="10253" width="0" style="455" hidden="1" customWidth="1"/>
    <col min="10254" max="10254" width="14.5703125" style="455" customWidth="1"/>
    <col min="10255" max="10255" width="11.85546875" style="455" customWidth="1"/>
    <col min="10256" max="10490" width="9.140625" style="455"/>
    <col min="10491" max="10491" width="2.85546875" style="455" customWidth="1"/>
    <col min="10492" max="10492" width="50.7109375" style="455" customWidth="1"/>
    <col min="10493" max="10493" width="9.42578125" style="455" customWidth="1"/>
    <col min="10494" max="10494" width="11.85546875" style="455" customWidth="1"/>
    <col min="10495" max="10495" width="8.42578125" style="455" bestFit="1" customWidth="1"/>
    <col min="10496" max="10498" width="0" style="455" hidden="1" customWidth="1"/>
    <col min="10499" max="10499" width="6" style="455" bestFit="1" customWidth="1"/>
    <col min="10500" max="10500" width="9.5703125" style="455" customWidth="1"/>
    <col min="10501" max="10501" width="9.85546875" style="455" customWidth="1"/>
    <col min="10502" max="10502" width="9.7109375" style="455" customWidth="1"/>
    <col min="10503" max="10503" width="9.5703125" style="455" customWidth="1"/>
    <col min="10504" max="10504" width="9.85546875" style="455" customWidth="1"/>
    <col min="10505" max="10505" width="6.5703125" style="455" customWidth="1"/>
    <col min="10506" max="10506" width="6" style="455" bestFit="1" customWidth="1"/>
    <col min="10507" max="10507" width="6.28515625" style="455" customWidth="1"/>
    <col min="10508" max="10508" width="11.7109375" style="455" customWidth="1"/>
    <col min="10509" max="10509" width="0" style="455" hidden="1" customWidth="1"/>
    <col min="10510" max="10510" width="14.5703125" style="455" customWidth="1"/>
    <col min="10511" max="10511" width="11.85546875" style="455" customWidth="1"/>
    <col min="10512" max="10746" width="9.140625" style="455"/>
    <col min="10747" max="10747" width="2.85546875" style="455" customWidth="1"/>
    <col min="10748" max="10748" width="50.7109375" style="455" customWidth="1"/>
    <col min="10749" max="10749" width="9.42578125" style="455" customWidth="1"/>
    <col min="10750" max="10750" width="11.85546875" style="455" customWidth="1"/>
    <col min="10751" max="10751" width="8.42578125" style="455" bestFit="1" customWidth="1"/>
    <col min="10752" max="10754" width="0" style="455" hidden="1" customWidth="1"/>
    <col min="10755" max="10755" width="6" style="455" bestFit="1" customWidth="1"/>
    <col min="10756" max="10756" width="9.5703125" style="455" customWidth="1"/>
    <col min="10757" max="10757" width="9.85546875" style="455" customWidth="1"/>
    <col min="10758" max="10758" width="9.7109375" style="455" customWidth="1"/>
    <col min="10759" max="10759" width="9.5703125" style="455" customWidth="1"/>
    <col min="10760" max="10760" width="9.85546875" style="455" customWidth="1"/>
    <col min="10761" max="10761" width="6.5703125" style="455" customWidth="1"/>
    <col min="10762" max="10762" width="6" style="455" bestFit="1" customWidth="1"/>
    <col min="10763" max="10763" width="6.28515625" style="455" customWidth="1"/>
    <col min="10764" max="10764" width="11.7109375" style="455" customWidth="1"/>
    <col min="10765" max="10765" width="0" style="455" hidden="1" customWidth="1"/>
    <col min="10766" max="10766" width="14.5703125" style="455" customWidth="1"/>
    <col min="10767" max="10767" width="11.85546875" style="455" customWidth="1"/>
    <col min="10768" max="11002" width="9.140625" style="455"/>
    <col min="11003" max="11003" width="2.85546875" style="455" customWidth="1"/>
    <col min="11004" max="11004" width="50.7109375" style="455" customWidth="1"/>
    <col min="11005" max="11005" width="9.42578125" style="455" customWidth="1"/>
    <col min="11006" max="11006" width="11.85546875" style="455" customWidth="1"/>
    <col min="11007" max="11007" width="8.42578125" style="455" bestFit="1" customWidth="1"/>
    <col min="11008" max="11010" width="0" style="455" hidden="1" customWidth="1"/>
    <col min="11011" max="11011" width="6" style="455" bestFit="1" customWidth="1"/>
    <col min="11012" max="11012" width="9.5703125" style="455" customWidth="1"/>
    <col min="11013" max="11013" width="9.85546875" style="455" customWidth="1"/>
    <col min="11014" max="11014" width="9.7109375" style="455" customWidth="1"/>
    <col min="11015" max="11015" width="9.5703125" style="455" customWidth="1"/>
    <col min="11016" max="11016" width="9.85546875" style="455" customWidth="1"/>
    <col min="11017" max="11017" width="6.5703125" style="455" customWidth="1"/>
    <col min="11018" max="11018" width="6" style="455" bestFit="1" customWidth="1"/>
    <col min="11019" max="11019" width="6.28515625" style="455" customWidth="1"/>
    <col min="11020" max="11020" width="11.7109375" style="455" customWidth="1"/>
    <col min="11021" max="11021" width="0" style="455" hidden="1" customWidth="1"/>
    <col min="11022" max="11022" width="14.5703125" style="455" customWidth="1"/>
    <col min="11023" max="11023" width="11.85546875" style="455" customWidth="1"/>
    <col min="11024" max="11258" width="9.140625" style="455"/>
    <col min="11259" max="11259" width="2.85546875" style="455" customWidth="1"/>
    <col min="11260" max="11260" width="50.7109375" style="455" customWidth="1"/>
    <col min="11261" max="11261" width="9.42578125" style="455" customWidth="1"/>
    <col min="11262" max="11262" width="11.85546875" style="455" customWidth="1"/>
    <col min="11263" max="11263" width="8.42578125" style="455" bestFit="1" customWidth="1"/>
    <col min="11264" max="11266" width="0" style="455" hidden="1" customWidth="1"/>
    <col min="11267" max="11267" width="6" style="455" bestFit="1" customWidth="1"/>
    <col min="11268" max="11268" width="9.5703125" style="455" customWidth="1"/>
    <col min="11269" max="11269" width="9.85546875" style="455" customWidth="1"/>
    <col min="11270" max="11270" width="9.7109375" style="455" customWidth="1"/>
    <col min="11271" max="11271" width="9.5703125" style="455" customWidth="1"/>
    <col min="11272" max="11272" width="9.85546875" style="455" customWidth="1"/>
    <col min="11273" max="11273" width="6.5703125" style="455" customWidth="1"/>
    <col min="11274" max="11274" width="6" style="455" bestFit="1" customWidth="1"/>
    <col min="11275" max="11275" width="6.28515625" style="455" customWidth="1"/>
    <col min="11276" max="11276" width="11.7109375" style="455" customWidth="1"/>
    <col min="11277" max="11277" width="0" style="455" hidden="1" customWidth="1"/>
    <col min="11278" max="11278" width="14.5703125" style="455" customWidth="1"/>
    <col min="11279" max="11279" width="11.85546875" style="455" customWidth="1"/>
    <col min="11280" max="11514" width="9.140625" style="455"/>
    <col min="11515" max="11515" width="2.85546875" style="455" customWidth="1"/>
    <col min="11516" max="11516" width="50.7109375" style="455" customWidth="1"/>
    <col min="11517" max="11517" width="9.42578125" style="455" customWidth="1"/>
    <col min="11518" max="11518" width="11.85546875" style="455" customWidth="1"/>
    <col min="11519" max="11519" width="8.42578125" style="455" bestFit="1" customWidth="1"/>
    <col min="11520" max="11522" width="0" style="455" hidden="1" customWidth="1"/>
    <col min="11523" max="11523" width="6" style="455" bestFit="1" customWidth="1"/>
    <col min="11524" max="11524" width="9.5703125" style="455" customWidth="1"/>
    <col min="11525" max="11525" width="9.85546875" style="455" customWidth="1"/>
    <col min="11526" max="11526" width="9.7109375" style="455" customWidth="1"/>
    <col min="11527" max="11527" width="9.5703125" style="455" customWidth="1"/>
    <col min="11528" max="11528" width="9.85546875" style="455" customWidth="1"/>
    <col min="11529" max="11529" width="6.5703125" style="455" customWidth="1"/>
    <col min="11530" max="11530" width="6" style="455" bestFit="1" customWidth="1"/>
    <col min="11531" max="11531" width="6.28515625" style="455" customWidth="1"/>
    <col min="11532" max="11532" width="11.7109375" style="455" customWidth="1"/>
    <col min="11533" max="11533" width="0" style="455" hidden="1" customWidth="1"/>
    <col min="11534" max="11534" width="14.5703125" style="455" customWidth="1"/>
    <col min="11535" max="11535" width="11.85546875" style="455" customWidth="1"/>
    <col min="11536" max="11770" width="9.140625" style="455"/>
    <col min="11771" max="11771" width="2.85546875" style="455" customWidth="1"/>
    <col min="11772" max="11772" width="50.7109375" style="455" customWidth="1"/>
    <col min="11773" max="11773" width="9.42578125" style="455" customWidth="1"/>
    <col min="11774" max="11774" width="11.85546875" style="455" customWidth="1"/>
    <col min="11775" max="11775" width="8.42578125" style="455" bestFit="1" customWidth="1"/>
    <col min="11776" max="11778" width="0" style="455" hidden="1" customWidth="1"/>
    <col min="11779" max="11779" width="6" style="455" bestFit="1" customWidth="1"/>
    <col min="11780" max="11780" width="9.5703125" style="455" customWidth="1"/>
    <col min="11781" max="11781" width="9.85546875" style="455" customWidth="1"/>
    <col min="11782" max="11782" width="9.7109375" style="455" customWidth="1"/>
    <col min="11783" max="11783" width="9.5703125" style="455" customWidth="1"/>
    <col min="11784" max="11784" width="9.85546875" style="455" customWidth="1"/>
    <col min="11785" max="11785" width="6.5703125" style="455" customWidth="1"/>
    <col min="11786" max="11786" width="6" style="455" bestFit="1" customWidth="1"/>
    <col min="11787" max="11787" width="6.28515625" style="455" customWidth="1"/>
    <col min="11788" max="11788" width="11.7109375" style="455" customWidth="1"/>
    <col min="11789" max="11789" width="0" style="455" hidden="1" customWidth="1"/>
    <col min="11790" max="11790" width="14.5703125" style="455" customWidth="1"/>
    <col min="11791" max="11791" width="11.85546875" style="455" customWidth="1"/>
    <col min="11792" max="12026" width="9.140625" style="455"/>
    <col min="12027" max="12027" width="2.85546875" style="455" customWidth="1"/>
    <col min="12028" max="12028" width="50.7109375" style="455" customWidth="1"/>
    <col min="12029" max="12029" width="9.42578125" style="455" customWidth="1"/>
    <col min="12030" max="12030" width="11.85546875" style="455" customWidth="1"/>
    <col min="12031" max="12031" width="8.42578125" style="455" bestFit="1" customWidth="1"/>
    <col min="12032" max="12034" width="0" style="455" hidden="1" customWidth="1"/>
    <col min="12035" max="12035" width="6" style="455" bestFit="1" customWidth="1"/>
    <col min="12036" max="12036" width="9.5703125" style="455" customWidth="1"/>
    <col min="12037" max="12037" width="9.85546875" style="455" customWidth="1"/>
    <col min="12038" max="12038" width="9.7109375" style="455" customWidth="1"/>
    <col min="12039" max="12039" width="9.5703125" style="455" customWidth="1"/>
    <col min="12040" max="12040" width="9.85546875" style="455" customWidth="1"/>
    <col min="12041" max="12041" width="6.5703125" style="455" customWidth="1"/>
    <col min="12042" max="12042" width="6" style="455" bestFit="1" customWidth="1"/>
    <col min="12043" max="12043" width="6.28515625" style="455" customWidth="1"/>
    <col min="12044" max="12044" width="11.7109375" style="455" customWidth="1"/>
    <col min="12045" max="12045" width="0" style="455" hidden="1" customWidth="1"/>
    <col min="12046" max="12046" width="14.5703125" style="455" customWidth="1"/>
    <col min="12047" max="12047" width="11.85546875" style="455" customWidth="1"/>
    <col min="12048" max="12282" width="9.140625" style="455"/>
    <col min="12283" max="12283" width="2.85546875" style="455" customWidth="1"/>
    <col min="12284" max="12284" width="50.7109375" style="455" customWidth="1"/>
    <col min="12285" max="12285" width="9.42578125" style="455" customWidth="1"/>
    <col min="12286" max="12286" width="11.85546875" style="455" customWidth="1"/>
    <col min="12287" max="12287" width="8.42578125" style="455" bestFit="1" customWidth="1"/>
    <col min="12288" max="12290" width="0" style="455" hidden="1" customWidth="1"/>
    <col min="12291" max="12291" width="6" style="455" bestFit="1" customWidth="1"/>
    <col min="12292" max="12292" width="9.5703125" style="455" customWidth="1"/>
    <col min="12293" max="12293" width="9.85546875" style="455" customWidth="1"/>
    <col min="12294" max="12294" width="9.7109375" style="455" customWidth="1"/>
    <col min="12295" max="12295" width="9.5703125" style="455" customWidth="1"/>
    <col min="12296" max="12296" width="9.85546875" style="455" customWidth="1"/>
    <col min="12297" max="12297" width="6.5703125" style="455" customWidth="1"/>
    <col min="12298" max="12298" width="6" style="455" bestFit="1" customWidth="1"/>
    <col min="12299" max="12299" width="6.28515625" style="455" customWidth="1"/>
    <col min="12300" max="12300" width="11.7109375" style="455" customWidth="1"/>
    <col min="12301" max="12301" width="0" style="455" hidden="1" customWidth="1"/>
    <col min="12302" max="12302" width="14.5703125" style="455" customWidth="1"/>
    <col min="12303" max="12303" width="11.85546875" style="455" customWidth="1"/>
    <col min="12304" max="12538" width="9.140625" style="455"/>
    <col min="12539" max="12539" width="2.85546875" style="455" customWidth="1"/>
    <col min="12540" max="12540" width="50.7109375" style="455" customWidth="1"/>
    <col min="12541" max="12541" width="9.42578125" style="455" customWidth="1"/>
    <col min="12542" max="12542" width="11.85546875" style="455" customWidth="1"/>
    <col min="12543" max="12543" width="8.42578125" style="455" bestFit="1" customWidth="1"/>
    <col min="12544" max="12546" width="0" style="455" hidden="1" customWidth="1"/>
    <col min="12547" max="12547" width="6" style="455" bestFit="1" customWidth="1"/>
    <col min="12548" max="12548" width="9.5703125" style="455" customWidth="1"/>
    <col min="12549" max="12549" width="9.85546875" style="455" customWidth="1"/>
    <col min="12550" max="12550" width="9.7109375" style="455" customWidth="1"/>
    <col min="12551" max="12551" width="9.5703125" style="455" customWidth="1"/>
    <col min="12552" max="12552" width="9.85546875" style="455" customWidth="1"/>
    <col min="12553" max="12553" width="6.5703125" style="455" customWidth="1"/>
    <col min="12554" max="12554" width="6" style="455" bestFit="1" customWidth="1"/>
    <col min="12555" max="12555" width="6.28515625" style="455" customWidth="1"/>
    <col min="12556" max="12556" width="11.7109375" style="455" customWidth="1"/>
    <col min="12557" max="12557" width="0" style="455" hidden="1" customWidth="1"/>
    <col min="12558" max="12558" width="14.5703125" style="455" customWidth="1"/>
    <col min="12559" max="12559" width="11.85546875" style="455" customWidth="1"/>
    <col min="12560" max="12794" width="9.140625" style="455"/>
    <col min="12795" max="12795" width="2.85546875" style="455" customWidth="1"/>
    <col min="12796" max="12796" width="50.7109375" style="455" customWidth="1"/>
    <col min="12797" max="12797" width="9.42578125" style="455" customWidth="1"/>
    <col min="12798" max="12798" width="11.85546875" style="455" customWidth="1"/>
    <col min="12799" max="12799" width="8.42578125" style="455" bestFit="1" customWidth="1"/>
    <col min="12800" max="12802" width="0" style="455" hidden="1" customWidth="1"/>
    <col min="12803" max="12803" width="6" style="455" bestFit="1" customWidth="1"/>
    <col min="12804" max="12804" width="9.5703125" style="455" customWidth="1"/>
    <col min="12805" max="12805" width="9.85546875" style="455" customWidth="1"/>
    <col min="12806" max="12806" width="9.7109375" style="455" customWidth="1"/>
    <col min="12807" max="12807" width="9.5703125" style="455" customWidth="1"/>
    <col min="12808" max="12808" width="9.85546875" style="455" customWidth="1"/>
    <col min="12809" max="12809" width="6.5703125" style="455" customWidth="1"/>
    <col min="12810" max="12810" width="6" style="455" bestFit="1" customWidth="1"/>
    <col min="12811" max="12811" width="6.28515625" style="455" customWidth="1"/>
    <col min="12812" max="12812" width="11.7109375" style="455" customWidth="1"/>
    <col min="12813" max="12813" width="0" style="455" hidden="1" customWidth="1"/>
    <col min="12814" max="12814" width="14.5703125" style="455" customWidth="1"/>
    <col min="12815" max="12815" width="11.85546875" style="455" customWidth="1"/>
    <col min="12816" max="13050" width="9.140625" style="455"/>
    <col min="13051" max="13051" width="2.85546875" style="455" customWidth="1"/>
    <col min="13052" max="13052" width="50.7109375" style="455" customWidth="1"/>
    <col min="13053" max="13053" width="9.42578125" style="455" customWidth="1"/>
    <col min="13054" max="13054" width="11.85546875" style="455" customWidth="1"/>
    <col min="13055" max="13055" width="8.42578125" style="455" bestFit="1" customWidth="1"/>
    <col min="13056" max="13058" width="0" style="455" hidden="1" customWidth="1"/>
    <col min="13059" max="13059" width="6" style="455" bestFit="1" customWidth="1"/>
    <col min="13060" max="13060" width="9.5703125" style="455" customWidth="1"/>
    <col min="13061" max="13061" width="9.85546875" style="455" customWidth="1"/>
    <col min="13062" max="13062" width="9.7109375" style="455" customWidth="1"/>
    <col min="13063" max="13063" width="9.5703125" style="455" customWidth="1"/>
    <col min="13064" max="13064" width="9.85546875" style="455" customWidth="1"/>
    <col min="13065" max="13065" width="6.5703125" style="455" customWidth="1"/>
    <col min="13066" max="13066" width="6" style="455" bestFit="1" customWidth="1"/>
    <col min="13067" max="13067" width="6.28515625" style="455" customWidth="1"/>
    <col min="13068" max="13068" width="11.7109375" style="455" customWidth="1"/>
    <col min="13069" max="13069" width="0" style="455" hidden="1" customWidth="1"/>
    <col min="13070" max="13070" width="14.5703125" style="455" customWidth="1"/>
    <col min="13071" max="13071" width="11.85546875" style="455" customWidth="1"/>
    <col min="13072" max="13306" width="9.140625" style="455"/>
    <col min="13307" max="13307" width="2.85546875" style="455" customWidth="1"/>
    <col min="13308" max="13308" width="50.7109375" style="455" customWidth="1"/>
    <col min="13309" max="13309" width="9.42578125" style="455" customWidth="1"/>
    <col min="13310" max="13310" width="11.85546875" style="455" customWidth="1"/>
    <col min="13311" max="13311" width="8.42578125" style="455" bestFit="1" customWidth="1"/>
    <col min="13312" max="13314" width="0" style="455" hidden="1" customWidth="1"/>
    <col min="13315" max="13315" width="6" style="455" bestFit="1" customWidth="1"/>
    <col min="13316" max="13316" width="9.5703125" style="455" customWidth="1"/>
    <col min="13317" max="13317" width="9.85546875" style="455" customWidth="1"/>
    <col min="13318" max="13318" width="9.7109375" style="455" customWidth="1"/>
    <col min="13319" max="13319" width="9.5703125" style="455" customWidth="1"/>
    <col min="13320" max="13320" width="9.85546875" style="455" customWidth="1"/>
    <col min="13321" max="13321" width="6.5703125" style="455" customWidth="1"/>
    <col min="13322" max="13322" width="6" style="455" bestFit="1" customWidth="1"/>
    <col min="13323" max="13323" width="6.28515625" style="455" customWidth="1"/>
    <col min="13324" max="13324" width="11.7109375" style="455" customWidth="1"/>
    <col min="13325" max="13325" width="0" style="455" hidden="1" customWidth="1"/>
    <col min="13326" max="13326" width="14.5703125" style="455" customWidth="1"/>
    <col min="13327" max="13327" width="11.85546875" style="455" customWidth="1"/>
    <col min="13328" max="13562" width="9.140625" style="455"/>
    <col min="13563" max="13563" width="2.85546875" style="455" customWidth="1"/>
    <col min="13564" max="13564" width="50.7109375" style="455" customWidth="1"/>
    <col min="13565" max="13565" width="9.42578125" style="455" customWidth="1"/>
    <col min="13566" max="13566" width="11.85546875" style="455" customWidth="1"/>
    <col min="13567" max="13567" width="8.42578125" style="455" bestFit="1" customWidth="1"/>
    <col min="13568" max="13570" width="0" style="455" hidden="1" customWidth="1"/>
    <col min="13571" max="13571" width="6" style="455" bestFit="1" customWidth="1"/>
    <col min="13572" max="13572" width="9.5703125" style="455" customWidth="1"/>
    <col min="13573" max="13573" width="9.85546875" style="455" customWidth="1"/>
    <col min="13574" max="13574" width="9.7109375" style="455" customWidth="1"/>
    <col min="13575" max="13575" width="9.5703125" style="455" customWidth="1"/>
    <col min="13576" max="13576" width="9.85546875" style="455" customWidth="1"/>
    <col min="13577" max="13577" width="6.5703125" style="455" customWidth="1"/>
    <col min="13578" max="13578" width="6" style="455" bestFit="1" customWidth="1"/>
    <col min="13579" max="13579" width="6.28515625" style="455" customWidth="1"/>
    <col min="13580" max="13580" width="11.7109375" style="455" customWidth="1"/>
    <col min="13581" max="13581" width="0" style="455" hidden="1" customWidth="1"/>
    <col min="13582" max="13582" width="14.5703125" style="455" customWidth="1"/>
    <col min="13583" max="13583" width="11.85546875" style="455" customWidth="1"/>
    <col min="13584" max="13818" width="9.140625" style="455"/>
    <col min="13819" max="13819" width="2.85546875" style="455" customWidth="1"/>
    <col min="13820" max="13820" width="50.7109375" style="455" customWidth="1"/>
    <col min="13821" max="13821" width="9.42578125" style="455" customWidth="1"/>
    <col min="13822" max="13822" width="11.85546875" style="455" customWidth="1"/>
    <col min="13823" max="13823" width="8.42578125" style="455" bestFit="1" customWidth="1"/>
    <col min="13824" max="13826" width="0" style="455" hidden="1" customWidth="1"/>
    <col min="13827" max="13827" width="6" style="455" bestFit="1" customWidth="1"/>
    <col min="13828" max="13828" width="9.5703125" style="455" customWidth="1"/>
    <col min="13829" max="13829" width="9.85546875" style="455" customWidth="1"/>
    <col min="13830" max="13830" width="9.7109375" style="455" customWidth="1"/>
    <col min="13831" max="13831" width="9.5703125" style="455" customWidth="1"/>
    <col min="13832" max="13832" width="9.85546875" style="455" customWidth="1"/>
    <col min="13833" max="13833" width="6.5703125" style="455" customWidth="1"/>
    <col min="13834" max="13834" width="6" style="455" bestFit="1" customWidth="1"/>
    <col min="13835" max="13835" width="6.28515625" style="455" customWidth="1"/>
    <col min="13836" max="13836" width="11.7109375" style="455" customWidth="1"/>
    <col min="13837" max="13837" width="0" style="455" hidden="1" customWidth="1"/>
    <col min="13838" max="13838" width="14.5703125" style="455" customWidth="1"/>
    <col min="13839" max="13839" width="11.85546875" style="455" customWidth="1"/>
    <col min="13840" max="14074" width="9.140625" style="455"/>
    <col min="14075" max="14075" width="2.85546875" style="455" customWidth="1"/>
    <col min="14076" max="14076" width="50.7109375" style="455" customWidth="1"/>
    <col min="14077" max="14077" width="9.42578125" style="455" customWidth="1"/>
    <col min="14078" max="14078" width="11.85546875" style="455" customWidth="1"/>
    <col min="14079" max="14079" width="8.42578125" style="455" bestFit="1" customWidth="1"/>
    <col min="14080" max="14082" width="0" style="455" hidden="1" customWidth="1"/>
    <col min="14083" max="14083" width="6" style="455" bestFit="1" customWidth="1"/>
    <col min="14084" max="14084" width="9.5703125" style="455" customWidth="1"/>
    <col min="14085" max="14085" width="9.85546875" style="455" customWidth="1"/>
    <col min="14086" max="14086" width="9.7109375" style="455" customWidth="1"/>
    <col min="14087" max="14087" width="9.5703125" style="455" customWidth="1"/>
    <col min="14088" max="14088" width="9.85546875" style="455" customWidth="1"/>
    <col min="14089" max="14089" width="6.5703125" style="455" customWidth="1"/>
    <col min="14090" max="14090" width="6" style="455" bestFit="1" customWidth="1"/>
    <col min="14091" max="14091" width="6.28515625" style="455" customWidth="1"/>
    <col min="14092" max="14092" width="11.7109375" style="455" customWidth="1"/>
    <col min="14093" max="14093" width="0" style="455" hidden="1" customWidth="1"/>
    <col min="14094" max="14094" width="14.5703125" style="455" customWidth="1"/>
    <col min="14095" max="14095" width="11.85546875" style="455" customWidth="1"/>
    <col min="14096" max="14330" width="9.140625" style="455"/>
    <col min="14331" max="14331" width="2.85546875" style="455" customWidth="1"/>
    <col min="14332" max="14332" width="50.7109375" style="455" customWidth="1"/>
    <col min="14333" max="14333" width="9.42578125" style="455" customWidth="1"/>
    <col min="14334" max="14334" width="11.85546875" style="455" customWidth="1"/>
    <col min="14335" max="14335" width="8.42578125" style="455" bestFit="1" customWidth="1"/>
    <col min="14336" max="14338" width="0" style="455" hidden="1" customWidth="1"/>
    <col min="14339" max="14339" width="6" style="455" bestFit="1" customWidth="1"/>
    <col min="14340" max="14340" width="9.5703125" style="455" customWidth="1"/>
    <col min="14341" max="14341" width="9.85546875" style="455" customWidth="1"/>
    <col min="14342" max="14342" width="9.7109375" style="455" customWidth="1"/>
    <col min="14343" max="14343" width="9.5703125" style="455" customWidth="1"/>
    <col min="14344" max="14344" width="9.85546875" style="455" customWidth="1"/>
    <col min="14345" max="14345" width="6.5703125" style="455" customWidth="1"/>
    <col min="14346" max="14346" width="6" style="455" bestFit="1" customWidth="1"/>
    <col min="14347" max="14347" width="6.28515625" style="455" customWidth="1"/>
    <col min="14348" max="14348" width="11.7109375" style="455" customWidth="1"/>
    <col min="14349" max="14349" width="0" style="455" hidden="1" customWidth="1"/>
    <col min="14350" max="14350" width="14.5703125" style="455" customWidth="1"/>
    <col min="14351" max="14351" width="11.85546875" style="455" customWidth="1"/>
    <col min="14352" max="14586" width="9.140625" style="455"/>
    <col min="14587" max="14587" width="2.85546875" style="455" customWidth="1"/>
    <col min="14588" max="14588" width="50.7109375" style="455" customWidth="1"/>
    <col min="14589" max="14589" width="9.42578125" style="455" customWidth="1"/>
    <col min="14590" max="14590" width="11.85546875" style="455" customWidth="1"/>
    <col min="14591" max="14591" width="8.42578125" style="455" bestFit="1" customWidth="1"/>
    <col min="14592" max="14594" width="0" style="455" hidden="1" customWidth="1"/>
    <col min="14595" max="14595" width="6" style="455" bestFit="1" customWidth="1"/>
    <col min="14596" max="14596" width="9.5703125" style="455" customWidth="1"/>
    <col min="14597" max="14597" width="9.85546875" style="455" customWidth="1"/>
    <col min="14598" max="14598" width="9.7109375" style="455" customWidth="1"/>
    <col min="14599" max="14599" width="9.5703125" style="455" customWidth="1"/>
    <col min="14600" max="14600" width="9.85546875" style="455" customWidth="1"/>
    <col min="14601" max="14601" width="6.5703125" style="455" customWidth="1"/>
    <col min="14602" max="14602" width="6" style="455" bestFit="1" customWidth="1"/>
    <col min="14603" max="14603" width="6.28515625" style="455" customWidth="1"/>
    <col min="14604" max="14604" width="11.7109375" style="455" customWidth="1"/>
    <col min="14605" max="14605" width="0" style="455" hidden="1" customWidth="1"/>
    <col min="14606" max="14606" width="14.5703125" style="455" customWidth="1"/>
    <col min="14607" max="14607" width="11.85546875" style="455" customWidth="1"/>
    <col min="14608" max="14842" width="9.140625" style="455"/>
    <col min="14843" max="14843" width="2.85546875" style="455" customWidth="1"/>
    <col min="14844" max="14844" width="50.7109375" style="455" customWidth="1"/>
    <col min="14845" max="14845" width="9.42578125" style="455" customWidth="1"/>
    <col min="14846" max="14846" width="11.85546875" style="455" customWidth="1"/>
    <col min="14847" max="14847" width="8.42578125" style="455" bestFit="1" customWidth="1"/>
    <col min="14848" max="14850" width="0" style="455" hidden="1" customWidth="1"/>
    <col min="14851" max="14851" width="6" style="455" bestFit="1" customWidth="1"/>
    <col min="14852" max="14852" width="9.5703125" style="455" customWidth="1"/>
    <col min="14853" max="14853" width="9.85546875" style="455" customWidth="1"/>
    <col min="14854" max="14854" width="9.7109375" style="455" customWidth="1"/>
    <col min="14855" max="14855" width="9.5703125" style="455" customWidth="1"/>
    <col min="14856" max="14856" width="9.85546875" style="455" customWidth="1"/>
    <col min="14857" max="14857" width="6.5703125" style="455" customWidth="1"/>
    <col min="14858" max="14858" width="6" style="455" bestFit="1" customWidth="1"/>
    <col min="14859" max="14859" width="6.28515625" style="455" customWidth="1"/>
    <col min="14860" max="14860" width="11.7109375" style="455" customWidth="1"/>
    <col min="14861" max="14861" width="0" style="455" hidden="1" customWidth="1"/>
    <col min="14862" max="14862" width="14.5703125" style="455" customWidth="1"/>
    <col min="14863" max="14863" width="11.85546875" style="455" customWidth="1"/>
    <col min="14864" max="15098" width="9.140625" style="455"/>
    <col min="15099" max="15099" width="2.85546875" style="455" customWidth="1"/>
    <col min="15100" max="15100" width="50.7109375" style="455" customWidth="1"/>
    <col min="15101" max="15101" width="9.42578125" style="455" customWidth="1"/>
    <col min="15102" max="15102" width="11.85546875" style="455" customWidth="1"/>
    <col min="15103" max="15103" width="8.42578125" style="455" bestFit="1" customWidth="1"/>
    <col min="15104" max="15106" width="0" style="455" hidden="1" customWidth="1"/>
    <col min="15107" max="15107" width="6" style="455" bestFit="1" customWidth="1"/>
    <col min="15108" max="15108" width="9.5703125" style="455" customWidth="1"/>
    <col min="15109" max="15109" width="9.85546875" style="455" customWidth="1"/>
    <col min="15110" max="15110" width="9.7109375" style="455" customWidth="1"/>
    <col min="15111" max="15111" width="9.5703125" style="455" customWidth="1"/>
    <col min="15112" max="15112" width="9.85546875" style="455" customWidth="1"/>
    <col min="15113" max="15113" width="6.5703125" style="455" customWidth="1"/>
    <col min="15114" max="15114" width="6" style="455" bestFit="1" customWidth="1"/>
    <col min="15115" max="15115" width="6.28515625" style="455" customWidth="1"/>
    <col min="15116" max="15116" width="11.7109375" style="455" customWidth="1"/>
    <col min="15117" max="15117" width="0" style="455" hidden="1" customWidth="1"/>
    <col min="15118" max="15118" width="14.5703125" style="455" customWidth="1"/>
    <col min="15119" max="15119" width="11.85546875" style="455" customWidth="1"/>
    <col min="15120" max="15354" width="9.140625" style="455"/>
    <col min="15355" max="15355" width="2.85546875" style="455" customWidth="1"/>
    <col min="15356" max="15356" width="50.7109375" style="455" customWidth="1"/>
    <col min="15357" max="15357" width="9.42578125" style="455" customWidth="1"/>
    <col min="15358" max="15358" width="11.85546875" style="455" customWidth="1"/>
    <col min="15359" max="15359" width="8.42578125" style="455" bestFit="1" customWidth="1"/>
    <col min="15360" max="15362" width="0" style="455" hidden="1" customWidth="1"/>
    <col min="15363" max="15363" width="6" style="455" bestFit="1" customWidth="1"/>
    <col min="15364" max="15364" width="9.5703125" style="455" customWidth="1"/>
    <col min="15365" max="15365" width="9.85546875" style="455" customWidth="1"/>
    <col min="15366" max="15366" width="9.7109375" style="455" customWidth="1"/>
    <col min="15367" max="15367" width="9.5703125" style="455" customWidth="1"/>
    <col min="15368" max="15368" width="9.85546875" style="455" customWidth="1"/>
    <col min="15369" max="15369" width="6.5703125" style="455" customWidth="1"/>
    <col min="15370" max="15370" width="6" style="455" bestFit="1" customWidth="1"/>
    <col min="15371" max="15371" width="6.28515625" style="455" customWidth="1"/>
    <col min="15372" max="15372" width="11.7109375" style="455" customWidth="1"/>
    <col min="15373" max="15373" width="0" style="455" hidden="1" customWidth="1"/>
    <col min="15374" max="15374" width="14.5703125" style="455" customWidth="1"/>
    <col min="15375" max="15375" width="11.85546875" style="455" customWidth="1"/>
    <col min="15376" max="15610" width="9.140625" style="455"/>
    <col min="15611" max="15611" width="2.85546875" style="455" customWidth="1"/>
    <col min="15612" max="15612" width="50.7109375" style="455" customWidth="1"/>
    <col min="15613" max="15613" width="9.42578125" style="455" customWidth="1"/>
    <col min="15614" max="15614" width="11.85546875" style="455" customWidth="1"/>
    <col min="15615" max="15615" width="8.42578125" style="455" bestFit="1" customWidth="1"/>
    <col min="15616" max="15618" width="0" style="455" hidden="1" customWidth="1"/>
    <col min="15619" max="15619" width="6" style="455" bestFit="1" customWidth="1"/>
    <col min="15620" max="15620" width="9.5703125" style="455" customWidth="1"/>
    <col min="15621" max="15621" width="9.85546875" style="455" customWidth="1"/>
    <col min="15622" max="15622" width="9.7109375" style="455" customWidth="1"/>
    <col min="15623" max="15623" width="9.5703125" style="455" customWidth="1"/>
    <col min="15624" max="15624" width="9.85546875" style="455" customWidth="1"/>
    <col min="15625" max="15625" width="6.5703125" style="455" customWidth="1"/>
    <col min="15626" max="15626" width="6" style="455" bestFit="1" customWidth="1"/>
    <col min="15627" max="15627" width="6.28515625" style="455" customWidth="1"/>
    <col min="15628" max="15628" width="11.7109375" style="455" customWidth="1"/>
    <col min="15629" max="15629" width="0" style="455" hidden="1" customWidth="1"/>
    <col min="15630" max="15630" width="14.5703125" style="455" customWidth="1"/>
    <col min="15631" max="15631" width="11.85546875" style="455" customWidth="1"/>
    <col min="15632" max="15866" width="9.140625" style="455"/>
    <col min="15867" max="15867" width="2.85546875" style="455" customWidth="1"/>
    <col min="15868" max="15868" width="50.7109375" style="455" customWidth="1"/>
    <col min="15869" max="15869" width="9.42578125" style="455" customWidth="1"/>
    <col min="15870" max="15870" width="11.85546875" style="455" customWidth="1"/>
    <col min="15871" max="15871" width="8.42578125" style="455" bestFit="1" customWidth="1"/>
    <col min="15872" max="15874" width="0" style="455" hidden="1" customWidth="1"/>
    <col min="15875" max="15875" width="6" style="455" bestFit="1" customWidth="1"/>
    <col min="15876" max="15876" width="9.5703125" style="455" customWidth="1"/>
    <col min="15877" max="15877" width="9.85546875" style="455" customWidth="1"/>
    <col min="15878" max="15878" width="9.7109375" style="455" customWidth="1"/>
    <col min="15879" max="15879" width="9.5703125" style="455" customWidth="1"/>
    <col min="15880" max="15880" width="9.85546875" style="455" customWidth="1"/>
    <col min="15881" max="15881" width="6.5703125" style="455" customWidth="1"/>
    <col min="15882" max="15882" width="6" style="455" bestFit="1" customWidth="1"/>
    <col min="15883" max="15883" width="6.28515625" style="455" customWidth="1"/>
    <col min="15884" max="15884" width="11.7109375" style="455" customWidth="1"/>
    <col min="15885" max="15885" width="0" style="455" hidden="1" customWidth="1"/>
    <col min="15886" max="15886" width="14.5703125" style="455" customWidth="1"/>
    <col min="15887" max="15887" width="11.85546875" style="455" customWidth="1"/>
    <col min="15888" max="16122" width="9.140625" style="455"/>
    <col min="16123" max="16123" width="2.85546875" style="455" customWidth="1"/>
    <col min="16124" max="16124" width="50.7109375" style="455" customWidth="1"/>
    <col min="16125" max="16125" width="9.42578125" style="455" customWidth="1"/>
    <col min="16126" max="16126" width="11.85546875" style="455" customWidth="1"/>
    <col min="16127" max="16127" width="8.42578125" style="455" bestFit="1" customWidth="1"/>
    <col min="16128" max="16130" width="0" style="455" hidden="1" customWidth="1"/>
    <col min="16131" max="16131" width="6" style="455" bestFit="1" customWidth="1"/>
    <col min="16132" max="16132" width="9.5703125" style="455" customWidth="1"/>
    <col min="16133" max="16133" width="9.85546875" style="455" customWidth="1"/>
    <col min="16134" max="16134" width="9.7109375" style="455" customWidth="1"/>
    <col min="16135" max="16135" width="9.5703125" style="455" customWidth="1"/>
    <col min="16136" max="16136" width="9.85546875" style="455" customWidth="1"/>
    <col min="16137" max="16137" width="6.5703125" style="455" customWidth="1"/>
    <col min="16138" max="16138" width="6" style="455" bestFit="1" customWidth="1"/>
    <col min="16139" max="16139" width="6.28515625" style="455" customWidth="1"/>
    <col min="16140" max="16140" width="11.7109375" style="455" customWidth="1"/>
    <col min="16141" max="16141" width="0" style="455" hidden="1" customWidth="1"/>
    <col min="16142" max="16142" width="14.5703125" style="455" customWidth="1"/>
    <col min="16143" max="16143" width="11.85546875" style="455" customWidth="1"/>
    <col min="16144" max="16384" width="9.140625" style="455"/>
  </cols>
  <sheetData>
    <row r="1" spans="1:15" ht="15" customHeight="1">
      <c r="G1" s="590" t="s">
        <v>373</v>
      </c>
      <c r="M1" s="441"/>
      <c r="N1" s="442"/>
    </row>
    <row r="2" spans="1:15" ht="2.25" customHeight="1">
      <c r="M2" s="441"/>
      <c r="N2" s="442"/>
    </row>
    <row r="3" spans="1:15" ht="6.75" customHeight="1">
      <c r="M3" s="441"/>
      <c r="N3" s="442"/>
    </row>
    <row r="4" spans="1:15" ht="36" customHeight="1" thickBot="1">
      <c r="A4" s="4131" t="s">
        <v>166</v>
      </c>
      <c r="B4" s="4131"/>
      <c r="C4" s="4131"/>
      <c r="D4" s="4131"/>
      <c r="E4" s="4131"/>
      <c r="F4" s="4131"/>
      <c r="G4" s="4131"/>
      <c r="H4" s="4131"/>
      <c r="I4" s="4131"/>
      <c r="J4" s="4131"/>
      <c r="K4" s="4131"/>
      <c r="L4" s="4131"/>
      <c r="M4" s="4131"/>
      <c r="N4" s="4131"/>
    </row>
    <row r="5" spans="1:15" ht="62.25" customHeight="1">
      <c r="A5" s="591"/>
      <c r="B5" s="4132" t="s">
        <v>66</v>
      </c>
      <c r="C5" s="3500" t="s">
        <v>62</v>
      </c>
      <c r="D5" s="3815" t="s">
        <v>107</v>
      </c>
      <c r="E5" s="2693" t="s">
        <v>216</v>
      </c>
      <c r="F5" s="2691" t="s">
        <v>542</v>
      </c>
      <c r="G5" s="3521" t="s">
        <v>544</v>
      </c>
      <c r="H5" s="3522"/>
      <c r="I5" s="3522"/>
      <c r="J5" s="3522"/>
      <c r="K5" s="3523"/>
      <c r="L5" s="3658">
        <v>2024</v>
      </c>
      <c r="M5" s="3819" t="s">
        <v>540</v>
      </c>
      <c r="N5" s="3817" t="s">
        <v>64</v>
      </c>
    </row>
    <row r="6" spans="1:15" ht="18.75" customHeight="1" thickBot="1">
      <c r="A6" s="592"/>
      <c r="B6" s="4133"/>
      <c r="C6" s="4134"/>
      <c r="D6" s="3816"/>
      <c r="E6" s="1108" t="s">
        <v>541</v>
      </c>
      <c r="F6" s="2678" t="s">
        <v>5</v>
      </c>
      <c r="G6" s="2678" t="s">
        <v>169</v>
      </c>
      <c r="H6" s="2678" t="s">
        <v>170</v>
      </c>
      <c r="I6" s="2678" t="s">
        <v>210</v>
      </c>
      <c r="J6" s="2678" t="s">
        <v>211</v>
      </c>
      <c r="K6" s="2678" t="s">
        <v>209</v>
      </c>
      <c r="L6" s="3659"/>
      <c r="M6" s="4135"/>
      <c r="N6" s="3818"/>
    </row>
    <row r="7" spans="1:15" ht="15" customHeight="1" thickBot="1">
      <c r="A7" s="767">
        <v>1</v>
      </c>
      <c r="B7" s="2681">
        <v>2</v>
      </c>
      <c r="C7" s="1112" t="s">
        <v>108</v>
      </c>
      <c r="D7" s="1112" t="s">
        <v>109</v>
      </c>
      <c r="E7" s="769">
        <v>5</v>
      </c>
      <c r="F7" s="769">
        <v>6</v>
      </c>
      <c r="G7" s="769">
        <v>7</v>
      </c>
      <c r="H7" s="769">
        <v>8</v>
      </c>
      <c r="I7" s="769">
        <v>9</v>
      </c>
      <c r="J7" s="769">
        <v>10</v>
      </c>
      <c r="K7" s="769">
        <v>11</v>
      </c>
      <c r="L7" s="769"/>
      <c r="M7" s="770">
        <v>12</v>
      </c>
      <c r="N7" s="771">
        <v>13</v>
      </c>
    </row>
    <row r="8" spans="1:15" s="594" customFormat="1" ht="15.75" customHeight="1">
      <c r="A8" s="450"/>
      <c r="B8" s="204" t="s">
        <v>67</v>
      </c>
      <c r="C8" s="181"/>
      <c r="D8" s="722">
        <f>+D9+D10</f>
        <v>54820691</v>
      </c>
      <c r="E8" s="182">
        <f t="shared" ref="E8" si="0">+E9+E10</f>
        <v>1153170</v>
      </c>
      <c r="F8" s="182">
        <f t="shared" ref="F8:M8" si="1">+F9+F10</f>
        <v>815800</v>
      </c>
      <c r="G8" s="182">
        <f t="shared" si="1"/>
        <v>15810155</v>
      </c>
      <c r="H8" s="182">
        <f t="shared" si="1"/>
        <v>30446183</v>
      </c>
      <c r="I8" s="182">
        <f t="shared" si="1"/>
        <v>6595383</v>
      </c>
      <c r="J8" s="182">
        <f t="shared" si="1"/>
        <v>0</v>
      </c>
      <c r="K8" s="182">
        <f t="shared" si="1"/>
        <v>0</v>
      </c>
      <c r="L8" s="182">
        <f t="shared" ref="L8" si="2">+L9+L10</f>
        <v>0</v>
      </c>
      <c r="M8" s="124">
        <f t="shared" si="1"/>
        <v>52851721</v>
      </c>
      <c r="N8" s="565"/>
      <c r="O8" s="593"/>
    </row>
    <row r="9" spans="1:15" s="594" customFormat="1" ht="13.5" customHeight="1">
      <c r="A9" s="450"/>
      <c r="B9" s="196" t="s">
        <v>68</v>
      </c>
      <c r="C9" s="184"/>
      <c r="D9" s="717">
        <f t="shared" ref="D9:H9" si="3">+D27+D36+D45</f>
        <v>2250056</v>
      </c>
      <c r="E9" s="185">
        <f t="shared" si="3"/>
        <v>1148835</v>
      </c>
      <c r="F9" s="185">
        <f t="shared" si="3"/>
        <v>815800</v>
      </c>
      <c r="G9" s="185">
        <f t="shared" si="3"/>
        <v>152857</v>
      </c>
      <c r="H9" s="185">
        <f t="shared" si="3"/>
        <v>132564</v>
      </c>
      <c r="I9" s="185">
        <f>+I27+I36+I46</f>
        <v>0</v>
      </c>
      <c r="J9" s="185">
        <f>+J27+J36+J46</f>
        <v>0</v>
      </c>
      <c r="K9" s="185">
        <f>+K27+K36+K46</f>
        <v>0</v>
      </c>
      <c r="L9" s="185">
        <f>+L27+L36+L45</f>
        <v>0</v>
      </c>
      <c r="M9" s="443">
        <f>SUM(G9:K9)</f>
        <v>285421</v>
      </c>
      <c r="N9" s="565"/>
    </row>
    <row r="10" spans="1:15" s="594" customFormat="1" ht="13.5" customHeight="1" thickBot="1">
      <c r="A10" s="450"/>
      <c r="B10" s="595" t="s">
        <v>8</v>
      </c>
      <c r="C10" s="596"/>
      <c r="D10" s="723">
        <f t="shared" ref="D10:K10" si="4">D74+D63</f>
        <v>52570635</v>
      </c>
      <c r="E10" s="597">
        <f t="shared" si="4"/>
        <v>4335</v>
      </c>
      <c r="F10" s="597">
        <f t="shared" si="4"/>
        <v>0</v>
      </c>
      <c r="G10" s="597">
        <f t="shared" si="4"/>
        <v>15657298</v>
      </c>
      <c r="H10" s="597">
        <f t="shared" si="4"/>
        <v>30313619</v>
      </c>
      <c r="I10" s="597">
        <f t="shared" si="4"/>
        <v>6595383</v>
      </c>
      <c r="J10" s="597">
        <f t="shared" si="4"/>
        <v>0</v>
      </c>
      <c r="K10" s="597">
        <f t="shared" si="4"/>
        <v>0</v>
      </c>
      <c r="L10" s="597">
        <f>L74+L63</f>
        <v>0</v>
      </c>
      <c r="M10" s="126">
        <f>SUM(G10:K10)</f>
        <v>52566300</v>
      </c>
      <c r="N10" s="565"/>
    </row>
    <row r="11" spans="1:15" ht="12">
      <c r="A11" s="450"/>
      <c r="B11" s="77" t="s">
        <v>9</v>
      </c>
      <c r="C11" s="75"/>
      <c r="D11" s="95">
        <f>D12+D16</f>
        <v>54820691</v>
      </c>
      <c r="E11" s="95">
        <f t="shared" ref="E11" si="5">E12+E16</f>
        <v>1153170</v>
      </c>
      <c r="F11" s="95">
        <f t="shared" ref="F11:K11" si="6">F12+F16</f>
        <v>815800</v>
      </c>
      <c r="G11" s="95">
        <f t="shared" si="6"/>
        <v>15810155</v>
      </c>
      <c r="H11" s="95">
        <f t="shared" si="6"/>
        <v>30446183</v>
      </c>
      <c r="I11" s="95">
        <f t="shared" si="6"/>
        <v>6595383</v>
      </c>
      <c r="J11" s="95">
        <f t="shared" si="6"/>
        <v>0</v>
      </c>
      <c r="K11" s="95">
        <f t="shared" si="6"/>
        <v>0</v>
      </c>
      <c r="L11" s="95">
        <f>L12+L16</f>
        <v>0</v>
      </c>
      <c r="M11" s="382">
        <f>+M12+M16</f>
        <v>52851721</v>
      </c>
      <c r="N11" s="567"/>
    </row>
    <row r="12" spans="1:15" ht="13.5" customHeight="1">
      <c r="A12" s="450"/>
      <c r="B12" s="598" t="s">
        <v>22</v>
      </c>
      <c r="C12" s="599"/>
      <c r="D12" s="600">
        <f>+D13+D14+D15</f>
        <v>8262967</v>
      </c>
      <c r="E12" s="600">
        <f t="shared" ref="E12:K12" si="7">+E13+E14+E15</f>
        <v>187122</v>
      </c>
      <c r="F12" s="600">
        <f t="shared" si="7"/>
        <v>132888</v>
      </c>
      <c r="G12" s="600">
        <f t="shared" si="7"/>
        <v>2379058</v>
      </c>
      <c r="H12" s="600">
        <f t="shared" si="7"/>
        <v>4574592</v>
      </c>
      <c r="I12" s="600">
        <f t="shared" si="7"/>
        <v>989307</v>
      </c>
      <c r="J12" s="600">
        <f t="shared" si="7"/>
        <v>0</v>
      </c>
      <c r="K12" s="600">
        <f t="shared" si="7"/>
        <v>0</v>
      </c>
      <c r="L12" s="600">
        <f>+L13+L14+L15</f>
        <v>0</v>
      </c>
      <c r="M12" s="601">
        <f>+M13+M14+M15</f>
        <v>7942957</v>
      </c>
      <c r="N12" s="568"/>
    </row>
    <row r="13" spans="1:15" ht="12">
      <c r="A13" s="450"/>
      <c r="B13" s="602" t="s">
        <v>11</v>
      </c>
      <c r="C13" s="603"/>
      <c r="D13" s="452">
        <f>D29+D38+D51+D76+D88</f>
        <v>2906940</v>
      </c>
      <c r="E13" s="452">
        <f t="shared" ref="E13:K13" si="8">E29+E38+E51+E76+E88</f>
        <v>150434</v>
      </c>
      <c r="F13" s="452">
        <f t="shared" si="8"/>
        <v>107651</v>
      </c>
      <c r="G13" s="452">
        <f t="shared" si="8"/>
        <v>794591</v>
      </c>
      <c r="H13" s="452">
        <f t="shared" si="8"/>
        <v>1524495</v>
      </c>
      <c r="I13" s="452">
        <f t="shared" si="8"/>
        <v>329769</v>
      </c>
      <c r="J13" s="452">
        <f t="shared" si="8"/>
        <v>0</v>
      </c>
      <c r="K13" s="452">
        <f t="shared" si="8"/>
        <v>0</v>
      </c>
      <c r="L13" s="452">
        <f>L29+L38+L51+L76+L88</f>
        <v>0</v>
      </c>
      <c r="M13" s="438">
        <f>SUM(G13:K13)</f>
        <v>2648855</v>
      </c>
      <c r="N13" s="568"/>
    </row>
    <row r="14" spans="1:15" ht="12">
      <c r="A14" s="450"/>
      <c r="B14" s="602" t="s">
        <v>12</v>
      </c>
      <c r="C14" s="603"/>
      <c r="D14" s="604">
        <f>+D47+D65</f>
        <v>99397</v>
      </c>
      <c r="E14" s="604">
        <f>+E47+E65</f>
        <v>36688</v>
      </c>
      <c r="F14" s="604">
        <f t="shared" ref="F14:H14" si="9">+F47+F65</f>
        <v>25237</v>
      </c>
      <c r="G14" s="604">
        <f t="shared" si="9"/>
        <v>18737</v>
      </c>
      <c r="H14" s="604">
        <f t="shared" si="9"/>
        <v>18735</v>
      </c>
      <c r="I14" s="604">
        <f t="shared" ref="I14:K14" si="10">+I47</f>
        <v>0</v>
      </c>
      <c r="J14" s="604">
        <f t="shared" si="10"/>
        <v>0</v>
      </c>
      <c r="K14" s="604">
        <f t="shared" si="10"/>
        <v>0</v>
      </c>
      <c r="L14" s="604">
        <f>+L47+L65</f>
        <v>0</v>
      </c>
      <c r="M14" s="438">
        <f>SUM(G14:K14)</f>
        <v>37472</v>
      </c>
      <c r="N14" s="568"/>
    </row>
    <row r="15" spans="1:15" ht="12">
      <c r="A15" s="450"/>
      <c r="B15" s="602" t="s">
        <v>16</v>
      </c>
      <c r="C15" s="2391"/>
      <c r="D15" s="2392">
        <f>D77+D89</f>
        <v>5256630</v>
      </c>
      <c r="E15" s="2392">
        <f t="shared" ref="E15:K15" si="11">E77+E89</f>
        <v>0</v>
      </c>
      <c r="F15" s="2392">
        <f t="shared" si="11"/>
        <v>0</v>
      </c>
      <c r="G15" s="2392">
        <f t="shared" si="11"/>
        <v>1565730</v>
      </c>
      <c r="H15" s="2392">
        <f t="shared" si="11"/>
        <v>3031362</v>
      </c>
      <c r="I15" s="2392">
        <f t="shared" si="11"/>
        <v>659538</v>
      </c>
      <c r="J15" s="2392">
        <f t="shared" si="11"/>
        <v>0</v>
      </c>
      <c r="K15" s="2392">
        <f t="shared" si="11"/>
        <v>0</v>
      </c>
      <c r="L15" s="2392">
        <f>L77+L89</f>
        <v>0</v>
      </c>
      <c r="M15" s="438">
        <f>SUM(G15:K15)</f>
        <v>5256630</v>
      </c>
      <c r="N15" s="568"/>
    </row>
    <row r="16" spans="1:15" ht="13.5" customHeight="1">
      <c r="A16" s="450"/>
      <c r="B16" s="605" t="s">
        <v>17</v>
      </c>
      <c r="C16" s="606"/>
      <c r="D16" s="600">
        <f>+D17+D18</f>
        <v>46557724</v>
      </c>
      <c r="E16" s="600">
        <f t="shared" ref="E16" si="12">+E17+E18</f>
        <v>966048</v>
      </c>
      <c r="F16" s="600">
        <f t="shared" ref="F16:K16" si="13">+F17+F18</f>
        <v>682912</v>
      </c>
      <c r="G16" s="600">
        <f t="shared" si="13"/>
        <v>13431097</v>
      </c>
      <c r="H16" s="600">
        <f t="shared" si="13"/>
        <v>25871591</v>
      </c>
      <c r="I16" s="600">
        <f t="shared" si="13"/>
        <v>5606076</v>
      </c>
      <c r="J16" s="600">
        <f t="shared" si="13"/>
        <v>0</v>
      </c>
      <c r="K16" s="600">
        <f t="shared" si="13"/>
        <v>0</v>
      </c>
      <c r="L16" s="600">
        <f>+L17+L18</f>
        <v>0</v>
      </c>
      <c r="M16" s="437">
        <f>+M17+M18</f>
        <v>44908764</v>
      </c>
      <c r="N16" s="568"/>
    </row>
    <row r="17" spans="1:16" ht="13.5" hidden="1" customHeight="1">
      <c r="A17" s="450"/>
      <c r="B17" s="602" t="s">
        <v>19</v>
      </c>
      <c r="C17" s="607"/>
      <c r="D17" s="444"/>
      <c r="E17" s="444"/>
      <c r="F17" s="444"/>
      <c r="G17" s="444"/>
      <c r="H17" s="444"/>
      <c r="I17" s="444"/>
      <c r="J17" s="444"/>
      <c r="K17" s="444"/>
      <c r="L17" s="444"/>
      <c r="M17" s="438">
        <f>SUM(F17:K17)</f>
        <v>0</v>
      </c>
      <c r="N17" s="568"/>
    </row>
    <row r="18" spans="1:16" ht="12.75" customHeight="1">
      <c r="A18" s="450"/>
      <c r="B18" s="445" t="s">
        <v>18</v>
      </c>
      <c r="C18" s="607"/>
      <c r="D18" s="444">
        <f>+D31+D40+D53+D67+D79+D91</f>
        <v>46557724</v>
      </c>
      <c r="E18" s="444">
        <f t="shared" ref="E18:K18" si="14">+E31+E40+E53+E67+E79+E91</f>
        <v>966048</v>
      </c>
      <c r="F18" s="444">
        <f t="shared" si="14"/>
        <v>682912</v>
      </c>
      <c r="G18" s="444">
        <f t="shared" si="14"/>
        <v>13431097</v>
      </c>
      <c r="H18" s="444">
        <f t="shared" si="14"/>
        <v>25871591</v>
      </c>
      <c r="I18" s="444">
        <f t="shared" si="14"/>
        <v>5606076</v>
      </c>
      <c r="J18" s="444">
        <f t="shared" si="14"/>
        <v>0</v>
      </c>
      <c r="K18" s="444">
        <f t="shared" si="14"/>
        <v>0</v>
      </c>
      <c r="L18" s="444">
        <f>+L31+L40+L53+L67+L79+L91</f>
        <v>0</v>
      </c>
      <c r="M18" s="438">
        <f>SUM(G18:K18)</f>
        <v>44908764</v>
      </c>
      <c r="N18" s="568"/>
    </row>
    <row r="19" spans="1:16" ht="12">
      <c r="A19" s="450"/>
      <c r="B19" s="68" t="s">
        <v>20</v>
      </c>
      <c r="C19" s="389"/>
      <c r="D19" s="446">
        <f>D23+D20</f>
        <v>51913751</v>
      </c>
      <c r="E19" s="446">
        <f t="shared" ref="E19:K19" si="15">E23+E20</f>
        <v>482232</v>
      </c>
      <c r="F19" s="446">
        <f t="shared" si="15"/>
        <v>705374</v>
      </c>
      <c r="G19" s="446">
        <f t="shared" si="15"/>
        <v>15501447</v>
      </c>
      <c r="H19" s="446">
        <f t="shared" si="15"/>
        <v>28892880</v>
      </c>
      <c r="I19" s="446">
        <f t="shared" si="15"/>
        <v>6331818</v>
      </c>
      <c r="J19" s="446">
        <f t="shared" si="15"/>
        <v>0</v>
      </c>
      <c r="K19" s="446">
        <f t="shared" si="15"/>
        <v>0</v>
      </c>
      <c r="L19" s="446">
        <f>L23+L20</f>
        <v>0</v>
      </c>
      <c r="M19" s="4104" t="s">
        <v>52</v>
      </c>
      <c r="N19" s="453"/>
      <c r="O19" s="454"/>
    </row>
    <row r="20" spans="1:16" ht="12">
      <c r="A20" s="450"/>
      <c r="B20" s="447" t="s">
        <v>11</v>
      </c>
      <c r="C20" s="448"/>
      <c r="D20" s="449">
        <f>+D21+D22</f>
        <v>5356027</v>
      </c>
      <c r="E20" s="449">
        <f t="shared" ref="E20:K20" si="16">+E21+E22</f>
        <v>23112</v>
      </c>
      <c r="F20" s="449">
        <f t="shared" si="16"/>
        <v>19886</v>
      </c>
      <c r="G20" s="449">
        <f t="shared" si="16"/>
        <v>1589343</v>
      </c>
      <c r="H20" s="449">
        <f t="shared" si="16"/>
        <v>3050097</v>
      </c>
      <c r="I20" s="449">
        <f t="shared" si="16"/>
        <v>673589</v>
      </c>
      <c r="J20" s="449">
        <f t="shared" si="16"/>
        <v>0</v>
      </c>
      <c r="K20" s="449">
        <f t="shared" si="16"/>
        <v>0</v>
      </c>
      <c r="L20" s="449">
        <f>+L21+L22</f>
        <v>0</v>
      </c>
      <c r="M20" s="3427"/>
      <c r="N20" s="453"/>
      <c r="O20" s="454"/>
    </row>
    <row r="21" spans="1:16" ht="12">
      <c r="A21" s="450"/>
      <c r="B21" s="451" t="s">
        <v>12</v>
      </c>
      <c r="C21" s="448"/>
      <c r="D21" s="452">
        <f>+D59+D70</f>
        <v>99397</v>
      </c>
      <c r="E21" s="452">
        <f>+E59+E70</f>
        <v>23112</v>
      </c>
      <c r="F21" s="452">
        <f>+F59+F70</f>
        <v>19886</v>
      </c>
      <c r="G21" s="452">
        <f t="shared" ref="G21:I21" si="17">+G59+G70</f>
        <v>23613</v>
      </c>
      <c r="H21" s="452">
        <f t="shared" si="17"/>
        <v>18735</v>
      </c>
      <c r="I21" s="452">
        <f t="shared" si="17"/>
        <v>14051</v>
      </c>
      <c r="J21" s="452">
        <f t="shared" ref="J21:K21" si="18">+J59</f>
        <v>0</v>
      </c>
      <c r="K21" s="452">
        <f t="shared" si="18"/>
        <v>0</v>
      </c>
      <c r="L21" s="452">
        <f>+L59+L70</f>
        <v>0</v>
      </c>
      <c r="M21" s="3427"/>
      <c r="N21" s="453"/>
      <c r="O21" s="454">
        <f>D14-D21</f>
        <v>0</v>
      </c>
    </row>
    <row r="22" spans="1:16" ht="12">
      <c r="A22" s="450"/>
      <c r="B22" s="602" t="s">
        <v>16</v>
      </c>
      <c r="C22" s="457"/>
      <c r="D22" s="452">
        <f>D82+D94</f>
        <v>5256630</v>
      </c>
      <c r="E22" s="452">
        <f t="shared" ref="E22:K22" si="19">E82+E94</f>
        <v>0</v>
      </c>
      <c r="F22" s="452">
        <f t="shared" si="19"/>
        <v>0</v>
      </c>
      <c r="G22" s="452">
        <f t="shared" si="19"/>
        <v>1565730</v>
      </c>
      <c r="H22" s="452">
        <f t="shared" si="19"/>
        <v>3031362</v>
      </c>
      <c r="I22" s="452">
        <f t="shared" si="19"/>
        <v>659538</v>
      </c>
      <c r="J22" s="452">
        <f t="shared" si="19"/>
        <v>0</v>
      </c>
      <c r="K22" s="452">
        <f t="shared" si="19"/>
        <v>0</v>
      </c>
      <c r="L22" s="452">
        <f>L82+L94</f>
        <v>0</v>
      </c>
      <c r="M22" s="3427"/>
      <c r="N22" s="453"/>
      <c r="O22" s="454"/>
    </row>
    <row r="23" spans="1:16" ht="12">
      <c r="A23" s="456"/>
      <c r="B23" s="157" t="s">
        <v>17</v>
      </c>
      <c r="C23" s="457"/>
      <c r="D23" s="458">
        <f>+D24+D25</f>
        <v>46557724</v>
      </c>
      <c r="E23" s="458">
        <f t="shared" ref="E23" si="20">+E24+E25</f>
        <v>459120</v>
      </c>
      <c r="F23" s="458">
        <f t="shared" ref="F23:K23" si="21">+F24+F25</f>
        <v>685488</v>
      </c>
      <c r="G23" s="458">
        <f t="shared" si="21"/>
        <v>13912104</v>
      </c>
      <c r="H23" s="458">
        <f t="shared" si="21"/>
        <v>25842783</v>
      </c>
      <c r="I23" s="458">
        <f t="shared" si="21"/>
        <v>5658229</v>
      </c>
      <c r="J23" s="458">
        <f t="shared" si="21"/>
        <v>0</v>
      </c>
      <c r="K23" s="458">
        <f t="shared" si="21"/>
        <v>0</v>
      </c>
      <c r="L23" s="458">
        <f>+L24+L25</f>
        <v>0</v>
      </c>
      <c r="M23" s="3427"/>
      <c r="N23" s="453"/>
    </row>
    <row r="24" spans="1:16" ht="15" hidden="1" customHeight="1">
      <c r="A24" s="456"/>
      <c r="B24" s="451" t="s">
        <v>19</v>
      </c>
      <c r="C24" s="448"/>
      <c r="D24" s="452"/>
      <c r="E24" s="452"/>
      <c r="F24" s="452"/>
      <c r="G24" s="452"/>
      <c r="H24" s="452"/>
      <c r="I24" s="452"/>
      <c r="J24" s="452"/>
      <c r="K24" s="452"/>
      <c r="L24" s="452"/>
      <c r="M24" s="3427"/>
      <c r="N24" s="453"/>
      <c r="O24" s="454"/>
    </row>
    <row r="25" spans="1:16" ht="12.75" thickBot="1">
      <c r="A25" s="459"/>
      <c r="B25" s="460" t="s">
        <v>18</v>
      </c>
      <c r="C25" s="608"/>
      <c r="D25" s="452">
        <f>+D34+D43+D61+D72+D84+D96</f>
        <v>46557724</v>
      </c>
      <c r="E25" s="452">
        <f t="shared" ref="E25:K25" si="22">+E34+E43+E61+E72+E84+E96</f>
        <v>459120</v>
      </c>
      <c r="F25" s="452">
        <f t="shared" si="22"/>
        <v>685488</v>
      </c>
      <c r="G25" s="452">
        <f t="shared" si="22"/>
        <v>13912104</v>
      </c>
      <c r="H25" s="452">
        <f t="shared" si="22"/>
        <v>25842783</v>
      </c>
      <c r="I25" s="452">
        <f t="shared" si="22"/>
        <v>5658229</v>
      </c>
      <c r="J25" s="452">
        <f t="shared" si="22"/>
        <v>0</v>
      </c>
      <c r="K25" s="452">
        <f t="shared" si="22"/>
        <v>0</v>
      </c>
      <c r="L25" s="452">
        <f>+L34+L43+L61+L72+L84+L96</f>
        <v>0</v>
      </c>
      <c r="M25" s="3428"/>
      <c r="N25" s="609"/>
      <c r="O25" s="454">
        <f>D18-D25</f>
        <v>0</v>
      </c>
    </row>
    <row r="26" spans="1:16" ht="26.25" customHeight="1">
      <c r="A26" s="4105" t="s">
        <v>54</v>
      </c>
      <c r="B26" s="461" t="s">
        <v>432</v>
      </c>
      <c r="C26" s="462" t="s">
        <v>99</v>
      </c>
      <c r="D26" s="610"/>
      <c r="E26" s="2247"/>
      <c r="F26" s="2248"/>
      <c r="G26" s="2248"/>
      <c r="H26" s="2248"/>
      <c r="I26" s="2248"/>
      <c r="J26" s="2248"/>
      <c r="K26" s="2249"/>
      <c r="L26" s="2248"/>
      <c r="M26" s="611"/>
      <c r="N26" s="4098" t="s">
        <v>273</v>
      </c>
    </row>
    <row r="27" spans="1:16" ht="12">
      <c r="A27" s="4106"/>
      <c r="B27" s="377" t="s">
        <v>9</v>
      </c>
      <c r="C27" s="389"/>
      <c r="D27" s="383">
        <f t="shared" ref="D27" si="23">+D28+D30</f>
        <v>960682</v>
      </c>
      <c r="E27" s="383">
        <f t="shared" ref="E27" si="24">+E28+E30</f>
        <v>517481</v>
      </c>
      <c r="F27" s="383">
        <f t="shared" ref="F27:G27" si="25">+F28+F30</f>
        <v>408671</v>
      </c>
      <c r="G27" s="383">
        <f t="shared" si="25"/>
        <v>34530</v>
      </c>
      <c r="H27" s="383"/>
      <c r="I27" s="383"/>
      <c r="J27" s="383"/>
      <c r="K27" s="383"/>
      <c r="L27" s="383">
        <f>+L28+L30</f>
        <v>0</v>
      </c>
      <c r="M27" s="382">
        <f>+M28+M30</f>
        <v>34530</v>
      </c>
      <c r="N27" s="4099"/>
      <c r="O27" s="454"/>
      <c r="P27" s="454"/>
    </row>
    <row r="28" spans="1:16" ht="13.5" customHeight="1">
      <c r="A28" s="4106"/>
      <c r="B28" s="612" t="s">
        <v>22</v>
      </c>
      <c r="C28" s="3400" t="s">
        <v>221</v>
      </c>
      <c r="D28" s="463">
        <f>+D29</f>
        <v>144099</v>
      </c>
      <c r="E28" s="1859">
        <f t="shared" ref="E28:G28" si="26">+E29</f>
        <v>77620</v>
      </c>
      <c r="F28" s="1860">
        <f t="shared" si="26"/>
        <v>61298</v>
      </c>
      <c r="G28" s="1860">
        <f t="shared" si="26"/>
        <v>5181</v>
      </c>
      <c r="H28" s="1860"/>
      <c r="I28" s="1860"/>
      <c r="J28" s="1860"/>
      <c r="K28" s="1860"/>
      <c r="L28" s="1860">
        <f>+L29</f>
        <v>0</v>
      </c>
      <c r="M28" s="1861">
        <f>+M29</f>
        <v>5181</v>
      </c>
      <c r="N28" s="4100"/>
    </row>
    <row r="29" spans="1:16" ht="13.5" customHeight="1">
      <c r="A29" s="4106"/>
      <c r="B29" s="613" t="s">
        <v>11</v>
      </c>
      <c r="C29" s="4102"/>
      <c r="D29" s="211">
        <f>E29+L29+F29+G29+H29+I29+J29+K29</f>
        <v>144099</v>
      </c>
      <c r="E29" s="239">
        <f>27744+49876</f>
        <v>77620</v>
      </c>
      <c r="F29" s="380">
        <f>53201+8098-1</f>
        <v>61298</v>
      </c>
      <c r="G29" s="380">
        <f>5126+55</f>
        <v>5181</v>
      </c>
      <c r="H29" s="380"/>
      <c r="I29" s="380"/>
      <c r="J29" s="380"/>
      <c r="K29" s="380"/>
      <c r="L29" s="380"/>
      <c r="M29" s="438">
        <f>SUM(G29:K29)</f>
        <v>5181</v>
      </c>
      <c r="N29" s="4100"/>
    </row>
    <row r="30" spans="1:16" ht="13.5" customHeight="1">
      <c r="A30" s="4106"/>
      <c r="B30" s="614" t="s">
        <v>17</v>
      </c>
      <c r="C30" s="4102"/>
      <c r="D30" s="464">
        <f t="shared" ref="D30:M30" si="27">+D31</f>
        <v>816583</v>
      </c>
      <c r="E30" s="463">
        <f t="shared" si="27"/>
        <v>439861</v>
      </c>
      <c r="F30" s="465">
        <f>+F31</f>
        <v>347373</v>
      </c>
      <c r="G30" s="465">
        <f>+G31</f>
        <v>29349</v>
      </c>
      <c r="H30" s="465"/>
      <c r="I30" s="465"/>
      <c r="J30" s="465"/>
      <c r="K30" s="465"/>
      <c r="L30" s="465">
        <f>+L31</f>
        <v>0</v>
      </c>
      <c r="M30" s="437">
        <f t="shared" si="27"/>
        <v>29349</v>
      </c>
      <c r="N30" s="4100"/>
    </row>
    <row r="31" spans="1:16" ht="13.5" customHeight="1">
      <c r="A31" s="4106"/>
      <c r="B31" s="506" t="s">
        <v>18</v>
      </c>
      <c r="C31" s="4102"/>
      <c r="D31" s="211">
        <f>E31+L31+F31+G31+H31+I31+J31+K31</f>
        <v>816583</v>
      </c>
      <c r="E31" s="239">
        <f>157219+282642</f>
        <v>439861</v>
      </c>
      <c r="F31" s="1862">
        <f>301472+45901</f>
        <v>347373</v>
      </c>
      <c r="G31" s="439">
        <f>29045+304</f>
        <v>29349</v>
      </c>
      <c r="H31" s="439"/>
      <c r="I31" s="439"/>
      <c r="J31" s="439"/>
      <c r="K31" s="439"/>
      <c r="L31" s="1862"/>
      <c r="M31" s="438">
        <f>SUM(G31:K31)</f>
        <v>29349</v>
      </c>
      <c r="N31" s="4100"/>
    </row>
    <row r="32" spans="1:16" ht="12">
      <c r="A32" s="4106"/>
      <c r="B32" s="377" t="s">
        <v>20</v>
      </c>
      <c r="C32" s="389"/>
      <c r="D32" s="616">
        <f>+D33</f>
        <v>816583</v>
      </c>
      <c r="E32" s="616">
        <f t="shared" ref="E32:H33" si="28">+E33</f>
        <v>183266</v>
      </c>
      <c r="F32" s="616">
        <f t="shared" si="28"/>
        <v>328844</v>
      </c>
      <c r="G32" s="616">
        <f t="shared" si="28"/>
        <v>294473</v>
      </c>
      <c r="H32" s="616">
        <f t="shared" si="28"/>
        <v>10000</v>
      </c>
      <c r="I32" s="383"/>
      <c r="J32" s="383"/>
      <c r="K32" s="383"/>
      <c r="L32" s="616">
        <f>+L33</f>
        <v>0</v>
      </c>
      <c r="M32" s="4104" t="s">
        <v>52</v>
      </c>
      <c r="N32" s="4100"/>
    </row>
    <row r="33" spans="1:18" ht="13.5" customHeight="1">
      <c r="A33" s="4106"/>
      <c r="B33" s="614" t="s">
        <v>17</v>
      </c>
      <c r="C33" s="3526" t="s">
        <v>221</v>
      </c>
      <c r="D33" s="464">
        <f>+D34</f>
        <v>816583</v>
      </c>
      <c r="E33" s="464">
        <f t="shared" si="28"/>
        <v>183266</v>
      </c>
      <c r="F33" s="464">
        <f t="shared" si="28"/>
        <v>328844</v>
      </c>
      <c r="G33" s="464">
        <f t="shared" si="28"/>
        <v>294473</v>
      </c>
      <c r="H33" s="464">
        <f t="shared" si="28"/>
        <v>10000</v>
      </c>
      <c r="I33" s="464"/>
      <c r="J33" s="464"/>
      <c r="K33" s="464"/>
      <c r="L33" s="464">
        <f>+L34</f>
        <v>0</v>
      </c>
      <c r="M33" s="3427"/>
      <c r="N33" s="4100"/>
      <c r="O33" s="454">
        <f>+D34-D31</f>
        <v>0</v>
      </c>
    </row>
    <row r="34" spans="1:18" ht="12.75" thickBot="1">
      <c r="A34" s="4107"/>
      <c r="B34" s="506" t="s">
        <v>18</v>
      </c>
      <c r="C34" s="4103"/>
      <c r="D34" s="211">
        <f>E34+L34+F34+G34+H34+I34+J34+K34</f>
        <v>816583</v>
      </c>
      <c r="E34" s="1863">
        <f>159401+23865</f>
        <v>183266</v>
      </c>
      <c r="F34" s="1863">
        <v>328844</v>
      </c>
      <c r="G34" s="1863">
        <f>301472-6999</f>
        <v>294473</v>
      </c>
      <c r="H34" s="1863">
        <f>29045-2182+3-16866</f>
        <v>10000</v>
      </c>
      <c r="I34" s="1863"/>
      <c r="J34" s="1863"/>
      <c r="K34" s="1863"/>
      <c r="L34" s="1863"/>
      <c r="M34" s="3428"/>
      <c r="N34" s="4101"/>
    </row>
    <row r="35" spans="1:18" ht="35.25" customHeight="1">
      <c r="A35" s="4105" t="s">
        <v>55</v>
      </c>
      <c r="B35" s="461" t="s">
        <v>433</v>
      </c>
      <c r="C35" s="462" t="s">
        <v>99</v>
      </c>
      <c r="D35" s="610"/>
      <c r="E35" s="2247"/>
      <c r="F35" s="2248"/>
      <c r="G35" s="2248"/>
      <c r="H35" s="2248"/>
      <c r="I35" s="2248"/>
      <c r="J35" s="2248"/>
      <c r="K35" s="2249"/>
      <c r="L35" s="2248"/>
      <c r="M35" s="1864"/>
      <c r="N35" s="4098" t="s">
        <v>273</v>
      </c>
    </row>
    <row r="36" spans="1:18" ht="12.75" customHeight="1">
      <c r="A36" s="4106"/>
      <c r="B36" s="377" t="s">
        <v>9</v>
      </c>
      <c r="C36" s="389"/>
      <c r="D36" s="616">
        <f t="shared" ref="D36:H36" si="29">+D37+D39</f>
        <v>895017</v>
      </c>
      <c r="E36" s="383">
        <f t="shared" ref="E36" si="30">+E37+E39</f>
        <v>488579</v>
      </c>
      <c r="F36" s="383">
        <f t="shared" si="29"/>
        <v>305828</v>
      </c>
      <c r="G36" s="383">
        <f t="shared" si="29"/>
        <v>43185</v>
      </c>
      <c r="H36" s="383">
        <f t="shared" si="29"/>
        <v>57425</v>
      </c>
      <c r="I36" s="383"/>
      <c r="J36" s="383"/>
      <c r="K36" s="383"/>
      <c r="L36" s="383">
        <f>+L37+L39</f>
        <v>0</v>
      </c>
      <c r="M36" s="382">
        <f>+M37+M39</f>
        <v>100610</v>
      </c>
      <c r="N36" s="4099"/>
      <c r="O36" s="454"/>
      <c r="P36" s="454"/>
      <c r="Q36" s="454"/>
      <c r="R36" s="454"/>
    </row>
    <row r="37" spans="1:18" ht="12" customHeight="1">
      <c r="A37" s="4106"/>
      <c r="B37" s="612" t="s">
        <v>22</v>
      </c>
      <c r="C37" s="3400" t="s">
        <v>221</v>
      </c>
      <c r="D37" s="617">
        <f>+D38</f>
        <v>133424</v>
      </c>
      <c r="E37" s="466">
        <f t="shared" ref="E37:H37" si="31">+E38</f>
        <v>72458</v>
      </c>
      <c r="F37" s="1865">
        <f t="shared" si="31"/>
        <v>46007</v>
      </c>
      <c r="G37" s="1865">
        <f t="shared" si="31"/>
        <v>6345</v>
      </c>
      <c r="H37" s="1865">
        <f t="shared" si="31"/>
        <v>8614</v>
      </c>
      <c r="I37" s="1866"/>
      <c r="J37" s="1866"/>
      <c r="K37" s="1866"/>
      <c r="L37" s="1865">
        <f>+L38</f>
        <v>0</v>
      </c>
      <c r="M37" s="437">
        <f>+M38</f>
        <v>14959</v>
      </c>
      <c r="N37" s="4100"/>
    </row>
    <row r="38" spans="1:18" ht="12">
      <c r="A38" s="4106"/>
      <c r="B38" s="613" t="s">
        <v>11</v>
      </c>
      <c r="C38" s="4102"/>
      <c r="D38" s="211">
        <f>E38+L38+F38+G38+H38+I38+J38+K38</f>
        <v>133424</v>
      </c>
      <c r="E38" s="239">
        <f>23893+48565</f>
        <v>72458</v>
      </c>
      <c r="F38" s="380">
        <f>43837+2170</f>
        <v>46007</v>
      </c>
      <c r="G38" s="380">
        <f>6231+114</f>
        <v>6345</v>
      </c>
      <c r="H38" s="380">
        <v>8614</v>
      </c>
      <c r="I38" s="380"/>
      <c r="J38" s="380"/>
      <c r="K38" s="380"/>
      <c r="L38" s="380"/>
      <c r="M38" s="438">
        <f>SUM(G38:K38)</f>
        <v>14959</v>
      </c>
      <c r="N38" s="4100"/>
    </row>
    <row r="39" spans="1:18" ht="12">
      <c r="A39" s="4106"/>
      <c r="B39" s="614" t="s">
        <v>17</v>
      </c>
      <c r="C39" s="4102"/>
      <c r="D39" s="467">
        <f t="shared" ref="D39:M39" si="32">+D40</f>
        <v>761593</v>
      </c>
      <c r="E39" s="463">
        <f t="shared" si="32"/>
        <v>416121</v>
      </c>
      <c r="F39" s="1859">
        <f t="shared" si="32"/>
        <v>259821</v>
      </c>
      <c r="G39" s="1859">
        <f t="shared" si="32"/>
        <v>36840</v>
      </c>
      <c r="H39" s="1859">
        <f t="shared" si="32"/>
        <v>48811</v>
      </c>
      <c r="I39" s="1867"/>
      <c r="J39" s="1867"/>
      <c r="K39" s="1867"/>
      <c r="L39" s="1859">
        <f>+L40</f>
        <v>0</v>
      </c>
      <c r="M39" s="437">
        <f t="shared" si="32"/>
        <v>85651</v>
      </c>
      <c r="N39" s="4100"/>
    </row>
    <row r="40" spans="1:18" ht="12">
      <c r="A40" s="4106"/>
      <c r="B40" s="506" t="s">
        <v>18</v>
      </c>
      <c r="C40" s="4102"/>
      <c r="D40" s="211">
        <f>E40+L40+F40+G40+H40+I40+J40+K40</f>
        <v>761593</v>
      </c>
      <c r="E40" s="239">
        <f>140919+275202</f>
        <v>416121</v>
      </c>
      <c r="F40" s="439">
        <f>248412+11409</f>
        <v>259821</v>
      </c>
      <c r="G40" s="439">
        <f>35307+1533</f>
        <v>36840</v>
      </c>
      <c r="H40" s="439">
        <v>48811</v>
      </c>
      <c r="I40" s="439"/>
      <c r="J40" s="439"/>
      <c r="K40" s="439"/>
      <c r="L40" s="439"/>
      <c r="M40" s="438">
        <f>SUM(G40:K40)</f>
        <v>85651</v>
      </c>
      <c r="N40" s="4100"/>
    </row>
    <row r="41" spans="1:18" ht="12">
      <c r="A41" s="4106"/>
      <c r="B41" s="375" t="s">
        <v>20</v>
      </c>
      <c r="C41" s="389"/>
      <c r="D41" s="616">
        <f>+D42</f>
        <v>761593</v>
      </c>
      <c r="E41" s="616">
        <f t="shared" ref="E41:H41" si="33">+E42</f>
        <v>206519</v>
      </c>
      <c r="F41" s="616">
        <f t="shared" si="33"/>
        <v>296984</v>
      </c>
      <c r="G41" s="616">
        <f t="shared" si="33"/>
        <v>238090</v>
      </c>
      <c r="H41" s="616">
        <f t="shared" si="33"/>
        <v>10000</v>
      </c>
      <c r="I41" s="616">
        <f t="shared" ref="E41:I42" si="34">+I42</f>
        <v>10000</v>
      </c>
      <c r="J41" s="383"/>
      <c r="K41" s="383"/>
      <c r="L41" s="616">
        <f>+L42</f>
        <v>0</v>
      </c>
      <c r="M41" s="4104" t="s">
        <v>52</v>
      </c>
      <c r="N41" s="4100"/>
    </row>
    <row r="42" spans="1:18" ht="12" customHeight="1">
      <c r="A42" s="4106"/>
      <c r="B42" s="614" t="s">
        <v>17</v>
      </c>
      <c r="C42" s="3526" t="s">
        <v>221</v>
      </c>
      <c r="D42" s="467">
        <f>+D43</f>
        <v>761593</v>
      </c>
      <c r="E42" s="464">
        <f t="shared" si="34"/>
        <v>206519</v>
      </c>
      <c r="F42" s="464">
        <f t="shared" si="34"/>
        <v>296984</v>
      </c>
      <c r="G42" s="464">
        <f t="shared" si="34"/>
        <v>238090</v>
      </c>
      <c r="H42" s="464">
        <f t="shared" si="34"/>
        <v>10000</v>
      </c>
      <c r="I42" s="464">
        <f t="shared" si="34"/>
        <v>10000</v>
      </c>
      <c r="J42" s="464"/>
      <c r="K42" s="464"/>
      <c r="L42" s="464">
        <f>+L43</f>
        <v>0</v>
      </c>
      <c r="M42" s="3427"/>
      <c r="N42" s="4100"/>
    </row>
    <row r="43" spans="1:18" ht="13.5" thickBot="1">
      <c r="A43" s="4107"/>
      <c r="B43" s="506" t="s">
        <v>18</v>
      </c>
      <c r="C43" s="4103"/>
      <c r="D43" s="211">
        <f>E43+L43+F43+G43+H43+I43+J43+K43</f>
        <v>761593</v>
      </c>
      <c r="E43" s="373">
        <f>133538+72981</f>
        <v>206519</v>
      </c>
      <c r="F43" s="373">
        <v>296984</v>
      </c>
      <c r="G43" s="373">
        <f>248412-10322</f>
        <v>238090</v>
      </c>
      <c r="H43" s="373">
        <f>35307-25307</f>
        <v>10000</v>
      </c>
      <c r="I43" s="373">
        <f>48811-1459-37352</f>
        <v>10000</v>
      </c>
      <c r="J43" s="1868"/>
      <c r="K43" s="1868"/>
      <c r="L43" s="373"/>
      <c r="M43" s="3428"/>
      <c r="N43" s="4101"/>
      <c r="O43" s="454">
        <f>+D43-D40</f>
        <v>0</v>
      </c>
    </row>
    <row r="44" spans="1:18" s="2699" customFormat="1" ht="23.25" customHeight="1">
      <c r="A44" s="4115" t="s">
        <v>56</v>
      </c>
      <c r="B44" s="61" t="s">
        <v>359</v>
      </c>
      <c r="C44" s="48" t="s">
        <v>99</v>
      </c>
      <c r="D44" s="619"/>
      <c r="E44" s="2245"/>
      <c r="F44" s="2246"/>
      <c r="G44" s="2246"/>
      <c r="H44" s="2246"/>
      <c r="I44" s="2221"/>
      <c r="J44" s="2221"/>
      <c r="K44" s="34"/>
      <c r="L44" s="2246"/>
      <c r="M44" s="619"/>
      <c r="N44" s="3405" t="s">
        <v>257</v>
      </c>
    </row>
    <row r="45" spans="1:18" s="2699" customFormat="1" ht="12.75">
      <c r="A45" s="4116"/>
      <c r="B45" s="1869" t="s">
        <v>9</v>
      </c>
      <c r="C45" s="1169"/>
      <c r="D45" s="1870">
        <f>+D46+D52</f>
        <v>394357</v>
      </c>
      <c r="E45" s="1870">
        <f t="shared" ref="E45" si="35">+E46+E52</f>
        <v>142775</v>
      </c>
      <c r="F45" s="1220">
        <f t="shared" ref="F45:H45" si="36">+F46+F52</f>
        <v>101301</v>
      </c>
      <c r="G45" s="1220">
        <f t="shared" si="36"/>
        <v>75142</v>
      </c>
      <c r="H45" s="1220">
        <f t="shared" si="36"/>
        <v>75139</v>
      </c>
      <c r="I45" s="1220"/>
      <c r="J45" s="1220"/>
      <c r="K45" s="1220"/>
      <c r="L45" s="1220">
        <f>+L46+L52</f>
        <v>0</v>
      </c>
      <c r="M45" s="1871">
        <f>+M46+M52</f>
        <v>150281</v>
      </c>
      <c r="N45" s="3406"/>
      <c r="O45" s="620"/>
    </row>
    <row r="46" spans="1:18" s="2699" customFormat="1" ht="12.75">
      <c r="A46" s="4116"/>
      <c r="B46" s="612" t="s">
        <v>22</v>
      </c>
      <c r="C46" s="3448" t="s">
        <v>138</v>
      </c>
      <c r="D46" s="1872">
        <f>+D47+D51</f>
        <v>99415</v>
      </c>
      <c r="E46" s="1872">
        <f>+E47+E51</f>
        <v>35960</v>
      </c>
      <c r="F46" s="1873">
        <f t="shared" ref="F46:H46" si="37">+F47+F51</f>
        <v>25583</v>
      </c>
      <c r="G46" s="1873">
        <f t="shared" si="37"/>
        <v>18937</v>
      </c>
      <c r="H46" s="1873">
        <f t="shared" si="37"/>
        <v>18935</v>
      </c>
      <c r="I46" s="1872"/>
      <c r="J46" s="1872"/>
      <c r="K46" s="1872"/>
      <c r="L46" s="1873">
        <f>+L47+L51</f>
        <v>0</v>
      </c>
      <c r="M46" s="1874">
        <f>+M47+M51</f>
        <v>37872</v>
      </c>
      <c r="N46" s="3406"/>
    </row>
    <row r="47" spans="1:18" s="2699" customFormat="1" ht="10.5" customHeight="1">
      <c r="A47" s="4116"/>
      <c r="B47" s="1875" t="s">
        <v>12</v>
      </c>
      <c r="C47" s="3383"/>
      <c r="D47" s="1113">
        <f>E47+L47+F47+G47+H47+I47+J47+K47</f>
        <v>98313</v>
      </c>
      <c r="E47" s="1147">
        <f>+E49+E50</f>
        <v>35604</v>
      </c>
      <c r="F47" s="1876">
        <f t="shared" ref="F47:H47" si="38">+F49+F50</f>
        <v>25237</v>
      </c>
      <c r="G47" s="1876">
        <f t="shared" si="38"/>
        <v>18737</v>
      </c>
      <c r="H47" s="1876">
        <f t="shared" si="38"/>
        <v>18735</v>
      </c>
      <c r="I47" s="1147"/>
      <c r="J47" s="1147"/>
      <c r="K47" s="1147"/>
      <c r="L47" s="1876">
        <f>+L49+L50</f>
        <v>0</v>
      </c>
      <c r="M47" s="438">
        <f>SUM(G47:K47)</f>
        <v>37472</v>
      </c>
      <c r="N47" s="3406"/>
      <c r="O47" s="620">
        <f>D47-D59</f>
        <v>0</v>
      </c>
    </row>
    <row r="48" spans="1:18" s="2699" customFormat="1" ht="12.75" hidden="1">
      <c r="A48" s="4116"/>
      <c r="B48" s="1877" t="s">
        <v>139</v>
      </c>
      <c r="C48" s="3383"/>
      <c r="D48" s="1113">
        <f>E48+L48+F48+G48+H48+I48+J48+K48</f>
        <v>0</v>
      </c>
      <c r="E48" s="1147"/>
      <c r="F48" s="1186"/>
      <c r="G48" s="1186"/>
      <c r="H48" s="1186"/>
      <c r="I48" s="1186"/>
      <c r="J48" s="1186"/>
      <c r="K48" s="1186"/>
      <c r="L48" s="1186"/>
      <c r="M48" s="1187"/>
      <c r="N48" s="3406"/>
      <c r="O48" s="620"/>
    </row>
    <row r="49" spans="1:16" s="2699" customFormat="1" ht="12.75" hidden="1">
      <c r="A49" s="4116"/>
      <c r="B49" s="1877" t="s">
        <v>245</v>
      </c>
      <c r="C49" s="3383"/>
      <c r="D49" s="1113">
        <f>E49+L49+F49+G49+H49+I49+J49+K49</f>
        <v>59778</v>
      </c>
      <c r="E49" s="1147">
        <f>15556+8649</f>
        <v>24205</v>
      </c>
      <c r="F49" s="1878">
        <f>8056+671+1501+214+1413</f>
        <v>11855</v>
      </c>
      <c r="G49" s="1878">
        <f>8057+671+1501+214+1417</f>
        <v>11860</v>
      </c>
      <c r="H49" s="1878">
        <f>8057+671+1501+214+1415</f>
        <v>11858</v>
      </c>
      <c r="I49" s="1186"/>
      <c r="J49" s="1186"/>
      <c r="K49" s="1186"/>
      <c r="L49" s="1878"/>
      <c r="M49" s="1879">
        <f>SUM(F49:H49)</f>
        <v>35573</v>
      </c>
      <c r="N49" s="3406"/>
      <c r="O49" s="620"/>
    </row>
    <row r="50" spans="1:16" s="2699" customFormat="1" ht="12.75" hidden="1">
      <c r="A50" s="4116"/>
      <c r="B50" s="1877" t="s">
        <v>100</v>
      </c>
      <c r="C50" s="3383"/>
      <c r="D50" s="1113">
        <f>E50+L50+F50+G50+H50+I50+J50+K50</f>
        <v>38535</v>
      </c>
      <c r="E50" s="1147">
        <f>6510-111+5000</f>
        <v>11399</v>
      </c>
      <c r="F50" s="1878">
        <f>512+979+979+1250+2407+750+6505</f>
        <v>13382</v>
      </c>
      <c r="G50" s="1878">
        <f>512+979+979+1250+2407+750</f>
        <v>6877</v>
      </c>
      <c r="H50" s="1878">
        <f>512+979+979+1250+2407+750</f>
        <v>6877</v>
      </c>
      <c r="I50" s="1186"/>
      <c r="J50" s="1186"/>
      <c r="K50" s="1186"/>
      <c r="L50" s="1880"/>
      <c r="M50" s="1879">
        <f>SUM(F50:H50)</f>
        <v>27136</v>
      </c>
      <c r="N50" s="3406"/>
      <c r="O50" s="620"/>
    </row>
    <row r="51" spans="1:16" s="2699" customFormat="1" ht="12.75">
      <c r="A51" s="4116"/>
      <c r="B51" s="1247" t="s">
        <v>11</v>
      </c>
      <c r="C51" s="3383"/>
      <c r="D51" s="1113">
        <f>E51+L51+F51+G51+H51+I51+J51+K51</f>
        <v>1102</v>
      </c>
      <c r="E51" s="1147">
        <f>222+134</f>
        <v>356</v>
      </c>
      <c r="F51" s="1186">
        <f>200+146</f>
        <v>346</v>
      </c>
      <c r="G51" s="1186">
        <v>200</v>
      </c>
      <c r="H51" s="1186">
        <v>200</v>
      </c>
      <c r="I51" s="1186"/>
      <c r="J51" s="1186"/>
      <c r="K51" s="1186"/>
      <c r="L51" s="1186"/>
      <c r="M51" s="438">
        <f>SUM(G51:K51)</f>
        <v>400</v>
      </c>
      <c r="N51" s="3406"/>
    </row>
    <row r="52" spans="1:16" s="2699" customFormat="1" ht="13.5" customHeight="1">
      <c r="A52" s="4116"/>
      <c r="B52" s="1844" t="s">
        <v>17</v>
      </c>
      <c r="C52" s="3383"/>
      <c r="D52" s="1173">
        <f>+D53</f>
        <v>294942</v>
      </c>
      <c r="E52" s="1173">
        <f t="shared" ref="E52" si="39">+E53</f>
        <v>106815</v>
      </c>
      <c r="F52" s="1179">
        <f t="shared" ref="F52:H52" si="40">+F53</f>
        <v>75718</v>
      </c>
      <c r="G52" s="1179">
        <f t="shared" si="40"/>
        <v>56205</v>
      </c>
      <c r="H52" s="1179">
        <f t="shared" si="40"/>
        <v>56204</v>
      </c>
      <c r="I52" s="1179"/>
      <c r="J52" s="1179"/>
      <c r="K52" s="1179"/>
      <c r="L52" s="1179">
        <f>+L53</f>
        <v>0</v>
      </c>
      <c r="M52" s="1248">
        <f>+M53</f>
        <v>112409</v>
      </c>
      <c r="N52" s="3406"/>
    </row>
    <row r="53" spans="1:16" s="2699" customFormat="1" ht="12.75">
      <c r="A53" s="4116"/>
      <c r="B53" s="1881" t="s">
        <v>18</v>
      </c>
      <c r="C53" s="3384"/>
      <c r="D53" s="1113">
        <f>E53+L53+F53+G53+H53+I53+J53+K53</f>
        <v>294942</v>
      </c>
      <c r="E53" s="1147">
        <f>+E55+E56</f>
        <v>106815</v>
      </c>
      <c r="F53" s="1882">
        <f>SUM(F55:F56)</f>
        <v>75718</v>
      </c>
      <c r="G53" s="1882">
        <f>SUM(G55:G56)</f>
        <v>56205</v>
      </c>
      <c r="H53" s="1882">
        <f>SUM(H55:H56)</f>
        <v>56204</v>
      </c>
      <c r="I53" s="1176"/>
      <c r="J53" s="1176"/>
      <c r="K53" s="1176"/>
      <c r="L53" s="1882">
        <f>SUM(L55:L56)</f>
        <v>0</v>
      </c>
      <c r="M53" s="438">
        <f>SUM(G53:K53)</f>
        <v>112409</v>
      </c>
      <c r="N53" s="3406"/>
      <c r="O53" s="620">
        <f>D53-D61</f>
        <v>0</v>
      </c>
    </row>
    <row r="54" spans="1:16" s="1886" customFormat="1" ht="13.5" hidden="1" customHeight="1">
      <c r="A54" s="4116"/>
      <c r="B54" s="1877" t="s">
        <v>139</v>
      </c>
      <c r="C54" s="1883"/>
      <c r="D54" s="1249"/>
      <c r="E54" s="1250"/>
      <c r="F54" s="1250"/>
      <c r="G54" s="1250"/>
      <c r="H54" s="1250"/>
      <c r="I54" s="1250"/>
      <c r="J54" s="1250"/>
      <c r="K54" s="1250"/>
      <c r="L54" s="1250"/>
      <c r="M54" s="1884"/>
      <c r="N54" s="3406"/>
      <c r="O54" s="1885"/>
    </row>
    <row r="55" spans="1:16" s="1886" customFormat="1" ht="13.5" hidden="1" customHeight="1">
      <c r="A55" s="4116"/>
      <c r="B55" s="1877" t="s">
        <v>245</v>
      </c>
      <c r="C55" s="1883"/>
      <c r="D55" s="1113">
        <f>E55+L55+F55+G55+H55+I55+J55+K55</f>
        <v>179344</v>
      </c>
      <c r="E55" s="1250">
        <f>46667+25948</f>
        <v>72615</v>
      </c>
      <c r="F55" s="1250">
        <f>24173+2014+4502+642+4245</f>
        <v>35576</v>
      </c>
      <c r="G55" s="1250">
        <f>24172+2014+4502+642+4247</f>
        <v>35577</v>
      </c>
      <c r="H55" s="1250">
        <f>24172+2014+4502+642+4246</f>
        <v>35576</v>
      </c>
      <c r="I55" s="1250"/>
      <c r="J55" s="1250"/>
      <c r="K55" s="1250"/>
      <c r="L55" s="1250"/>
      <c r="M55" s="1879">
        <f>SUM(F55:H55)</f>
        <v>106729</v>
      </c>
      <c r="N55" s="3406"/>
      <c r="O55" s="1885"/>
    </row>
    <row r="56" spans="1:16" s="1886" customFormat="1" ht="13.5" hidden="1" customHeight="1">
      <c r="A56" s="4116"/>
      <c r="B56" s="1877" t="s">
        <v>100</v>
      </c>
      <c r="C56" s="1883"/>
      <c r="D56" s="1113">
        <f>E56+L56+F56+G56+H56+I56+J56+K56</f>
        <v>115598</v>
      </c>
      <c r="E56" s="1250">
        <f>19532-333+15001</f>
        <v>34200</v>
      </c>
      <c r="F56" s="1250">
        <f>1537+2936+2936+3750+7219+2250+19514</f>
        <v>40142</v>
      </c>
      <c r="G56" s="1250">
        <f>1537+2936+2936+3750+7219+2250</f>
        <v>20628</v>
      </c>
      <c r="H56" s="1250">
        <f>1537+2936+2936+3750+7219+2250</f>
        <v>20628</v>
      </c>
      <c r="I56" s="1250"/>
      <c r="J56" s="1250"/>
      <c r="K56" s="1250"/>
      <c r="L56" s="1250"/>
      <c r="M56" s="1879">
        <f>SUM(F56:H56)</f>
        <v>81398</v>
      </c>
      <c r="N56" s="3406"/>
      <c r="O56" s="1885"/>
    </row>
    <row r="57" spans="1:16" s="2699" customFormat="1" ht="12.75">
      <c r="A57" s="4116"/>
      <c r="B57" s="375" t="s">
        <v>20</v>
      </c>
      <c r="C57" s="1169"/>
      <c r="D57" s="1170">
        <f>+D58+D60</f>
        <v>393255</v>
      </c>
      <c r="E57" s="1170">
        <f t="shared" ref="E57" si="41">+E58+E60</f>
        <v>92447</v>
      </c>
      <c r="F57" s="1170">
        <f t="shared" ref="F57:I57" si="42">+F58+F60</f>
        <v>75211</v>
      </c>
      <c r="G57" s="1170">
        <f t="shared" si="42"/>
        <v>94451</v>
      </c>
      <c r="H57" s="1170">
        <f t="shared" si="42"/>
        <v>74942</v>
      </c>
      <c r="I57" s="1170">
        <f t="shared" si="42"/>
        <v>56204</v>
      </c>
      <c r="J57" s="1220"/>
      <c r="K57" s="1220"/>
      <c r="L57" s="1170">
        <f>+L58+L60</f>
        <v>0</v>
      </c>
      <c r="M57" s="3429" t="s">
        <v>52</v>
      </c>
      <c r="N57" s="3406"/>
    </row>
    <row r="58" spans="1:16" s="2699" customFormat="1" ht="13.5" customHeight="1">
      <c r="A58" s="4116"/>
      <c r="B58" s="500" t="s">
        <v>22</v>
      </c>
      <c r="C58" s="3465" t="s">
        <v>138</v>
      </c>
      <c r="D58" s="1887">
        <f>+D59</f>
        <v>98313</v>
      </c>
      <c r="E58" s="1888">
        <f t="shared" ref="E58:I58" si="43">+E59</f>
        <v>23112</v>
      </c>
      <c r="F58" s="1888">
        <f t="shared" si="43"/>
        <v>18802</v>
      </c>
      <c r="G58" s="1888">
        <f t="shared" si="43"/>
        <v>23613</v>
      </c>
      <c r="H58" s="1888">
        <f t="shared" si="43"/>
        <v>18735</v>
      </c>
      <c r="I58" s="1888">
        <f t="shared" si="43"/>
        <v>14051</v>
      </c>
      <c r="J58" s="1888"/>
      <c r="K58" s="1888"/>
      <c r="L58" s="1888">
        <f>+L59</f>
        <v>0</v>
      </c>
      <c r="M58" s="3427"/>
      <c r="N58" s="3406"/>
    </row>
    <row r="59" spans="1:16" s="2699" customFormat="1" ht="12.75">
      <c r="A59" s="4116"/>
      <c r="B59" s="1875" t="s">
        <v>12</v>
      </c>
      <c r="C59" s="3527"/>
      <c r="D59" s="1152">
        <f>E59+L59+F59+G59+H59+I59+J59+K59</f>
        <v>98313</v>
      </c>
      <c r="E59" s="1147">
        <f>28409-5297</f>
        <v>23112</v>
      </c>
      <c r="F59" s="1147">
        <f>17319+6040-1889-2668</f>
        <v>18802</v>
      </c>
      <c r="G59" s="1147">
        <f>17319+6294</f>
        <v>23613</v>
      </c>
      <c r="H59" s="1147">
        <f>17320+1415</f>
        <v>18735</v>
      </c>
      <c r="I59" s="1147">
        <f>12990+1061</f>
        <v>14051</v>
      </c>
      <c r="J59" s="1889"/>
      <c r="K59" s="1889"/>
      <c r="L59" s="1147"/>
      <c r="M59" s="3427"/>
      <c r="N59" s="3406"/>
    </row>
    <row r="60" spans="1:16" s="2699" customFormat="1" ht="12.75">
      <c r="A60" s="4116"/>
      <c r="B60" s="1890" t="s">
        <v>17</v>
      </c>
      <c r="C60" s="3527"/>
      <c r="D60" s="1891">
        <f t="shared" ref="D60:I60" si="44">+D61</f>
        <v>294942</v>
      </c>
      <c r="E60" s="1891">
        <f t="shared" si="44"/>
        <v>69335</v>
      </c>
      <c r="F60" s="1891">
        <f t="shared" si="44"/>
        <v>56409</v>
      </c>
      <c r="G60" s="1891">
        <f t="shared" si="44"/>
        <v>70838</v>
      </c>
      <c r="H60" s="1891">
        <f t="shared" si="44"/>
        <v>56207</v>
      </c>
      <c r="I60" s="1891">
        <f t="shared" si="44"/>
        <v>42153</v>
      </c>
      <c r="J60" s="1892"/>
      <c r="K60" s="1892"/>
      <c r="L60" s="1891">
        <f>+L61</f>
        <v>0</v>
      </c>
      <c r="M60" s="3427"/>
      <c r="N60" s="3406"/>
    </row>
    <row r="61" spans="1:16" s="2699" customFormat="1" ht="13.5" thickBot="1">
      <c r="A61" s="4117"/>
      <c r="B61" s="621" t="s">
        <v>18</v>
      </c>
      <c r="C61" s="3765"/>
      <c r="D61" s="718">
        <f>E61+L61+F61+G61+H61+I61+J61+K61</f>
        <v>294942</v>
      </c>
      <c r="E61" s="373">
        <f>85229-15894</f>
        <v>69335</v>
      </c>
      <c r="F61" s="373">
        <f>51959+18120-5672-7998</f>
        <v>56409</v>
      </c>
      <c r="G61" s="373">
        <f>51959+18879</f>
        <v>70838</v>
      </c>
      <c r="H61" s="373">
        <f>51958+4249</f>
        <v>56207</v>
      </c>
      <c r="I61" s="373">
        <f>38968+3185</f>
        <v>42153</v>
      </c>
      <c r="J61" s="1868"/>
      <c r="K61" s="1868"/>
      <c r="L61" s="373"/>
      <c r="M61" s="3428"/>
      <c r="N61" s="3473"/>
    </row>
    <row r="62" spans="1:16" s="2699" customFormat="1" ht="27.75" customHeight="1">
      <c r="A62" s="4115" t="s">
        <v>57</v>
      </c>
      <c r="B62" s="61" t="s">
        <v>392</v>
      </c>
      <c r="C62" s="48" t="s">
        <v>72</v>
      </c>
      <c r="D62" s="2245"/>
      <c r="E62" s="2221"/>
      <c r="F62" s="2221"/>
      <c r="G62" s="2221"/>
      <c r="H62" s="2221"/>
      <c r="I62" s="2221"/>
      <c r="J62" s="2221"/>
      <c r="K62" s="34"/>
      <c r="L62" s="2221"/>
      <c r="M62" s="36"/>
      <c r="N62" s="3405" t="s">
        <v>100</v>
      </c>
    </row>
    <row r="63" spans="1:16" s="2699" customFormat="1" ht="14.25" customHeight="1" thickBot="1">
      <c r="A63" s="4117"/>
      <c r="B63" s="496" t="s">
        <v>9</v>
      </c>
      <c r="C63" s="560"/>
      <c r="D63" s="537">
        <f>+D64+D66</f>
        <v>4335</v>
      </c>
      <c r="E63" s="537">
        <f>+E64+E66</f>
        <v>4335</v>
      </c>
      <c r="F63" s="546">
        <v>0</v>
      </c>
      <c r="G63" s="1893">
        <v>0</v>
      </c>
      <c r="H63" s="1893">
        <v>0</v>
      </c>
      <c r="I63" s="1893">
        <v>0</v>
      </c>
      <c r="J63" s="1893">
        <v>0</v>
      </c>
      <c r="K63" s="1893">
        <v>0</v>
      </c>
      <c r="L63" s="537">
        <f>+L64+L66</f>
        <v>0</v>
      </c>
      <c r="M63" s="1894">
        <f>+M64+M66</f>
        <v>0</v>
      </c>
      <c r="N63" s="3786"/>
      <c r="O63" s="620" t="s">
        <v>350</v>
      </c>
    </row>
    <row r="64" spans="1:16" s="2699" customFormat="1" ht="13.5" customHeight="1" thickBot="1">
      <c r="A64" s="4117"/>
      <c r="B64" s="612" t="s">
        <v>22</v>
      </c>
      <c r="C64" s="3400" t="s">
        <v>138</v>
      </c>
      <c r="D64" s="1895">
        <f>+D65</f>
        <v>1084</v>
      </c>
      <c r="E64" s="1895">
        <f>+E65</f>
        <v>1084</v>
      </c>
      <c r="F64" s="1896">
        <v>0</v>
      </c>
      <c r="G64" s="1053">
        <v>0</v>
      </c>
      <c r="H64" s="1053">
        <v>0</v>
      </c>
      <c r="I64" s="1053">
        <v>0</v>
      </c>
      <c r="J64" s="1053">
        <v>0</v>
      </c>
      <c r="K64" s="1053">
        <v>0</v>
      </c>
      <c r="L64" s="1895">
        <f>+L65</f>
        <v>0</v>
      </c>
      <c r="M64" s="1897">
        <f>+M65</f>
        <v>0</v>
      </c>
      <c r="N64" s="3786"/>
      <c r="O64" s="2699" t="s">
        <v>351</v>
      </c>
      <c r="P64" s="620"/>
    </row>
    <row r="65" spans="1:16" s="2699" customFormat="1" ht="13.5" customHeight="1" thickBot="1">
      <c r="A65" s="4117"/>
      <c r="B65" s="1875" t="s">
        <v>12</v>
      </c>
      <c r="C65" s="3383"/>
      <c r="D65" s="1033">
        <f>E65+L65+F65+G65+H65+I65+J65+K65</f>
        <v>1084</v>
      </c>
      <c r="E65" s="541">
        <f>1889-805</f>
        <v>1084</v>
      </c>
      <c r="F65" s="1896">
        <v>0</v>
      </c>
      <c r="G65" s="1053">
        <v>0</v>
      </c>
      <c r="H65" s="1053">
        <v>0</v>
      </c>
      <c r="I65" s="1053">
        <v>0</v>
      </c>
      <c r="J65" s="1053">
        <v>0</v>
      </c>
      <c r="K65" s="1053">
        <v>0</v>
      </c>
      <c r="L65" s="541"/>
      <c r="M65" s="438">
        <f>SUM(G65:K65)</f>
        <v>0</v>
      </c>
      <c r="N65" s="3786"/>
    </row>
    <row r="66" spans="1:16" s="1029" customFormat="1" ht="13.5" thickBot="1">
      <c r="A66" s="4120"/>
      <c r="B66" s="505" t="s">
        <v>17</v>
      </c>
      <c r="C66" s="3383"/>
      <c r="D66" s="539">
        <f>+D67</f>
        <v>3251</v>
      </c>
      <c r="E66" s="539">
        <f>+E67</f>
        <v>3251</v>
      </c>
      <c r="F66" s="1898">
        <v>0</v>
      </c>
      <c r="G66" s="1053">
        <v>0</v>
      </c>
      <c r="H66" s="1053">
        <v>0</v>
      </c>
      <c r="I66" s="1053">
        <v>0</v>
      </c>
      <c r="J66" s="1053">
        <v>0</v>
      </c>
      <c r="K66" s="1053">
        <v>0</v>
      </c>
      <c r="L66" s="539">
        <f>+L67</f>
        <v>0</v>
      </c>
      <c r="M66" s="476">
        <f>+M67</f>
        <v>0</v>
      </c>
      <c r="N66" s="4121"/>
      <c r="O66" s="1028"/>
    </row>
    <row r="67" spans="1:16" s="2699" customFormat="1" ht="13.5" thickBot="1">
      <c r="A67" s="4117"/>
      <c r="B67" s="615" t="s">
        <v>18</v>
      </c>
      <c r="C67" s="3384"/>
      <c r="D67" s="1033">
        <f>E67+L67+F67+G67+H67+I67+J67+K67</f>
        <v>3251</v>
      </c>
      <c r="E67" s="1899">
        <f>5672-2421</f>
        <v>3251</v>
      </c>
      <c r="F67" s="1900">
        <v>0</v>
      </c>
      <c r="G67" s="504">
        <v>0</v>
      </c>
      <c r="H67" s="504">
        <v>0</v>
      </c>
      <c r="I67" s="504">
        <v>0</v>
      </c>
      <c r="J67" s="504">
        <v>0</v>
      </c>
      <c r="K67" s="504">
        <v>0</v>
      </c>
      <c r="L67" s="1899"/>
      <c r="M67" s="438">
        <f>SUM(G67:K67)</f>
        <v>0</v>
      </c>
      <c r="N67" s="3786"/>
      <c r="O67" s="620"/>
    </row>
    <row r="68" spans="1:16" s="2699" customFormat="1" ht="13.5" thickBot="1">
      <c r="A68" s="4117"/>
      <c r="B68" s="375" t="s">
        <v>20</v>
      </c>
      <c r="C68" s="560"/>
      <c r="D68" s="536">
        <f>+D69+D71</f>
        <v>4335</v>
      </c>
      <c r="E68" s="536">
        <f>+E69+E71</f>
        <v>0</v>
      </c>
      <c r="F68" s="536">
        <f>+F69+F71</f>
        <v>4335</v>
      </c>
      <c r="G68" s="561">
        <v>0</v>
      </c>
      <c r="H68" s="561">
        <v>0</v>
      </c>
      <c r="I68" s="561">
        <v>0</v>
      </c>
      <c r="J68" s="561">
        <v>0</v>
      </c>
      <c r="K68" s="561">
        <v>0</v>
      </c>
      <c r="L68" s="561">
        <v>0</v>
      </c>
      <c r="M68" s="3581" t="s">
        <v>52</v>
      </c>
      <c r="N68" s="3786"/>
      <c r="O68" s="620"/>
    </row>
    <row r="69" spans="1:16" s="1029" customFormat="1" ht="12.75" customHeight="1" thickBot="1">
      <c r="A69" s="4120"/>
      <c r="B69" s="500" t="s">
        <v>22</v>
      </c>
      <c r="C69" s="3400" t="s">
        <v>138</v>
      </c>
      <c r="D69" s="551">
        <f>+D70</f>
        <v>1084</v>
      </c>
      <c r="E69" s="551">
        <f>+E70</f>
        <v>0</v>
      </c>
      <c r="F69" s="551">
        <f>+F70</f>
        <v>1084</v>
      </c>
      <c r="G69" s="1053">
        <v>0</v>
      </c>
      <c r="H69" s="1053">
        <v>0</v>
      </c>
      <c r="I69" s="1053">
        <v>0</v>
      </c>
      <c r="J69" s="1053">
        <v>0</v>
      </c>
      <c r="K69" s="1053">
        <v>0</v>
      </c>
      <c r="L69" s="1901">
        <v>0</v>
      </c>
      <c r="M69" s="3542"/>
      <c r="N69" s="4121"/>
      <c r="O69" s="1028"/>
    </row>
    <row r="70" spans="1:16" s="2699" customFormat="1" ht="13.5" customHeight="1" thickBot="1">
      <c r="A70" s="4117"/>
      <c r="B70" s="1875" t="s">
        <v>12</v>
      </c>
      <c r="C70" s="3383"/>
      <c r="D70" s="1033">
        <f>E70+L70+F70+G70+H70+I70+J70+K70</f>
        <v>1084</v>
      </c>
      <c r="E70" s="239">
        <v>0</v>
      </c>
      <c r="F70" s="541">
        <f>1889-805</f>
        <v>1084</v>
      </c>
      <c r="G70" s="504">
        <v>0</v>
      </c>
      <c r="H70" s="504">
        <v>0</v>
      </c>
      <c r="I70" s="504">
        <v>0</v>
      </c>
      <c r="J70" s="504">
        <v>0</v>
      </c>
      <c r="K70" s="504">
        <v>0</v>
      </c>
      <c r="L70" s="734">
        <v>0</v>
      </c>
      <c r="M70" s="3542"/>
      <c r="N70" s="3786"/>
    </row>
    <row r="71" spans="1:16" s="2699" customFormat="1" ht="13.5" customHeight="1" thickBot="1">
      <c r="A71" s="4117"/>
      <c r="B71" s="1890" t="s">
        <v>17</v>
      </c>
      <c r="C71" s="3383"/>
      <c r="D71" s="731">
        <f>+D72</f>
        <v>3251</v>
      </c>
      <c r="E71" s="731">
        <f>+E72</f>
        <v>0</v>
      </c>
      <c r="F71" s="731">
        <f>+F72</f>
        <v>3251</v>
      </c>
      <c r="G71" s="736">
        <v>0</v>
      </c>
      <c r="H71" s="736">
        <v>0</v>
      </c>
      <c r="I71" s="736">
        <v>0</v>
      </c>
      <c r="J71" s="736">
        <v>0</v>
      </c>
      <c r="K71" s="736">
        <v>0</v>
      </c>
      <c r="L71" s="740">
        <v>0</v>
      </c>
      <c r="M71" s="3542"/>
      <c r="N71" s="3786"/>
    </row>
    <row r="72" spans="1:16" s="2699" customFormat="1" ht="13.5" customHeight="1" thickBot="1">
      <c r="A72" s="4117"/>
      <c r="B72" s="621" t="s">
        <v>18</v>
      </c>
      <c r="C72" s="3449"/>
      <c r="D72" s="1033">
        <f>E72+L72+F72+G72+H72+I72+J72+K72</f>
        <v>3251</v>
      </c>
      <c r="E72" s="239">
        <v>0</v>
      </c>
      <c r="F72" s="1899">
        <f>5672-2421</f>
        <v>3251</v>
      </c>
      <c r="G72" s="504">
        <v>0</v>
      </c>
      <c r="H72" s="504">
        <v>0</v>
      </c>
      <c r="I72" s="504">
        <v>0</v>
      </c>
      <c r="J72" s="504">
        <v>0</v>
      </c>
      <c r="K72" s="504">
        <v>0</v>
      </c>
      <c r="L72" s="1902">
        <v>0</v>
      </c>
      <c r="M72" s="3543"/>
      <c r="N72" s="3786"/>
      <c r="O72" s="620"/>
    </row>
    <row r="73" spans="1:16" ht="38.25" customHeight="1">
      <c r="A73" s="4105" t="s">
        <v>58</v>
      </c>
      <c r="B73" s="461" t="s">
        <v>499</v>
      </c>
      <c r="C73" s="462" t="s">
        <v>72</v>
      </c>
      <c r="D73" s="2393"/>
      <c r="E73" s="610"/>
      <c r="F73" s="2394"/>
      <c r="G73" s="2394"/>
      <c r="H73" s="2394"/>
      <c r="I73" s="2394"/>
      <c r="J73" s="2394"/>
      <c r="K73" s="2394"/>
      <c r="L73" s="2394"/>
      <c r="M73" s="611"/>
      <c r="N73" s="2395"/>
    </row>
    <row r="74" spans="1:16" ht="15.75" customHeight="1">
      <c r="A74" s="4111"/>
      <c r="B74" s="377" t="s">
        <v>9</v>
      </c>
      <c r="C74" s="389"/>
      <c r="D74" s="537">
        <f>+D75+D78</f>
        <v>52566300</v>
      </c>
      <c r="E74" s="546">
        <f t="shared" ref="E74:K74" si="45">+E75+E78</f>
        <v>0</v>
      </c>
      <c r="F74" s="546">
        <f t="shared" si="45"/>
        <v>0</v>
      </c>
      <c r="G74" s="537">
        <f t="shared" si="45"/>
        <v>15657298</v>
      </c>
      <c r="H74" s="537">
        <f t="shared" si="45"/>
        <v>30313619</v>
      </c>
      <c r="I74" s="537">
        <f t="shared" si="45"/>
        <v>6595383</v>
      </c>
      <c r="J74" s="546">
        <f t="shared" si="45"/>
        <v>0</v>
      </c>
      <c r="K74" s="546">
        <f t="shared" si="45"/>
        <v>0</v>
      </c>
      <c r="L74" s="546">
        <f>+L75+L78</f>
        <v>0</v>
      </c>
      <c r="M74" s="382">
        <f>+M75+M78</f>
        <v>52566300</v>
      </c>
      <c r="N74" s="4109" t="s">
        <v>496</v>
      </c>
      <c r="P74" s="454"/>
    </row>
    <row r="75" spans="1:16" ht="12.75" customHeight="1">
      <c r="A75" s="4111"/>
      <c r="B75" s="612" t="s">
        <v>22</v>
      </c>
      <c r="C75" s="3400" t="s">
        <v>328</v>
      </c>
      <c r="D75" s="1895">
        <f>+D76+D77</f>
        <v>7884945</v>
      </c>
      <c r="E75" s="1896">
        <f t="shared" ref="E75:K75" si="46">+E76+E77</f>
        <v>0</v>
      </c>
      <c r="F75" s="1896">
        <f t="shared" si="46"/>
        <v>0</v>
      </c>
      <c r="G75" s="1895">
        <f t="shared" si="46"/>
        <v>2348595</v>
      </c>
      <c r="H75" s="1895">
        <f t="shared" si="46"/>
        <v>4547043</v>
      </c>
      <c r="I75" s="1895">
        <f t="shared" si="46"/>
        <v>989307</v>
      </c>
      <c r="J75" s="1896">
        <f t="shared" si="46"/>
        <v>0</v>
      </c>
      <c r="K75" s="1896">
        <f t="shared" si="46"/>
        <v>0</v>
      </c>
      <c r="L75" s="1896">
        <f>+L76+L77</f>
        <v>0</v>
      </c>
      <c r="M75" s="437">
        <f>+M76+M77</f>
        <v>7884945</v>
      </c>
      <c r="N75" s="4109"/>
    </row>
    <row r="76" spans="1:16" ht="14.25" customHeight="1">
      <c r="A76" s="4111"/>
      <c r="B76" s="613" t="s">
        <v>11</v>
      </c>
      <c r="C76" s="4102"/>
      <c r="D76" s="1033">
        <f>E76+L76+F76+G76+H76+I76+J76+K76</f>
        <v>2628315</v>
      </c>
      <c r="E76" s="2396">
        <v>0</v>
      </c>
      <c r="F76" s="2397">
        <v>0</v>
      </c>
      <c r="G76" s="1182">
        <v>782865</v>
      </c>
      <c r="H76" s="1182">
        <v>1515681</v>
      </c>
      <c r="I76" s="1182">
        <v>329769</v>
      </c>
      <c r="J76" s="2397">
        <v>0</v>
      </c>
      <c r="K76" s="2397">
        <v>0</v>
      </c>
      <c r="L76" s="2397">
        <v>0</v>
      </c>
      <c r="M76" s="438">
        <f>SUM(G76:K76)</f>
        <v>2628315</v>
      </c>
      <c r="N76" s="4109"/>
      <c r="O76" s="2398">
        <f>D76+D88</f>
        <v>2628315</v>
      </c>
      <c r="P76" s="455" t="s">
        <v>295</v>
      </c>
    </row>
    <row r="77" spans="1:16" ht="12.75" customHeight="1">
      <c r="A77" s="4111"/>
      <c r="B77" s="440" t="s">
        <v>16</v>
      </c>
      <c r="C77" s="4102"/>
      <c r="D77" s="1033">
        <f>E77+L77+F77+G77+H77+I77+J77+K77</f>
        <v>5256630</v>
      </c>
      <c r="E77" s="1201">
        <v>0</v>
      </c>
      <c r="F77" s="2397">
        <v>0</v>
      </c>
      <c r="G77" s="1182">
        <v>1565730</v>
      </c>
      <c r="H77" s="1182">
        <v>3031362</v>
      </c>
      <c r="I77" s="1182">
        <v>659538</v>
      </c>
      <c r="J77" s="2397">
        <v>0</v>
      </c>
      <c r="K77" s="2397">
        <v>0</v>
      </c>
      <c r="L77" s="2397">
        <v>0</v>
      </c>
      <c r="M77" s="438">
        <f>SUM(G77:K77)</f>
        <v>5256630</v>
      </c>
      <c r="N77" s="4109"/>
      <c r="O77" s="2398">
        <f>D77+D89</f>
        <v>5256630</v>
      </c>
      <c r="P77" s="455" t="s">
        <v>495</v>
      </c>
    </row>
    <row r="78" spans="1:16" ht="12" customHeight="1">
      <c r="A78" s="4111"/>
      <c r="B78" s="614" t="s">
        <v>17</v>
      </c>
      <c r="C78" s="4102"/>
      <c r="D78" s="539">
        <f>+D79</f>
        <v>44681355</v>
      </c>
      <c r="E78" s="1898">
        <f t="shared" ref="E78:K78" si="47">+E79</f>
        <v>0</v>
      </c>
      <c r="F78" s="1898">
        <f t="shared" si="47"/>
        <v>0</v>
      </c>
      <c r="G78" s="539">
        <f t="shared" si="47"/>
        <v>13308703</v>
      </c>
      <c r="H78" s="539">
        <f t="shared" si="47"/>
        <v>25766576</v>
      </c>
      <c r="I78" s="539">
        <f t="shared" si="47"/>
        <v>5606076</v>
      </c>
      <c r="J78" s="1898">
        <f t="shared" si="47"/>
        <v>0</v>
      </c>
      <c r="K78" s="1898">
        <f t="shared" si="47"/>
        <v>0</v>
      </c>
      <c r="L78" s="1898">
        <f>+L79</f>
        <v>0</v>
      </c>
      <c r="M78" s="437">
        <f t="shared" ref="M78" si="48">+M79</f>
        <v>44681355</v>
      </c>
      <c r="N78" s="4109"/>
    </row>
    <row r="79" spans="1:16" ht="12.75">
      <c r="A79" s="4111"/>
      <c r="B79" s="2399" t="s">
        <v>19</v>
      </c>
      <c r="C79" s="4102"/>
      <c r="D79" s="1033">
        <f>E79+L79+F79+G79+H79+I79+J79+K79</f>
        <v>44681355</v>
      </c>
      <c r="E79" s="2396">
        <v>0</v>
      </c>
      <c r="F79" s="2397">
        <v>0</v>
      </c>
      <c r="G79" s="1182">
        <v>13308703</v>
      </c>
      <c r="H79" s="1182">
        <v>25766576</v>
      </c>
      <c r="I79" s="1182">
        <v>5606076</v>
      </c>
      <c r="J79" s="2397">
        <v>0</v>
      </c>
      <c r="K79" s="2397">
        <v>0</v>
      </c>
      <c r="L79" s="2397">
        <v>0</v>
      </c>
      <c r="M79" s="438">
        <f>SUM(G79:K79)</f>
        <v>44681355</v>
      </c>
      <c r="N79" s="4113"/>
    </row>
    <row r="80" spans="1:16" ht="15.75" customHeight="1">
      <c r="A80" s="4111"/>
      <c r="B80" s="161" t="s">
        <v>20</v>
      </c>
      <c r="C80" s="389"/>
      <c r="D80" s="536">
        <f>+D81+D83</f>
        <v>49937985</v>
      </c>
      <c r="E80" s="561">
        <f t="shared" ref="E80:K80" si="49">+E81+E83</f>
        <v>0</v>
      </c>
      <c r="F80" s="561">
        <f t="shared" si="49"/>
        <v>0</v>
      </c>
      <c r="G80" s="536">
        <f t="shared" si="49"/>
        <v>14874433</v>
      </c>
      <c r="H80" s="536">
        <f t="shared" si="49"/>
        <v>28797938</v>
      </c>
      <c r="I80" s="536">
        <f t="shared" si="49"/>
        <v>6265614</v>
      </c>
      <c r="J80" s="561">
        <f t="shared" si="49"/>
        <v>0</v>
      </c>
      <c r="K80" s="561">
        <f t="shared" si="49"/>
        <v>0</v>
      </c>
      <c r="L80" s="561">
        <f>+L81+L83</f>
        <v>0</v>
      </c>
      <c r="M80" s="4104" t="s">
        <v>52</v>
      </c>
      <c r="N80" s="4108" t="s">
        <v>497</v>
      </c>
    </row>
    <row r="81" spans="1:16" ht="15.75" customHeight="1">
      <c r="A81" s="4111"/>
      <c r="B81" s="612" t="s">
        <v>22</v>
      </c>
      <c r="C81" s="3465" t="s">
        <v>498</v>
      </c>
      <c r="D81" s="539">
        <f>+D82</f>
        <v>5256630</v>
      </c>
      <c r="E81" s="1898">
        <f t="shared" ref="E81:K81" si="50">+E82</f>
        <v>0</v>
      </c>
      <c r="F81" s="1898">
        <f t="shared" si="50"/>
        <v>0</v>
      </c>
      <c r="G81" s="539">
        <f t="shared" si="50"/>
        <v>1565730</v>
      </c>
      <c r="H81" s="539">
        <f t="shared" si="50"/>
        <v>3031362</v>
      </c>
      <c r="I81" s="539">
        <f t="shared" si="50"/>
        <v>659538</v>
      </c>
      <c r="J81" s="1898">
        <f t="shared" si="50"/>
        <v>0</v>
      </c>
      <c r="K81" s="1901">
        <f t="shared" si="50"/>
        <v>0</v>
      </c>
      <c r="L81" s="1898">
        <f>+L82</f>
        <v>0</v>
      </c>
      <c r="M81" s="3427"/>
      <c r="N81" s="4109"/>
    </row>
    <row r="82" spans="1:16" ht="15.75" customHeight="1">
      <c r="A82" s="4111"/>
      <c r="B82" s="440" t="s">
        <v>16</v>
      </c>
      <c r="C82" s="3527"/>
      <c r="D82" s="2401">
        <f>E82+L82+F82+G82+H82+I82+J82+K82</f>
        <v>5256630</v>
      </c>
      <c r="E82" s="2402">
        <v>0</v>
      </c>
      <c r="F82" s="2403">
        <v>0</v>
      </c>
      <c r="G82" s="1182">
        <v>1565730</v>
      </c>
      <c r="H82" s="1182">
        <v>3031362</v>
      </c>
      <c r="I82" s="1182">
        <v>659538</v>
      </c>
      <c r="J82" s="2403">
        <v>0</v>
      </c>
      <c r="K82" s="2403">
        <v>0</v>
      </c>
      <c r="L82" s="2403">
        <v>0</v>
      </c>
      <c r="M82" s="3427"/>
      <c r="N82" s="4109"/>
    </row>
    <row r="83" spans="1:16" ht="14.25" customHeight="1">
      <c r="A83" s="4111"/>
      <c r="B83" s="614" t="s">
        <v>17</v>
      </c>
      <c r="C83" s="3527"/>
      <c r="D83" s="731">
        <f>+D84</f>
        <v>44681355</v>
      </c>
      <c r="E83" s="740">
        <f t="shared" ref="E83:K83" si="51">+E84</f>
        <v>0</v>
      </c>
      <c r="F83" s="740">
        <f t="shared" si="51"/>
        <v>0</v>
      </c>
      <c r="G83" s="731">
        <f t="shared" si="51"/>
        <v>13308703</v>
      </c>
      <c r="H83" s="731">
        <f t="shared" si="51"/>
        <v>25766576</v>
      </c>
      <c r="I83" s="731">
        <f t="shared" si="51"/>
        <v>5606076</v>
      </c>
      <c r="J83" s="740">
        <f t="shared" si="51"/>
        <v>0</v>
      </c>
      <c r="K83" s="740">
        <f t="shared" si="51"/>
        <v>0</v>
      </c>
      <c r="L83" s="740">
        <f>+L84</f>
        <v>0</v>
      </c>
      <c r="M83" s="3427"/>
      <c r="N83" s="4109"/>
    </row>
    <row r="84" spans="1:16" ht="13.5" thickBot="1">
      <c r="A84" s="4112"/>
      <c r="B84" s="2404" t="s">
        <v>19</v>
      </c>
      <c r="C84" s="3765"/>
      <c r="D84" s="1033">
        <f>E84+L84+F84+G84+H84+I84+J84+K84</f>
        <v>44681355</v>
      </c>
      <c r="E84" s="741">
        <v>0</v>
      </c>
      <c r="F84" s="472">
        <v>0</v>
      </c>
      <c r="G84" s="1182">
        <v>13308703</v>
      </c>
      <c r="H84" s="1182">
        <v>25766576</v>
      </c>
      <c r="I84" s="1182">
        <v>5606076</v>
      </c>
      <c r="J84" s="472">
        <v>0</v>
      </c>
      <c r="K84" s="472">
        <v>0</v>
      </c>
      <c r="L84" s="472">
        <v>0</v>
      </c>
      <c r="M84" s="3428"/>
      <c r="N84" s="4110"/>
    </row>
    <row r="85" spans="1:16" ht="42" hidden="1" customHeight="1">
      <c r="A85" s="4105" t="s">
        <v>55</v>
      </c>
      <c r="B85" s="461" t="s">
        <v>492</v>
      </c>
      <c r="C85" s="462" t="s">
        <v>99</v>
      </c>
      <c r="D85" s="2393"/>
      <c r="E85" s="610"/>
      <c r="F85" s="2394"/>
      <c r="G85" s="2394"/>
      <c r="H85" s="2394"/>
      <c r="I85" s="2394"/>
      <c r="J85" s="2394"/>
      <c r="K85" s="2394"/>
      <c r="L85" s="2394"/>
      <c r="M85" s="611"/>
      <c r="N85" s="4098"/>
    </row>
    <row r="86" spans="1:16" ht="15.75" hidden="1" customHeight="1">
      <c r="A86" s="4111"/>
      <c r="B86" s="377" t="s">
        <v>9</v>
      </c>
      <c r="C86" s="389"/>
      <c r="D86" s="537">
        <f>+D87+D90</f>
        <v>0</v>
      </c>
      <c r="E86" s="537">
        <f t="shared" ref="E86:K86" si="52">+E87+E90</f>
        <v>0</v>
      </c>
      <c r="F86" s="537">
        <f t="shared" si="52"/>
        <v>0</v>
      </c>
      <c r="G86" s="537">
        <f t="shared" si="52"/>
        <v>0</v>
      </c>
      <c r="H86" s="537">
        <f t="shared" si="52"/>
        <v>0</v>
      </c>
      <c r="I86" s="537">
        <f t="shared" si="52"/>
        <v>0</v>
      </c>
      <c r="J86" s="537">
        <f t="shared" si="52"/>
        <v>0</v>
      </c>
      <c r="K86" s="537">
        <f t="shared" si="52"/>
        <v>0</v>
      </c>
      <c r="L86" s="537">
        <f>+L87+L90</f>
        <v>0</v>
      </c>
      <c r="M86" s="382">
        <f>+M87+M90</f>
        <v>0</v>
      </c>
      <c r="N86" s="4099"/>
      <c r="P86" s="454"/>
    </row>
    <row r="87" spans="1:16" ht="12.75" hidden="1" customHeight="1">
      <c r="A87" s="4111"/>
      <c r="B87" s="612" t="s">
        <v>22</v>
      </c>
      <c r="C87" s="3400" t="s">
        <v>494</v>
      </c>
      <c r="D87" s="1895">
        <f>+D88+D89</f>
        <v>0</v>
      </c>
      <c r="E87" s="1895">
        <f t="shared" ref="E87" si="53">+E88+E89</f>
        <v>0</v>
      </c>
      <c r="F87" s="1895">
        <f t="shared" ref="F87" si="54">+F88+F89</f>
        <v>0</v>
      </c>
      <c r="G87" s="1895">
        <f t="shared" ref="G87" si="55">+G88+G89</f>
        <v>0</v>
      </c>
      <c r="H87" s="1895">
        <f t="shared" ref="H87" si="56">+H88+H89</f>
        <v>0</v>
      </c>
      <c r="I87" s="1895">
        <f t="shared" ref="I87" si="57">+I88+I89</f>
        <v>0</v>
      </c>
      <c r="J87" s="1895">
        <f t="shared" ref="J87" si="58">+J88+J89</f>
        <v>0</v>
      </c>
      <c r="K87" s="1895">
        <f t="shared" ref="K87" si="59">+K88+K89</f>
        <v>0</v>
      </c>
      <c r="L87" s="1895">
        <f t="shared" ref="L87" si="60">+L88+L89</f>
        <v>0</v>
      </c>
      <c r="M87" s="437">
        <f>+M88</f>
        <v>0</v>
      </c>
      <c r="N87" s="4100"/>
    </row>
    <row r="88" spans="1:16" ht="12.75" hidden="1" customHeight="1">
      <c r="A88" s="4111"/>
      <c r="B88" s="613" t="s">
        <v>11</v>
      </c>
      <c r="C88" s="4102"/>
      <c r="D88" s="2401">
        <f>E88+L88+F88+G88+H88+I88+J88+K88</f>
        <v>0</v>
      </c>
      <c r="E88" s="2405">
        <v>0</v>
      </c>
      <c r="F88" s="1182">
        <f>0</f>
        <v>0</v>
      </c>
      <c r="G88" s="1182"/>
      <c r="H88" s="1182"/>
      <c r="I88" s="1182"/>
      <c r="J88" s="1182"/>
      <c r="K88" s="1182"/>
      <c r="L88" s="1182">
        <v>0</v>
      </c>
      <c r="M88" s="438">
        <f>SUM(F88:K88)</f>
        <v>0</v>
      </c>
      <c r="N88" s="4100"/>
    </row>
    <row r="89" spans="1:16" ht="12.75" hidden="1" customHeight="1">
      <c r="A89" s="4111"/>
      <c r="B89" s="440" t="s">
        <v>16</v>
      </c>
      <c r="C89" s="4102"/>
      <c r="D89" s="2401">
        <f>E89+L89+F89+G89+H89+I89+J89+K89</f>
        <v>0</v>
      </c>
      <c r="E89" s="1202">
        <v>0</v>
      </c>
      <c r="F89" s="1182">
        <v>0</v>
      </c>
      <c r="G89" s="1182"/>
      <c r="H89" s="1182"/>
      <c r="I89" s="1182"/>
      <c r="J89" s="1182"/>
      <c r="K89" s="1182"/>
      <c r="L89" s="1182">
        <v>0</v>
      </c>
      <c r="M89" s="438">
        <f>SUM(F89:K89)</f>
        <v>0</v>
      </c>
      <c r="N89" s="4100"/>
    </row>
    <row r="90" spans="1:16" ht="12" hidden="1" customHeight="1">
      <c r="A90" s="4111"/>
      <c r="B90" s="614" t="s">
        <v>17</v>
      </c>
      <c r="C90" s="4102"/>
      <c r="D90" s="539">
        <f>+D91</f>
        <v>0</v>
      </c>
      <c r="E90" s="1859">
        <v>0</v>
      </c>
      <c r="F90" s="1859">
        <v>0</v>
      </c>
      <c r="G90" s="1859">
        <v>0</v>
      </c>
      <c r="H90" s="1859">
        <v>0</v>
      </c>
      <c r="I90" s="1859">
        <v>0</v>
      </c>
      <c r="J90" s="1859">
        <v>0</v>
      </c>
      <c r="K90" s="1859">
        <v>0</v>
      </c>
      <c r="L90" s="1859">
        <v>0</v>
      </c>
      <c r="M90" s="437">
        <f t="shared" ref="M90" si="61">+M91</f>
        <v>0</v>
      </c>
      <c r="N90" s="4100"/>
    </row>
    <row r="91" spans="1:16" ht="13.5" hidden="1" thickBot="1">
      <c r="A91" s="4111"/>
      <c r="B91" s="2399" t="s">
        <v>19</v>
      </c>
      <c r="C91" s="4102"/>
      <c r="D91" s="2401">
        <f>E91+L91+F91+G91+H91+I91+J91+K91</f>
        <v>0</v>
      </c>
      <c r="E91" s="2405"/>
      <c r="F91" s="1182"/>
      <c r="G91" s="1182"/>
      <c r="H91" s="1182"/>
      <c r="I91" s="1182"/>
      <c r="J91" s="1182"/>
      <c r="K91" s="1182"/>
      <c r="L91" s="1182"/>
      <c r="M91" s="438">
        <f>SUM(F91:H91)</f>
        <v>0</v>
      </c>
      <c r="N91" s="4100"/>
    </row>
    <row r="92" spans="1:16" ht="15.75" hidden="1" customHeight="1">
      <c r="A92" s="4111"/>
      <c r="B92" s="161" t="s">
        <v>20</v>
      </c>
      <c r="C92" s="389"/>
      <c r="D92" s="536">
        <f>+D93+D95</f>
        <v>0</v>
      </c>
      <c r="E92" s="536">
        <f t="shared" ref="E92:K92" si="62">+E93+E95</f>
        <v>0</v>
      </c>
      <c r="F92" s="536">
        <f t="shared" si="62"/>
        <v>0</v>
      </c>
      <c r="G92" s="536">
        <f t="shared" si="62"/>
        <v>0</v>
      </c>
      <c r="H92" s="536">
        <f t="shared" si="62"/>
        <v>0</v>
      </c>
      <c r="I92" s="536">
        <f t="shared" si="62"/>
        <v>0</v>
      </c>
      <c r="J92" s="536">
        <f t="shared" si="62"/>
        <v>0</v>
      </c>
      <c r="K92" s="536">
        <f t="shared" si="62"/>
        <v>0</v>
      </c>
      <c r="L92" s="536">
        <f>+L93+L95</f>
        <v>0</v>
      </c>
      <c r="M92" s="4104" t="s">
        <v>52</v>
      </c>
      <c r="N92" s="4100"/>
    </row>
    <row r="93" spans="1:16" ht="15.75" hidden="1" customHeight="1">
      <c r="A93" s="4111"/>
      <c r="B93" s="612" t="s">
        <v>22</v>
      </c>
      <c r="C93" s="2400"/>
      <c r="D93" s="551">
        <f>+D94</f>
        <v>0</v>
      </c>
      <c r="E93" s="551">
        <f t="shared" ref="E93:K93" si="63">+E94</f>
        <v>0</v>
      </c>
      <c r="F93" s="551">
        <f t="shared" si="63"/>
        <v>0</v>
      </c>
      <c r="G93" s="551">
        <f t="shared" si="63"/>
        <v>0</v>
      </c>
      <c r="H93" s="551">
        <f t="shared" si="63"/>
        <v>0</v>
      </c>
      <c r="I93" s="551">
        <f t="shared" si="63"/>
        <v>0</v>
      </c>
      <c r="J93" s="551">
        <f t="shared" si="63"/>
        <v>0</v>
      </c>
      <c r="K93" s="551">
        <f t="shared" si="63"/>
        <v>0</v>
      </c>
      <c r="L93" s="551">
        <f>+L94</f>
        <v>0</v>
      </c>
      <c r="M93" s="3427"/>
      <c r="N93" s="4100"/>
    </row>
    <row r="94" spans="1:16" ht="12" hidden="1" customHeight="1">
      <c r="A94" s="4111"/>
      <c r="B94" s="440" t="s">
        <v>16</v>
      </c>
      <c r="C94" s="2400"/>
      <c r="D94" s="1033">
        <f>E94+L94+F94+G94+H94+I94+J94+K94</f>
        <v>0</v>
      </c>
      <c r="E94" s="2406">
        <v>0</v>
      </c>
      <c r="F94" s="2407">
        <v>0</v>
      </c>
      <c r="G94" s="1182"/>
      <c r="H94" s="1182"/>
      <c r="I94" s="1182"/>
      <c r="J94" s="2408"/>
      <c r="K94" s="2408"/>
      <c r="L94" s="2407">
        <v>0</v>
      </c>
      <c r="M94" s="3427"/>
      <c r="N94" s="4100"/>
    </row>
    <row r="95" spans="1:16" ht="12" hidden="1" customHeight="1">
      <c r="A95" s="4111"/>
      <c r="B95" s="614" t="s">
        <v>17</v>
      </c>
      <c r="C95" s="3526" t="s">
        <v>493</v>
      </c>
      <c r="D95" s="731">
        <f>+D96</f>
        <v>0</v>
      </c>
      <c r="E95" s="464">
        <v>0</v>
      </c>
      <c r="F95" s="464"/>
      <c r="G95" s="464"/>
      <c r="H95" s="464"/>
      <c r="I95" s="464"/>
      <c r="J95" s="464"/>
      <c r="K95" s="464"/>
      <c r="L95" s="464"/>
      <c r="M95" s="3427"/>
      <c r="N95" s="4100"/>
    </row>
    <row r="96" spans="1:16" ht="13.5" hidden="1" customHeight="1" thickBot="1">
      <c r="A96" s="4112"/>
      <c r="B96" s="2404" t="s">
        <v>19</v>
      </c>
      <c r="C96" s="4103"/>
      <c r="D96" s="1033">
        <f>E96+L96+F96+G96+H96+I96+J96+K96</f>
        <v>0</v>
      </c>
      <c r="E96" s="373"/>
      <c r="F96" s="2409"/>
      <c r="G96" s="2409"/>
      <c r="H96" s="2409"/>
      <c r="I96" s="2409"/>
      <c r="J96" s="2409"/>
      <c r="K96" s="2409"/>
      <c r="L96" s="2409"/>
      <c r="M96" s="3428"/>
      <c r="N96" s="4101"/>
    </row>
    <row r="97" spans="1:16" ht="28.5" customHeight="1" thickBot="1">
      <c r="A97" s="165" t="s">
        <v>220</v>
      </c>
      <c r="B97" s="576"/>
      <c r="C97" s="576"/>
      <c r="D97" s="576"/>
      <c r="E97" s="576"/>
      <c r="F97" s="576"/>
      <c r="G97" s="576"/>
      <c r="H97" s="576"/>
      <c r="I97" s="576"/>
      <c r="J97" s="576"/>
      <c r="K97" s="576"/>
      <c r="L97" s="576"/>
      <c r="M97" s="577"/>
      <c r="N97" s="2171"/>
    </row>
    <row r="98" spans="1:16" ht="15.75" customHeight="1">
      <c r="A98" s="491"/>
      <c r="B98" s="191" t="s">
        <v>67</v>
      </c>
      <c r="C98" s="192"/>
      <c r="D98" s="193">
        <f>+D99+D100</f>
        <v>312355</v>
      </c>
      <c r="E98" s="193">
        <f t="shared" ref="E98" si="64">+E99+E100</f>
        <v>78463</v>
      </c>
      <c r="F98" s="193">
        <f t="shared" ref="F98:M98" si="65">+F99+F100</f>
        <v>164370</v>
      </c>
      <c r="G98" s="193">
        <f t="shared" si="65"/>
        <v>69522</v>
      </c>
      <c r="H98" s="193">
        <f t="shared" si="65"/>
        <v>0</v>
      </c>
      <c r="I98" s="193">
        <f t="shared" si="65"/>
        <v>0</v>
      </c>
      <c r="J98" s="193">
        <f t="shared" si="65"/>
        <v>0</v>
      </c>
      <c r="K98" s="193">
        <f t="shared" si="65"/>
        <v>0</v>
      </c>
      <c r="L98" s="193">
        <f>+L99+L100</f>
        <v>0</v>
      </c>
      <c r="M98" s="2048">
        <f t="shared" si="65"/>
        <v>69522</v>
      </c>
      <c r="N98" s="4124" t="s">
        <v>52</v>
      </c>
    </row>
    <row r="99" spans="1:16" ht="16.5" customHeight="1">
      <c r="A99" s="491"/>
      <c r="B99" s="183" t="s">
        <v>68</v>
      </c>
      <c r="C99" s="184"/>
      <c r="D99" s="185">
        <f>+D109+D113</f>
        <v>312355</v>
      </c>
      <c r="E99" s="185">
        <f>+E109+E113</f>
        <v>78463</v>
      </c>
      <c r="F99" s="185">
        <f t="shared" ref="F99:K99" si="66">+F109+F113</f>
        <v>164370</v>
      </c>
      <c r="G99" s="185">
        <f t="shared" si="66"/>
        <v>69522</v>
      </c>
      <c r="H99" s="185">
        <f t="shared" si="66"/>
        <v>0</v>
      </c>
      <c r="I99" s="185">
        <f t="shared" si="66"/>
        <v>0</v>
      </c>
      <c r="J99" s="185">
        <f t="shared" si="66"/>
        <v>0</v>
      </c>
      <c r="K99" s="185">
        <f t="shared" si="66"/>
        <v>0</v>
      </c>
      <c r="L99" s="185">
        <f>+L109+L113</f>
        <v>0</v>
      </c>
      <c r="M99" s="1483">
        <f>SUM(G99:K99)</f>
        <v>69522</v>
      </c>
      <c r="N99" s="4125"/>
    </row>
    <row r="100" spans="1:16" ht="12.75" thickBot="1">
      <c r="A100" s="491"/>
      <c r="B100" s="622" t="s">
        <v>8</v>
      </c>
      <c r="C100" s="184"/>
      <c r="D100" s="185"/>
      <c r="E100" s="185"/>
      <c r="F100" s="308"/>
      <c r="G100" s="308"/>
      <c r="H100" s="308"/>
      <c r="I100" s="308"/>
      <c r="J100" s="308"/>
      <c r="K100" s="308"/>
      <c r="L100" s="185"/>
      <c r="M100" s="1482">
        <f>SUM(G100:H100)</f>
        <v>0</v>
      </c>
      <c r="N100" s="4125"/>
    </row>
    <row r="101" spans="1:16" ht="15.75" customHeight="1">
      <c r="A101" s="309"/>
      <c r="B101" s="155" t="s">
        <v>9</v>
      </c>
      <c r="C101" s="156"/>
      <c r="D101" s="130">
        <f>+D102</f>
        <v>312355</v>
      </c>
      <c r="E101" s="130">
        <v>24302</v>
      </c>
      <c r="F101" s="130">
        <f t="shared" ref="F101:K102" si="67">+F102</f>
        <v>164370</v>
      </c>
      <c r="G101" s="130">
        <f t="shared" si="67"/>
        <v>69522</v>
      </c>
      <c r="H101" s="130">
        <f t="shared" si="67"/>
        <v>0</v>
      </c>
      <c r="I101" s="130">
        <f t="shared" si="67"/>
        <v>0</v>
      </c>
      <c r="J101" s="130">
        <f t="shared" si="67"/>
        <v>0</v>
      </c>
      <c r="K101" s="130">
        <f t="shared" si="67"/>
        <v>0</v>
      </c>
      <c r="L101" s="130">
        <f>+L102</f>
        <v>0</v>
      </c>
      <c r="M101" s="2072">
        <f>+M102</f>
        <v>233892</v>
      </c>
      <c r="N101" s="4125"/>
    </row>
    <row r="102" spans="1:16" ht="15" customHeight="1">
      <c r="A102" s="169"/>
      <c r="B102" s="131" t="s">
        <v>10</v>
      </c>
      <c r="C102" s="3904" t="s">
        <v>52</v>
      </c>
      <c r="D102" s="468">
        <f>+D103+D104</f>
        <v>312355</v>
      </c>
      <c r="E102" s="468">
        <v>24302</v>
      </c>
      <c r="F102" s="468">
        <f t="shared" si="67"/>
        <v>164370</v>
      </c>
      <c r="G102" s="468">
        <f t="shared" si="67"/>
        <v>69522</v>
      </c>
      <c r="H102" s="468">
        <f t="shared" si="67"/>
        <v>0</v>
      </c>
      <c r="I102" s="468">
        <f t="shared" si="67"/>
        <v>0</v>
      </c>
      <c r="J102" s="468">
        <f t="shared" si="67"/>
        <v>0</v>
      </c>
      <c r="K102" s="468">
        <f t="shared" si="67"/>
        <v>0</v>
      </c>
      <c r="L102" s="468">
        <f>+L103</f>
        <v>0</v>
      </c>
      <c r="M102" s="2161">
        <f>+M103+M104</f>
        <v>233892</v>
      </c>
      <c r="N102" s="4125"/>
    </row>
    <row r="103" spans="1:16" ht="15" customHeight="1" thickBot="1">
      <c r="A103" s="581"/>
      <c r="B103" s="134" t="s">
        <v>11</v>
      </c>
      <c r="C103" s="3594"/>
      <c r="D103" s="469">
        <f>+D111+D115</f>
        <v>312355</v>
      </c>
      <c r="E103" s="469">
        <f t="shared" ref="E103:K103" si="68">+E111+E115</f>
        <v>78463</v>
      </c>
      <c r="F103" s="469">
        <f t="shared" si="68"/>
        <v>164370</v>
      </c>
      <c r="G103" s="469">
        <f t="shared" si="68"/>
        <v>69522</v>
      </c>
      <c r="H103" s="469">
        <f t="shared" si="68"/>
        <v>0</v>
      </c>
      <c r="I103" s="469">
        <f t="shared" si="68"/>
        <v>0</v>
      </c>
      <c r="J103" s="469">
        <f t="shared" si="68"/>
        <v>0</v>
      </c>
      <c r="K103" s="469">
        <f t="shared" si="68"/>
        <v>0</v>
      </c>
      <c r="L103" s="469">
        <f>+L111+L115</f>
        <v>0</v>
      </c>
      <c r="M103" s="2162">
        <f>SUM(F103:K103)</f>
        <v>233892</v>
      </c>
      <c r="N103" s="4125"/>
    </row>
    <row r="104" spans="1:16" ht="12.75" hidden="1" customHeight="1" thickBot="1">
      <c r="A104" s="581"/>
      <c r="B104" s="134" t="s">
        <v>13</v>
      </c>
      <c r="C104" s="4129"/>
      <c r="D104" s="469">
        <f>+D123</f>
        <v>0</v>
      </c>
      <c r="E104" s="983">
        <v>0</v>
      </c>
      <c r="F104" s="469">
        <f t="shared" ref="F104:H104" si="69">+F123</f>
        <v>0</v>
      </c>
      <c r="G104" s="469">
        <f t="shared" si="69"/>
        <v>0</v>
      </c>
      <c r="H104" s="469">
        <f t="shared" si="69"/>
        <v>0</v>
      </c>
      <c r="I104" s="469"/>
      <c r="J104" s="469"/>
      <c r="K104" s="469"/>
      <c r="L104" s="469" t="e">
        <f>+#REF!</f>
        <v>#REF!</v>
      </c>
      <c r="M104" s="2163">
        <f>SUM(F104:K104)</f>
        <v>0</v>
      </c>
      <c r="N104" s="4126"/>
    </row>
    <row r="105" spans="1:16" ht="12" hidden="1" customHeight="1">
      <c r="A105" s="309"/>
      <c r="B105" s="68" t="s">
        <v>20</v>
      </c>
      <c r="C105" s="75"/>
      <c r="D105" s="168">
        <f>+D106</f>
        <v>0</v>
      </c>
      <c r="E105" s="984">
        <v>0</v>
      </c>
      <c r="F105" s="168">
        <f t="shared" ref="F105:H106" si="70">+F106</f>
        <v>0</v>
      </c>
      <c r="G105" s="168">
        <f t="shared" si="70"/>
        <v>0</v>
      </c>
      <c r="H105" s="168">
        <f t="shared" si="70"/>
        <v>0</v>
      </c>
      <c r="I105" s="168"/>
      <c r="J105" s="168"/>
      <c r="K105" s="168"/>
      <c r="L105" s="168" t="e">
        <f>+L106</f>
        <v>#REF!</v>
      </c>
      <c r="M105" s="3972" t="s">
        <v>52</v>
      </c>
      <c r="N105" s="4127"/>
    </row>
    <row r="106" spans="1:16" ht="12" hidden="1" customHeight="1">
      <c r="A106" s="309"/>
      <c r="B106" s="131" t="s">
        <v>10</v>
      </c>
      <c r="C106" s="3904" t="s">
        <v>52</v>
      </c>
      <c r="D106" s="468">
        <f>+D107</f>
        <v>0</v>
      </c>
      <c r="E106" s="982">
        <v>0</v>
      </c>
      <c r="F106" s="468">
        <f t="shared" si="70"/>
        <v>0</v>
      </c>
      <c r="G106" s="468">
        <f t="shared" si="70"/>
        <v>0</v>
      </c>
      <c r="H106" s="468">
        <f t="shared" si="70"/>
        <v>0</v>
      </c>
      <c r="I106" s="468"/>
      <c r="J106" s="468"/>
      <c r="K106" s="468"/>
      <c r="L106" s="468" t="e">
        <f>+L107</f>
        <v>#REF!</v>
      </c>
      <c r="M106" s="3691"/>
      <c r="N106" s="4127"/>
    </row>
    <row r="107" spans="1:16" ht="12.75" hidden="1" customHeight="1" thickBot="1">
      <c r="A107" s="581"/>
      <c r="B107" s="2214" t="s">
        <v>13</v>
      </c>
      <c r="C107" s="3594"/>
      <c r="D107" s="2215">
        <f>+D126</f>
        <v>0</v>
      </c>
      <c r="E107" s="2216">
        <v>0</v>
      </c>
      <c r="F107" s="2215">
        <f t="shared" ref="F107:H107" si="71">+F126</f>
        <v>0</v>
      </c>
      <c r="G107" s="2215">
        <f t="shared" si="71"/>
        <v>0</v>
      </c>
      <c r="H107" s="2215">
        <f t="shared" si="71"/>
        <v>0</v>
      </c>
      <c r="I107" s="316"/>
      <c r="J107" s="316"/>
      <c r="K107" s="316"/>
      <c r="L107" s="2215" t="e">
        <f>+#REF!</f>
        <v>#REF!</v>
      </c>
      <c r="M107" s="3691"/>
      <c r="N107" s="4128"/>
    </row>
    <row r="108" spans="1:16" ht="18" customHeight="1" thickBot="1">
      <c r="A108" s="3595" t="s">
        <v>54</v>
      </c>
      <c r="B108" s="317" t="s">
        <v>393</v>
      </c>
      <c r="C108" s="462" t="s">
        <v>99</v>
      </c>
      <c r="D108" s="623"/>
      <c r="E108" s="985"/>
      <c r="F108" s="624"/>
      <c r="G108" s="624"/>
      <c r="H108" s="624"/>
      <c r="I108" s="624"/>
      <c r="J108" s="624"/>
      <c r="K108" s="624"/>
      <c r="L108" s="624"/>
      <c r="M108" s="291"/>
      <c r="N108" s="4122" t="s">
        <v>273</v>
      </c>
    </row>
    <row r="109" spans="1:16" ht="17.25" customHeight="1" thickBot="1">
      <c r="A109" s="3595"/>
      <c r="B109" s="68" t="s">
        <v>9</v>
      </c>
      <c r="C109" s="2113"/>
      <c r="D109" s="1138">
        <f>+D110</f>
        <v>103580</v>
      </c>
      <c r="E109" s="1138">
        <f t="shared" ref="E109:M110" si="72">+E110</f>
        <v>51157</v>
      </c>
      <c r="F109" s="1138">
        <f t="shared" si="72"/>
        <v>26856</v>
      </c>
      <c r="G109" s="1138">
        <f t="shared" si="72"/>
        <v>25567</v>
      </c>
      <c r="H109" s="2114">
        <v>0</v>
      </c>
      <c r="I109" s="2114">
        <v>0</v>
      </c>
      <c r="J109" s="2114">
        <v>0</v>
      </c>
      <c r="K109" s="2114">
        <v>0</v>
      </c>
      <c r="L109" s="1138">
        <f>+L110</f>
        <v>0</v>
      </c>
      <c r="M109" s="2154">
        <f t="shared" si="72"/>
        <v>25567</v>
      </c>
      <c r="N109" s="4122"/>
    </row>
    <row r="110" spans="1:16" ht="15.75" customHeight="1" thickBot="1">
      <c r="A110" s="3595"/>
      <c r="B110" s="1806" t="s">
        <v>22</v>
      </c>
      <c r="C110" s="4114" t="s">
        <v>221</v>
      </c>
      <c r="D110" s="2115">
        <f>+D111</f>
        <v>103580</v>
      </c>
      <c r="E110" s="2115">
        <f t="shared" si="72"/>
        <v>51157</v>
      </c>
      <c r="F110" s="2115">
        <f t="shared" si="72"/>
        <v>26856</v>
      </c>
      <c r="G110" s="2115">
        <f t="shared" si="72"/>
        <v>25567</v>
      </c>
      <c r="H110" s="2116">
        <v>0</v>
      </c>
      <c r="I110" s="2116">
        <v>0</v>
      </c>
      <c r="J110" s="2116">
        <v>0</v>
      </c>
      <c r="K110" s="2116">
        <v>0</v>
      </c>
      <c r="L110" s="2115">
        <f>+L111</f>
        <v>0</v>
      </c>
      <c r="M110" s="2217">
        <f t="shared" si="72"/>
        <v>25567</v>
      </c>
      <c r="N110" s="4122"/>
    </row>
    <row r="111" spans="1:16" ht="15" customHeight="1" thickBot="1">
      <c r="A111" s="3595"/>
      <c r="B111" s="471" t="s">
        <v>11</v>
      </c>
      <c r="C111" s="3907"/>
      <c r="D111" s="1405">
        <f>E111+L111+F111+G111+H111+I111+J111+K111</f>
        <v>103580</v>
      </c>
      <c r="E111" s="1679">
        <f>24302+26855</f>
        <v>51157</v>
      </c>
      <c r="F111" s="1258">
        <v>26856</v>
      </c>
      <c r="G111" s="1258">
        <v>25567</v>
      </c>
      <c r="H111" s="1429">
        <v>0</v>
      </c>
      <c r="I111" s="1429">
        <v>0</v>
      </c>
      <c r="J111" s="1429">
        <v>0</v>
      </c>
      <c r="K111" s="1429">
        <v>0</v>
      </c>
      <c r="L111" s="1258"/>
      <c r="M111" s="438">
        <f>SUM(G111:K111)</f>
        <v>25567</v>
      </c>
      <c r="N111" s="4123"/>
    </row>
    <row r="112" spans="1:16" ht="25.5" customHeight="1" thickBot="1">
      <c r="A112" s="3595" t="s">
        <v>55</v>
      </c>
      <c r="B112" s="317" t="s">
        <v>503</v>
      </c>
      <c r="C112" s="462" t="s">
        <v>99</v>
      </c>
      <c r="D112" s="2453"/>
      <c r="E112" s="2454"/>
      <c r="F112" s="2455"/>
      <c r="G112" s="2455"/>
      <c r="H112" s="2455"/>
      <c r="I112" s="2455"/>
      <c r="J112" s="2455"/>
      <c r="K112" s="2456"/>
      <c r="L112" s="2455"/>
      <c r="M112" s="2457"/>
      <c r="N112" s="4122" t="s">
        <v>267</v>
      </c>
      <c r="P112" s="454">
        <f>+M113+M109</f>
        <v>69522</v>
      </c>
    </row>
    <row r="113" spans="1:14" ht="17.25" customHeight="1">
      <c r="A113" s="3900"/>
      <c r="B113" s="68" t="s">
        <v>9</v>
      </c>
      <c r="C113" s="2113"/>
      <c r="D113" s="1138">
        <f>+D114</f>
        <v>208775</v>
      </c>
      <c r="E113" s="1138">
        <f t="shared" ref="E113:M114" si="73">+E114</f>
        <v>27306</v>
      </c>
      <c r="F113" s="1138">
        <f t="shared" si="73"/>
        <v>137514</v>
      </c>
      <c r="G113" s="1138">
        <f t="shared" si="73"/>
        <v>43955</v>
      </c>
      <c r="H113" s="2114">
        <v>0</v>
      </c>
      <c r="I113" s="2114">
        <v>0</v>
      </c>
      <c r="J113" s="2114">
        <v>0</v>
      </c>
      <c r="K113" s="1217">
        <v>0</v>
      </c>
      <c r="L113" s="1138">
        <f>+L114</f>
        <v>0</v>
      </c>
      <c r="M113" s="2458">
        <f t="shared" si="73"/>
        <v>43955</v>
      </c>
      <c r="N113" s="3931"/>
    </row>
    <row r="114" spans="1:14" ht="15.75" customHeight="1" thickBot="1">
      <c r="A114" s="3902"/>
      <c r="B114" s="1806" t="s">
        <v>22</v>
      </c>
      <c r="C114" s="4114" t="s">
        <v>328</v>
      </c>
      <c r="D114" s="2115">
        <f>+D115</f>
        <v>208775</v>
      </c>
      <c r="E114" s="2115">
        <f t="shared" si="73"/>
        <v>27306</v>
      </c>
      <c r="F114" s="2115">
        <f t="shared" si="73"/>
        <v>137514</v>
      </c>
      <c r="G114" s="2115">
        <f t="shared" si="73"/>
        <v>43955</v>
      </c>
      <c r="H114" s="2116">
        <v>0</v>
      </c>
      <c r="I114" s="2116">
        <v>0</v>
      </c>
      <c r="J114" s="2116">
        <v>0</v>
      </c>
      <c r="K114" s="2459">
        <v>0</v>
      </c>
      <c r="L114" s="2115">
        <f>+L115</f>
        <v>0</v>
      </c>
      <c r="M114" s="2460">
        <f t="shared" si="73"/>
        <v>43955</v>
      </c>
      <c r="N114" s="4130"/>
    </row>
    <row r="115" spans="1:14" ht="15" customHeight="1" thickBot="1">
      <c r="A115" s="3595"/>
      <c r="B115" s="471" t="s">
        <v>11</v>
      </c>
      <c r="C115" s="3907"/>
      <c r="D115" s="1405">
        <f>E115+L115+F115+G115+H115+I115+J115+K115</f>
        <v>208775</v>
      </c>
      <c r="E115" s="1258">
        <f>34000-6694</f>
        <v>27306</v>
      </c>
      <c r="F115" s="1258">
        <f>166000+15469-43955</f>
        <v>137514</v>
      </c>
      <c r="G115" s="1258">
        <v>43955</v>
      </c>
      <c r="H115" s="1429">
        <v>0</v>
      </c>
      <c r="I115" s="1429">
        <v>0</v>
      </c>
      <c r="J115" s="1429">
        <v>0</v>
      </c>
      <c r="K115" s="1429">
        <v>0</v>
      </c>
      <c r="L115" s="1258"/>
      <c r="M115" s="438">
        <f>SUM(G115:K115)</f>
        <v>43955</v>
      </c>
      <c r="N115" s="4123"/>
    </row>
    <row r="116" spans="1:14" ht="30" customHeight="1">
      <c r="A116" s="4118"/>
      <c r="B116" s="4118"/>
      <c r="C116" s="4118"/>
      <c r="D116" s="4118"/>
      <c r="E116" s="4118"/>
      <c r="F116" s="4118"/>
      <c r="G116" s="4118"/>
      <c r="H116" s="4118"/>
      <c r="I116" s="4118"/>
      <c r="J116" s="4118"/>
      <c r="K116" s="4118"/>
      <c r="L116" s="2698"/>
      <c r="M116" s="4118"/>
      <c r="N116" s="4119"/>
    </row>
    <row r="117" spans="1:14">
      <c r="N117" s="2074"/>
    </row>
    <row r="118" spans="1:14" ht="12.75" hidden="1">
      <c r="B118" s="2087" t="s">
        <v>332</v>
      </c>
      <c r="C118" s="2088"/>
      <c r="D118" s="2088"/>
      <c r="E118" s="2088"/>
      <c r="F118" s="2088"/>
      <c r="G118" s="2088"/>
      <c r="H118" s="2088"/>
      <c r="I118" s="2088"/>
      <c r="J118" s="2088"/>
      <c r="K118" s="2088"/>
      <c r="L118" s="2088"/>
    </row>
    <row r="119" spans="1:14" ht="12.75" hidden="1">
      <c r="B119" s="2699" t="s">
        <v>333</v>
      </c>
      <c r="C119" s="2088"/>
      <c r="D119" s="2089">
        <f t="shared" ref="D119:K119" si="74">D32+D41+D57</f>
        <v>1971431</v>
      </c>
      <c r="E119" s="2089">
        <f t="shared" si="74"/>
        <v>482232</v>
      </c>
      <c r="F119" s="2089">
        <f t="shared" si="74"/>
        <v>701039</v>
      </c>
      <c r="G119" s="2089">
        <f t="shared" si="74"/>
        <v>627014</v>
      </c>
      <c r="H119" s="2089">
        <f t="shared" si="74"/>
        <v>94942</v>
      </c>
      <c r="I119" s="2089">
        <f t="shared" si="74"/>
        <v>66204</v>
      </c>
      <c r="J119" s="2089">
        <f t="shared" si="74"/>
        <v>0</v>
      </c>
      <c r="K119" s="2089">
        <f t="shared" si="74"/>
        <v>0</v>
      </c>
      <c r="L119" s="2089">
        <f>L32+L41+L57</f>
        <v>0</v>
      </c>
    </row>
    <row r="120" spans="1:14" ht="12.75" hidden="1">
      <c r="B120" s="2699" t="s">
        <v>334</v>
      </c>
      <c r="C120" s="2088"/>
      <c r="D120" s="2089">
        <f>D68+D80</f>
        <v>49942320</v>
      </c>
      <c r="E120" s="2089">
        <f t="shared" ref="E120:K120" si="75">E68+E80</f>
        <v>0</v>
      </c>
      <c r="F120" s="2089">
        <f t="shared" si="75"/>
        <v>4335</v>
      </c>
      <c r="G120" s="2089">
        <f t="shared" si="75"/>
        <v>14874433</v>
      </c>
      <c r="H120" s="2089">
        <f t="shared" si="75"/>
        <v>28797938</v>
      </c>
      <c r="I120" s="2089">
        <f t="shared" si="75"/>
        <v>6265614</v>
      </c>
      <c r="J120" s="2089">
        <f t="shared" si="75"/>
        <v>0</v>
      </c>
      <c r="K120" s="2089">
        <f t="shared" si="75"/>
        <v>0</v>
      </c>
      <c r="L120" s="2089">
        <f>L68+L80</f>
        <v>0</v>
      </c>
    </row>
    <row r="121" spans="1:14" ht="13.5" hidden="1" thickBot="1">
      <c r="A121" s="2008"/>
      <c r="B121" s="2070" t="s">
        <v>335</v>
      </c>
      <c r="C121" s="2071"/>
      <c r="D121" s="2138">
        <f>D119+D120</f>
        <v>51913751</v>
      </c>
      <c r="E121" s="2138">
        <f>E119+E120</f>
        <v>482232</v>
      </c>
      <c r="F121" s="2138">
        <f t="shared" ref="F121:K121" si="76">F119+F120</f>
        <v>705374</v>
      </c>
      <c r="G121" s="2138">
        <f t="shared" si="76"/>
        <v>15501447</v>
      </c>
      <c r="H121" s="2138">
        <f t="shared" si="76"/>
        <v>28892880</v>
      </c>
      <c r="I121" s="2138">
        <f t="shared" si="76"/>
        <v>6331818</v>
      </c>
      <c r="J121" s="2138">
        <f t="shared" si="76"/>
        <v>0</v>
      </c>
      <c r="K121" s="2138">
        <f t="shared" si="76"/>
        <v>0</v>
      </c>
      <c r="L121" s="2138">
        <f>L119+L120</f>
        <v>0</v>
      </c>
      <c r="N121" s="2065"/>
    </row>
    <row r="122" spans="1:14" ht="13.5" hidden="1" thickBot="1">
      <c r="A122" s="2009"/>
      <c r="B122" s="993" t="s">
        <v>40</v>
      </c>
      <c r="C122" s="995"/>
      <c r="D122" s="997">
        <f>D121-D19</f>
        <v>0</v>
      </c>
      <c r="E122" s="997">
        <f t="shared" ref="E122:K122" si="77">E121-E19</f>
        <v>0</v>
      </c>
      <c r="F122" s="997">
        <f t="shared" si="77"/>
        <v>0</v>
      </c>
      <c r="G122" s="997">
        <f t="shared" si="77"/>
        <v>0</v>
      </c>
      <c r="H122" s="997">
        <f t="shared" si="77"/>
        <v>0</v>
      </c>
      <c r="I122" s="997">
        <f t="shared" si="77"/>
        <v>0</v>
      </c>
      <c r="J122" s="997">
        <f t="shared" si="77"/>
        <v>0</v>
      </c>
      <c r="K122" s="997">
        <f t="shared" si="77"/>
        <v>0</v>
      </c>
      <c r="L122" s="997">
        <f>L121-L19</f>
        <v>0</v>
      </c>
      <c r="N122" s="2055"/>
    </row>
    <row r="123" spans="1:14" ht="12" hidden="1" thickBot="1">
      <c r="A123" s="2009"/>
      <c r="N123" s="2055"/>
    </row>
    <row r="124" spans="1:14" ht="12" hidden="1" thickBot="1">
      <c r="A124" s="2009"/>
      <c r="N124" s="2055"/>
    </row>
    <row r="125" spans="1:14" ht="12" hidden="1" thickBot="1">
      <c r="A125" s="2009"/>
      <c r="N125" s="2055"/>
    </row>
    <row r="126" spans="1:14" ht="12" hidden="1" thickBot="1">
      <c r="A126" s="2009"/>
      <c r="N126" s="2055"/>
    </row>
    <row r="127" spans="1:14" ht="12" hidden="1" thickBot="1">
      <c r="A127" s="2009"/>
      <c r="N127" s="2055"/>
    </row>
    <row r="128" spans="1:14" ht="12" hidden="1" thickBot="1">
      <c r="A128" s="2009"/>
      <c r="N128" s="2055"/>
    </row>
    <row r="129" spans="1:14" hidden="1">
      <c r="A129" s="2010"/>
      <c r="N129" s="2056"/>
    </row>
    <row r="130" spans="1:14" hidden="1"/>
    <row r="131" spans="1:14" hidden="1"/>
    <row r="132" spans="1:14" hidden="1"/>
    <row r="190" spans="1:1" ht="12" thickBot="1">
      <c r="A190" s="2008"/>
    </row>
    <row r="191" spans="1:1" ht="12" thickBot="1">
      <c r="A191" s="2009"/>
    </row>
    <row r="192" spans="1:1" ht="12" thickBot="1">
      <c r="A192" s="2009"/>
    </row>
    <row r="193" spans="1:2" ht="12" thickBot="1">
      <c r="A193" s="2009"/>
    </row>
    <row r="194" spans="1:2" ht="12" thickBot="1">
      <c r="A194" s="2009"/>
    </row>
    <row r="195" spans="1:2" ht="12" thickBot="1">
      <c r="A195" s="2009"/>
    </row>
    <row r="196" spans="1:2" ht="12" thickBot="1">
      <c r="A196" s="2009"/>
    </row>
    <row r="197" spans="1:2" ht="12" thickBot="1">
      <c r="A197" s="2009"/>
    </row>
    <row r="198" spans="1:2" ht="12" thickBot="1">
      <c r="A198" s="2009"/>
    </row>
    <row r="199" spans="1:2" ht="12" thickBot="1">
      <c r="A199" s="2009"/>
    </row>
    <row r="200" spans="1:2" ht="12" thickBot="1">
      <c r="A200" s="2009"/>
    </row>
    <row r="201" spans="1:2" ht="12" thickBot="1">
      <c r="A201" s="2009"/>
      <c r="B201" s="1996"/>
    </row>
    <row r="202" spans="1:2" ht="12" thickBot="1">
      <c r="A202" s="2009"/>
      <c r="B202" s="1998"/>
    </row>
    <row r="203" spans="1:2" ht="12" thickBot="1">
      <c r="A203" s="2009"/>
    </row>
    <row r="204" spans="1:2" ht="12" thickBot="1">
      <c r="A204" s="2009"/>
    </row>
    <row r="205" spans="1:2" ht="12" thickBot="1">
      <c r="A205" s="2009"/>
    </row>
    <row r="206" spans="1:2" ht="12" thickBot="1">
      <c r="A206" s="2009"/>
    </row>
    <row r="207" spans="1:2" ht="12" thickBot="1">
      <c r="A207" s="2009"/>
    </row>
    <row r="208" spans="1:2" ht="12" thickBot="1">
      <c r="A208" s="2009"/>
    </row>
    <row r="209" spans="1:14" ht="12" thickBot="1">
      <c r="A209" s="2009"/>
    </row>
    <row r="210" spans="1:14" ht="12" thickBot="1">
      <c r="A210" s="2009"/>
    </row>
    <row r="211" spans="1:14" ht="12" thickBot="1">
      <c r="A211" s="2009"/>
    </row>
    <row r="212" spans="1:14" ht="12" thickBot="1">
      <c r="A212" s="2009"/>
    </row>
    <row r="213" spans="1:14" ht="12" thickBot="1">
      <c r="A213" s="2009"/>
    </row>
    <row r="214" spans="1:14" ht="12" thickBot="1">
      <c r="A214" s="2009"/>
    </row>
    <row r="215" spans="1:14" ht="12" thickBot="1">
      <c r="A215" s="2009"/>
      <c r="M215" s="1996"/>
      <c r="N215" s="1983"/>
    </row>
    <row r="216" spans="1:14" ht="12" thickBot="1">
      <c r="A216" s="2009"/>
      <c r="C216" s="1996"/>
      <c r="M216" s="1997"/>
      <c r="N216" s="1984"/>
    </row>
    <row r="217" spans="1:14" ht="12" thickBot="1">
      <c r="A217" s="2009"/>
      <c r="C217" s="1997"/>
      <c r="M217" s="1997"/>
      <c r="N217" s="1984"/>
    </row>
    <row r="218" spans="1:14" ht="12" thickBot="1">
      <c r="A218" s="2009"/>
      <c r="C218" s="1997"/>
      <c r="M218" s="1997"/>
      <c r="N218" s="1984"/>
    </row>
    <row r="219" spans="1:14" ht="12" thickBot="1">
      <c r="A219" s="2010"/>
      <c r="C219" s="1997"/>
      <c r="D219" s="1996"/>
      <c r="E219" s="1996"/>
      <c r="F219" s="1996"/>
      <c r="G219" s="1996"/>
      <c r="H219" s="1996"/>
      <c r="I219" s="1996"/>
      <c r="J219" s="1996"/>
      <c r="K219" s="1996"/>
      <c r="L219" s="1996"/>
      <c r="M219" s="1997"/>
      <c r="N219" s="1984"/>
    </row>
    <row r="220" spans="1:14" ht="12" thickBot="1">
      <c r="C220" s="1998"/>
      <c r="D220" s="1998"/>
      <c r="E220" s="1998"/>
      <c r="F220" s="1998"/>
      <c r="G220" s="1998"/>
      <c r="H220" s="1998"/>
      <c r="I220" s="1998"/>
      <c r="J220" s="1998"/>
      <c r="K220" s="1998"/>
      <c r="L220" s="1998"/>
      <c r="M220" s="1998"/>
      <c r="N220" s="1984"/>
    </row>
    <row r="221" spans="1:14" ht="12" thickBot="1">
      <c r="N221" s="1984"/>
    </row>
    <row r="222" spans="1:14" ht="12" thickBot="1">
      <c r="N222" s="1984"/>
    </row>
    <row r="223" spans="1:14" ht="12" thickBot="1">
      <c r="N223" s="1984"/>
    </row>
    <row r="224" spans="1:14" ht="12" thickBot="1">
      <c r="N224" s="1984"/>
    </row>
    <row r="225" spans="14:14" ht="12" thickBot="1">
      <c r="N225" s="1984"/>
    </row>
    <row r="226" spans="14:14" ht="12" thickBot="1">
      <c r="N226" s="1984"/>
    </row>
    <row r="227" spans="14:14" ht="12" thickBot="1">
      <c r="N227" s="1984"/>
    </row>
    <row r="228" spans="14:14" ht="12" thickBot="1">
      <c r="N228" s="1984"/>
    </row>
    <row r="229" spans="14:14">
      <c r="N229" s="1985"/>
    </row>
    <row r="263" spans="14:14" ht="12" thickBot="1">
      <c r="N263" s="1983"/>
    </row>
    <row r="264" spans="14:14" ht="12" thickBot="1">
      <c r="N264" s="1984"/>
    </row>
    <row r="265" spans="14:14" ht="12" thickBot="1">
      <c r="N265" s="1984"/>
    </row>
    <row r="266" spans="14:14" ht="12" thickBot="1">
      <c r="N266" s="1984"/>
    </row>
    <row r="267" spans="14:14" ht="12" thickBot="1">
      <c r="N267" s="1984"/>
    </row>
    <row r="268" spans="14:14" ht="12" thickBot="1">
      <c r="N268" s="1984"/>
    </row>
    <row r="269" spans="14:14" ht="12" thickBot="1">
      <c r="N269" s="1984"/>
    </row>
    <row r="270" spans="14:14" ht="12" thickBot="1">
      <c r="N270" s="1984"/>
    </row>
    <row r="271" spans="14:14" ht="12" thickBot="1">
      <c r="N271" s="1984"/>
    </row>
    <row r="272" spans="14:14" ht="12" thickBot="1">
      <c r="N272" s="1984"/>
    </row>
    <row r="273" spans="14:14" ht="12" thickBot="1">
      <c r="N273" s="1984"/>
    </row>
    <row r="274" spans="14:14" ht="12" thickBot="1">
      <c r="N274" s="1984"/>
    </row>
    <row r="275" spans="14:14" ht="12" thickBot="1">
      <c r="N275" s="1984"/>
    </row>
    <row r="276" spans="14:14" ht="12" thickBot="1">
      <c r="N276" s="1984"/>
    </row>
    <row r="277" spans="14:14">
      <c r="N277" s="1985"/>
    </row>
    <row r="416" spans="1:1" ht="12" thickBot="1">
      <c r="A416" s="2008"/>
    </row>
    <row r="417" spans="1:14" ht="12" thickBot="1">
      <c r="A417" s="2009"/>
    </row>
    <row r="418" spans="1:14" ht="12" thickBot="1">
      <c r="A418" s="2009"/>
    </row>
    <row r="419" spans="1:14" ht="12" thickBot="1">
      <c r="A419" s="2009"/>
    </row>
    <row r="420" spans="1:14" ht="12" thickBot="1">
      <c r="A420" s="2009"/>
    </row>
    <row r="421" spans="1:14" ht="12" thickBot="1">
      <c r="A421" s="2009"/>
    </row>
    <row r="422" spans="1:14" ht="12" thickBot="1">
      <c r="A422" s="2009"/>
      <c r="M422" s="1996"/>
      <c r="N422" s="1983"/>
    </row>
    <row r="423" spans="1:14" ht="12" thickBot="1">
      <c r="A423" s="2009"/>
      <c r="C423" s="1996"/>
      <c r="M423" s="1997"/>
      <c r="N423" s="1984"/>
    </row>
    <row r="424" spans="1:14" ht="12" thickBot="1">
      <c r="A424" s="2009"/>
      <c r="C424" s="1997"/>
      <c r="D424" s="1996"/>
      <c r="E424" s="1996"/>
      <c r="F424" s="1996"/>
      <c r="G424" s="1996"/>
      <c r="H424" s="1996"/>
      <c r="I424" s="1996"/>
      <c r="J424" s="1996"/>
      <c r="K424" s="1996"/>
      <c r="L424" s="1996"/>
      <c r="M424" s="1997"/>
      <c r="N424" s="1984"/>
    </row>
    <row r="425" spans="1:14" ht="12" thickBot="1">
      <c r="A425" s="2009"/>
      <c r="C425" s="1998"/>
      <c r="D425" s="1998"/>
      <c r="E425" s="1998"/>
      <c r="F425" s="1998"/>
      <c r="G425" s="1998"/>
      <c r="H425" s="1998"/>
      <c r="I425" s="1998"/>
      <c r="J425" s="1998"/>
      <c r="K425" s="1998"/>
      <c r="L425" s="1998"/>
      <c r="M425" s="1998"/>
      <c r="N425" s="1984"/>
    </row>
    <row r="426" spans="1:14" ht="12" thickBot="1">
      <c r="A426" s="2009"/>
      <c r="N426" s="1984"/>
    </row>
    <row r="427" spans="1:14" ht="12" thickBot="1">
      <c r="A427" s="2009"/>
      <c r="N427" s="1984"/>
    </row>
    <row r="428" spans="1:14" ht="12" thickBot="1">
      <c r="A428" s="2009"/>
      <c r="N428" s="1984"/>
    </row>
    <row r="429" spans="1:14" ht="12" thickBot="1">
      <c r="A429" s="2009"/>
      <c r="N429" s="1984"/>
    </row>
    <row r="430" spans="1:14" ht="12" thickBot="1">
      <c r="A430" s="2009"/>
      <c r="N430" s="1985"/>
    </row>
    <row r="431" spans="1:14" ht="12" thickBot="1">
      <c r="A431" s="2009"/>
    </row>
    <row r="432" spans="1:14" ht="12" thickBot="1">
      <c r="A432" s="2009"/>
    </row>
    <row r="433" spans="1:1">
      <c r="A433" s="2010"/>
    </row>
    <row r="531" spans="1:14" ht="12" thickBot="1">
      <c r="N531" s="1983"/>
    </row>
    <row r="532" spans="1:14" ht="12" thickBot="1">
      <c r="N532" s="1984"/>
    </row>
    <row r="533" spans="1:14" ht="12" thickBot="1">
      <c r="N533" s="1984"/>
    </row>
    <row r="534" spans="1:14" ht="12" thickBot="1">
      <c r="N534" s="1984"/>
    </row>
    <row r="535" spans="1:14" ht="12" thickBot="1">
      <c r="M535" s="1996"/>
      <c r="N535" s="1984"/>
    </row>
    <row r="536" spans="1:14" ht="12" thickBot="1">
      <c r="M536" s="1997"/>
      <c r="N536" s="1984"/>
    </row>
    <row r="537" spans="1:14" ht="12" thickBot="1">
      <c r="M537" s="1997"/>
      <c r="N537" s="1984"/>
    </row>
    <row r="538" spans="1:14" ht="12" thickBot="1">
      <c r="M538" s="1997"/>
      <c r="N538" s="1984"/>
    </row>
    <row r="539" spans="1:14" ht="12" thickBot="1">
      <c r="M539" s="1997"/>
      <c r="N539" s="1984"/>
    </row>
    <row r="540" spans="1:14" ht="12" thickBot="1">
      <c r="A540" s="2008"/>
      <c r="B540" s="1996"/>
      <c r="C540" s="1996"/>
      <c r="D540" s="1996"/>
      <c r="E540" s="1996"/>
      <c r="F540" s="1996"/>
      <c r="G540" s="1996"/>
      <c r="H540" s="1996"/>
      <c r="I540" s="1996"/>
      <c r="J540" s="1996"/>
      <c r="K540" s="1996"/>
      <c r="L540" s="1996"/>
      <c r="M540" s="1997"/>
      <c r="N540" s="1984"/>
    </row>
    <row r="541" spans="1:14" ht="12" thickBot="1">
      <c r="A541" s="2009"/>
      <c r="B541" s="1998"/>
      <c r="C541" s="1998"/>
      <c r="D541" s="1998"/>
      <c r="E541" s="1998"/>
      <c r="F541" s="1998"/>
      <c r="G541" s="1998"/>
      <c r="H541" s="1998"/>
      <c r="I541" s="1998"/>
      <c r="J541" s="1998"/>
      <c r="K541" s="1998"/>
      <c r="L541" s="1998"/>
      <c r="M541" s="1998"/>
      <c r="N541" s="1984"/>
    </row>
    <row r="542" spans="1:14" ht="12" thickBot="1">
      <c r="A542" s="2009"/>
      <c r="N542" s="1984"/>
    </row>
    <row r="543" spans="1:14" ht="12" thickBot="1">
      <c r="A543" s="2009"/>
      <c r="N543" s="1984"/>
    </row>
    <row r="544" spans="1:14" ht="12" thickBot="1">
      <c r="A544" s="2009"/>
      <c r="N544" s="1984"/>
    </row>
    <row r="545" spans="1:14" ht="12" thickBot="1">
      <c r="A545" s="2009"/>
      <c r="N545" s="1984"/>
    </row>
    <row r="546" spans="1:14" ht="12" thickBot="1">
      <c r="A546" s="2009"/>
      <c r="N546" s="1984"/>
    </row>
    <row r="547" spans="1:14" ht="12" thickBot="1">
      <c r="A547" s="2009"/>
      <c r="N547" s="1984"/>
    </row>
    <row r="548" spans="1:14">
      <c r="A548" s="2010"/>
      <c r="N548" s="1985"/>
    </row>
  </sheetData>
  <mergeCells count="52">
    <mergeCell ref="A4:N4"/>
    <mergeCell ref="B5:B6"/>
    <mergeCell ref="C5:C6"/>
    <mergeCell ref="D5:D6"/>
    <mergeCell ref="N5:N6"/>
    <mergeCell ref="M5:M6"/>
    <mergeCell ref="L5:L6"/>
    <mergeCell ref="G5:K5"/>
    <mergeCell ref="A116:K116"/>
    <mergeCell ref="M116:N116"/>
    <mergeCell ref="A62:A72"/>
    <mergeCell ref="N62:N72"/>
    <mergeCell ref="M68:M72"/>
    <mergeCell ref="C64:C67"/>
    <mergeCell ref="C69:C72"/>
    <mergeCell ref="A108:A111"/>
    <mergeCell ref="N108:N111"/>
    <mergeCell ref="C110:C111"/>
    <mergeCell ref="N98:N107"/>
    <mergeCell ref="C102:C104"/>
    <mergeCell ref="M105:M107"/>
    <mergeCell ref="C106:C107"/>
    <mergeCell ref="A112:A115"/>
    <mergeCell ref="N112:N115"/>
    <mergeCell ref="C114:C115"/>
    <mergeCell ref="M19:M25"/>
    <mergeCell ref="A44:A61"/>
    <mergeCell ref="A73:A84"/>
    <mergeCell ref="C75:C79"/>
    <mergeCell ref="M80:M84"/>
    <mergeCell ref="M57:M61"/>
    <mergeCell ref="C46:C53"/>
    <mergeCell ref="C58:C61"/>
    <mergeCell ref="A35:A43"/>
    <mergeCell ref="N44:N61"/>
    <mergeCell ref="N35:N43"/>
    <mergeCell ref="M41:M43"/>
    <mergeCell ref="N74:N79"/>
    <mergeCell ref="C37:C40"/>
    <mergeCell ref="C42:C43"/>
    <mergeCell ref="N80:N84"/>
    <mergeCell ref="A85:A96"/>
    <mergeCell ref="N85:N96"/>
    <mergeCell ref="C87:C91"/>
    <mergeCell ref="M92:M96"/>
    <mergeCell ref="C95:C96"/>
    <mergeCell ref="C81:C84"/>
    <mergeCell ref="N26:N34"/>
    <mergeCell ref="C28:C31"/>
    <mergeCell ref="C33:C34"/>
    <mergeCell ref="M32:M34"/>
    <mergeCell ref="A26:A34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75" firstPageNumber="60" orientation="landscape" useFirstPageNumber="1" r:id="rId1"/>
  <headerFooter>
    <oddHeader>&amp;C&amp;"Arial,Kursywa"Wieloletnia prognoza finansowa Województwa Zachodniopomorskiego&amp;"Arial,Normalny"
____________________________________________________________________________________________________________________</oddHeader>
    <oddFooter>&amp;C&amp;9&amp;P</oddFooter>
  </headerFooter>
  <rowBreaks count="2" manualBreakCount="2">
    <brk id="43" max="13" man="1"/>
    <brk id="96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Z692"/>
  <sheetViews>
    <sheetView showGridLines="0" view="pageBreakPreview" zoomScale="112" zoomScaleSheetLayoutView="112" workbookViewId="0">
      <pane xSplit="2" ySplit="6" topLeftCell="C7" activePane="bottomRight" state="frozen"/>
      <selection activeCell="A7" sqref="A7:J7"/>
      <selection pane="topRight" activeCell="A7" sqref="A7:J7"/>
      <selection pane="bottomLeft" activeCell="A7" sqref="A7:J7"/>
      <selection pane="bottomRight" activeCell="B1" sqref="B1"/>
    </sheetView>
  </sheetViews>
  <sheetFormatPr defaultColWidth="9.140625" defaultRowHeight="12.75"/>
  <cols>
    <col min="1" max="1" width="3.42578125" style="201" customWidth="1"/>
    <col min="2" max="2" width="61.42578125" style="201" customWidth="1"/>
    <col min="3" max="3" width="11.5703125" style="201" customWidth="1"/>
    <col min="4" max="4" width="14.140625" style="201" customWidth="1"/>
    <col min="5" max="9" width="11.140625" style="201" customWidth="1"/>
    <col min="10" max="10" width="10.42578125" style="201" customWidth="1"/>
    <col min="11" max="11" width="9.5703125" style="201" customWidth="1"/>
    <col min="12" max="12" width="9.85546875" style="201" hidden="1" customWidth="1"/>
    <col min="13" max="13" width="11.85546875" style="201" customWidth="1"/>
    <col min="14" max="14" width="12.7109375" style="201" customWidth="1"/>
    <col min="15" max="15" width="14.140625" style="201" hidden="1" customWidth="1"/>
    <col min="16" max="16" width="16" style="201" hidden="1" customWidth="1"/>
    <col min="17" max="17" width="10" style="201" customWidth="1"/>
    <col min="18" max="18" width="16.42578125" style="201" customWidth="1"/>
    <col min="19" max="16384" width="9.140625" style="201"/>
  </cols>
  <sheetData>
    <row r="1" spans="1:18" ht="15.75" customHeight="1">
      <c r="F1" s="626"/>
      <c r="G1" s="626"/>
      <c r="H1" s="215" t="s">
        <v>61</v>
      </c>
      <c r="I1" s="215"/>
      <c r="J1" s="215"/>
      <c r="K1" s="215"/>
      <c r="L1" s="215"/>
      <c r="M1" s="3"/>
      <c r="N1" s="4"/>
    </row>
    <row r="2" spans="1:18" ht="18.75"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4"/>
    </row>
    <row r="3" spans="1:18" ht="43.5" customHeight="1" thickBot="1">
      <c r="A3" s="3499" t="s">
        <v>187</v>
      </c>
      <c r="B3" s="3499"/>
      <c r="C3" s="3499"/>
      <c r="D3" s="3499"/>
      <c r="E3" s="3499"/>
      <c r="F3" s="3499"/>
      <c r="G3" s="3499"/>
      <c r="H3" s="3499"/>
      <c r="I3" s="3499"/>
      <c r="J3" s="3499"/>
      <c r="K3" s="3499"/>
      <c r="L3" s="3499"/>
      <c r="M3" s="3499"/>
      <c r="N3" s="3499"/>
    </row>
    <row r="4" spans="1:18" ht="13.5" hidden="1" thickBot="1">
      <c r="A4" s="2730"/>
      <c r="B4" s="2730"/>
      <c r="C4" s="2730"/>
      <c r="D4" s="2730"/>
      <c r="E4" s="2730"/>
      <c r="F4" s="2730"/>
      <c r="G4" s="2730"/>
      <c r="H4" s="2730"/>
      <c r="I4" s="2730"/>
      <c r="J4" s="2730"/>
      <c r="K4" s="2730"/>
      <c r="L4" s="3173"/>
      <c r="M4" s="3173"/>
      <c r="N4" s="3174"/>
    </row>
    <row r="5" spans="1:18" ht="75.75" customHeight="1">
      <c r="A5" s="3517" t="s">
        <v>65</v>
      </c>
      <c r="B5" s="3519" t="s">
        <v>66</v>
      </c>
      <c r="C5" s="3500" t="s">
        <v>62</v>
      </c>
      <c r="D5" s="3502" t="s">
        <v>63</v>
      </c>
      <c r="E5" s="2693" t="s">
        <v>216</v>
      </c>
      <c r="F5" s="2981" t="s">
        <v>542</v>
      </c>
      <c r="G5" s="3521" t="s">
        <v>544</v>
      </c>
      <c r="H5" s="3522"/>
      <c r="I5" s="3522"/>
      <c r="J5" s="3522"/>
      <c r="K5" s="3523"/>
      <c r="L5" s="2702"/>
      <c r="M5" s="3509" t="s">
        <v>563</v>
      </c>
      <c r="N5" s="3504" t="s">
        <v>64</v>
      </c>
    </row>
    <row r="6" spans="1:18" ht="18.75" customHeight="1" thickBot="1">
      <c r="A6" s="3518"/>
      <c r="B6" s="3520"/>
      <c r="C6" s="3501"/>
      <c r="D6" s="3503"/>
      <c r="E6" s="2731" t="s">
        <v>541</v>
      </c>
      <c r="F6" s="2694" t="s">
        <v>5</v>
      </c>
      <c r="G6" s="2694" t="s">
        <v>169</v>
      </c>
      <c r="H6" s="2694" t="s">
        <v>170</v>
      </c>
      <c r="I6" s="2694" t="s">
        <v>210</v>
      </c>
      <c r="J6" s="2694" t="s">
        <v>211</v>
      </c>
      <c r="K6" s="2694" t="s">
        <v>209</v>
      </c>
      <c r="L6" s="2694">
        <v>2024</v>
      </c>
      <c r="M6" s="3510"/>
      <c r="N6" s="3505"/>
      <c r="O6" s="362"/>
      <c r="P6" s="362"/>
    </row>
    <row r="7" spans="1:18" s="218" customFormat="1" ht="12.75" customHeight="1" thickBot="1">
      <c r="A7" s="5">
        <v>1</v>
      </c>
      <c r="B7" s="6">
        <v>2</v>
      </c>
      <c r="C7" s="7">
        <v>3</v>
      </c>
      <c r="D7" s="8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/>
      <c r="M7" s="10">
        <v>12</v>
      </c>
      <c r="N7" s="11">
        <v>13</v>
      </c>
      <c r="O7" s="217"/>
      <c r="P7" s="217"/>
    </row>
    <row r="8" spans="1:18" ht="16.5" customHeight="1">
      <c r="A8" s="3506" t="s">
        <v>59</v>
      </c>
      <c r="B8" s="180" t="s">
        <v>67</v>
      </c>
      <c r="C8" s="2732"/>
      <c r="D8" s="182">
        <f>+D9+D10</f>
        <v>986839735</v>
      </c>
      <c r="E8" s="182">
        <f>+E9+E10</f>
        <v>266481348</v>
      </c>
      <c r="F8" s="182">
        <f t="shared" ref="F8" si="0">+F9+F10</f>
        <v>299330294</v>
      </c>
      <c r="G8" s="182">
        <f t="shared" ref="G8:K8" si="1">+G9+G10</f>
        <v>211345861</v>
      </c>
      <c r="H8" s="182">
        <f t="shared" si="1"/>
        <v>162682232</v>
      </c>
      <c r="I8" s="182">
        <f t="shared" si="1"/>
        <v>47000000</v>
      </c>
      <c r="J8" s="182">
        <f t="shared" si="1"/>
        <v>0</v>
      </c>
      <c r="K8" s="182">
        <f t="shared" si="1"/>
        <v>0</v>
      </c>
      <c r="L8" s="182">
        <f>+L9+L10</f>
        <v>0</v>
      </c>
      <c r="M8" s="12">
        <f>+M9+M10</f>
        <v>421028093</v>
      </c>
      <c r="N8" s="627"/>
      <c r="O8" s="362"/>
    </row>
    <row r="9" spans="1:18" ht="13.5" customHeight="1">
      <c r="A9" s="3507"/>
      <c r="B9" s="183" t="s">
        <v>68</v>
      </c>
      <c r="C9" s="350"/>
      <c r="D9" s="185">
        <f>+D499+D517+D435+D450</f>
        <v>944587</v>
      </c>
      <c r="E9" s="185">
        <f>+E499+E517+E435+E450</f>
        <v>199084</v>
      </c>
      <c r="F9" s="185">
        <f t="shared" ref="F9:I9" si="2">+F499+F517+F435+F450</f>
        <v>387960</v>
      </c>
      <c r="G9" s="185">
        <f t="shared" si="2"/>
        <v>275371</v>
      </c>
      <c r="H9" s="185">
        <f t="shared" si="2"/>
        <v>82172</v>
      </c>
      <c r="I9" s="185">
        <f t="shared" si="2"/>
        <v>0</v>
      </c>
      <c r="J9" s="185">
        <f t="shared" ref="J9:K9" si="3">+J499+J517+J435</f>
        <v>0</v>
      </c>
      <c r="K9" s="185">
        <f t="shared" si="3"/>
        <v>0</v>
      </c>
      <c r="L9" s="185">
        <f>+L499+L517+L435+L450</f>
        <v>0</v>
      </c>
      <c r="M9" s="1410">
        <f>SUM(G9:K9)</f>
        <v>357543</v>
      </c>
      <c r="N9" s="628"/>
      <c r="O9" s="362">
        <f>E9+F9+G9+H9+I9+J9+K9-D9</f>
        <v>0</v>
      </c>
    </row>
    <row r="10" spans="1:18" ht="14.25" customHeight="1" thickBot="1">
      <c r="A10" s="3507"/>
      <c r="B10" s="629" t="s">
        <v>8</v>
      </c>
      <c r="C10" s="630"/>
      <c r="D10" s="631">
        <f>+D114+D129+D54+D68+D145+D337+D313+D351+D80+D92+D104+D481+D325+D378+D157+D169+D181+D193+D387+D399+D408+D417+D426+D205+D217+D229+D241+D253+D265+D277+D289+D301</f>
        <v>985895148</v>
      </c>
      <c r="E10" s="631">
        <f t="shared" ref="E10:K10" si="4">+E114+E129+E54+E68+E145+E337+E313+E351+E80+E92+E104+E481+E325+E378+E157+E169+E181+E193+E387+E399+E408+E417+E426+E205+E217+E229+E241+E253+E265+E277+E289+E301</f>
        <v>266282264</v>
      </c>
      <c r="F10" s="631">
        <f t="shared" si="4"/>
        <v>298942334</v>
      </c>
      <c r="G10" s="631">
        <f t="shared" si="4"/>
        <v>211070490</v>
      </c>
      <c r="H10" s="631">
        <f t="shared" si="4"/>
        <v>162600060</v>
      </c>
      <c r="I10" s="631">
        <f t="shared" si="4"/>
        <v>47000000</v>
      </c>
      <c r="J10" s="631">
        <f t="shared" si="4"/>
        <v>0</v>
      </c>
      <c r="K10" s="631">
        <f t="shared" si="4"/>
        <v>0</v>
      </c>
      <c r="L10" s="631">
        <f>+L114+L129+L54+L68+L145+L337+L313+L351+L80+L92+L104+L481+L325+L378+L157+L169+L181+L193+L387+L399+L408+L417+L426+L205+L217+L229+L241+L253+L265+L277+L289+L301</f>
        <v>0</v>
      </c>
      <c r="M10" s="126">
        <f>SUM(G10:K10)</f>
        <v>420670550</v>
      </c>
      <c r="N10" s="628"/>
    </row>
    <row r="11" spans="1:18" ht="14.25" customHeight="1">
      <c r="A11" s="3507"/>
      <c r="B11" s="15" t="s">
        <v>9</v>
      </c>
      <c r="C11" s="16"/>
      <c r="D11" s="632">
        <f>+D12+D18</f>
        <v>986839735</v>
      </c>
      <c r="E11" s="632">
        <f t="shared" ref="E11" si="5">+E12+E18</f>
        <v>266481348</v>
      </c>
      <c r="F11" s="632">
        <f t="shared" ref="F11:M11" si="6">+F12+F18</f>
        <v>299330294</v>
      </c>
      <c r="G11" s="632">
        <f t="shared" si="6"/>
        <v>211345861</v>
      </c>
      <c r="H11" s="632">
        <f t="shared" si="6"/>
        <v>162682232</v>
      </c>
      <c r="I11" s="632">
        <f t="shared" si="6"/>
        <v>47000000</v>
      </c>
      <c r="J11" s="632">
        <f t="shared" si="6"/>
        <v>0</v>
      </c>
      <c r="K11" s="632">
        <f t="shared" si="6"/>
        <v>0</v>
      </c>
      <c r="L11" s="632">
        <f>+L12+L18</f>
        <v>0</v>
      </c>
      <c r="M11" s="633">
        <f t="shared" si="6"/>
        <v>421028093</v>
      </c>
      <c r="N11" s="565"/>
      <c r="O11" s="634"/>
      <c r="P11" s="362"/>
      <c r="R11" s="362"/>
    </row>
    <row r="12" spans="1:18" s="637" customFormat="1" ht="14.25" customHeight="1">
      <c r="A12" s="3507"/>
      <c r="B12" s="131" t="s">
        <v>10</v>
      </c>
      <c r="C12" s="3175"/>
      <c r="D12" s="3176">
        <f>+D13+D14+D15+D16+D17</f>
        <v>187813642</v>
      </c>
      <c r="E12" s="3176">
        <f t="shared" ref="E12" si="7">+E13+E14+E15+E16+E17</f>
        <v>47544861</v>
      </c>
      <c r="F12" s="3176">
        <f t="shared" ref="F12:K12" si="8">+F13+F14+F15+F16+F17</f>
        <v>50955811</v>
      </c>
      <c r="G12" s="3176">
        <f t="shared" si="8"/>
        <v>54171124</v>
      </c>
      <c r="H12" s="3176">
        <f t="shared" si="8"/>
        <v>28091846</v>
      </c>
      <c r="I12" s="3176">
        <f t="shared" si="8"/>
        <v>7050000</v>
      </c>
      <c r="J12" s="3176">
        <f t="shared" si="8"/>
        <v>0</v>
      </c>
      <c r="K12" s="3176">
        <f t="shared" si="8"/>
        <v>0</v>
      </c>
      <c r="L12" s="3176">
        <f>+L13+L14+L15+L16+L17</f>
        <v>0</v>
      </c>
      <c r="M12" s="3177">
        <f>SUM(M13:M17)</f>
        <v>89312970</v>
      </c>
      <c r="N12" s="635"/>
      <c r="O12" s="636"/>
      <c r="P12" s="634"/>
    </row>
    <row r="13" spans="1:18" ht="14.25" customHeight="1">
      <c r="A13" s="3507"/>
      <c r="B13" s="134" t="s">
        <v>11</v>
      </c>
      <c r="C13" s="638"/>
      <c r="D13" s="3178">
        <f t="shared" ref="D13:H13" si="9">+D37+D365+D467+D510</f>
        <v>156437217</v>
      </c>
      <c r="E13" s="3178">
        <f t="shared" si="9"/>
        <v>36096855</v>
      </c>
      <c r="F13" s="3178">
        <f t="shared" si="9"/>
        <v>35184825</v>
      </c>
      <c r="G13" s="3178">
        <f t="shared" si="9"/>
        <v>50013691</v>
      </c>
      <c r="H13" s="3178">
        <f t="shared" si="9"/>
        <v>28091846</v>
      </c>
      <c r="I13" s="3178">
        <f>+I37+I365+I467+I510+I267</f>
        <v>7050000</v>
      </c>
      <c r="J13" s="3178">
        <f>+J37+J365+J467+J510+J267</f>
        <v>0</v>
      </c>
      <c r="K13" s="3178">
        <f>+K37+K365+K467+K510+K267</f>
        <v>0</v>
      </c>
      <c r="L13" s="3178">
        <f>+L37+L365+L467+L510</f>
        <v>0</v>
      </c>
      <c r="M13" s="3172">
        <f>SUM(G13:K13)</f>
        <v>85155537</v>
      </c>
      <c r="N13" s="565"/>
      <c r="O13" s="362"/>
      <c r="P13" s="362"/>
      <c r="R13" s="362"/>
    </row>
    <row r="14" spans="1:18" ht="14.25" hidden="1" customHeight="1">
      <c r="A14" s="3507"/>
      <c r="B14" s="3179" t="s">
        <v>69</v>
      </c>
      <c r="C14" s="2391"/>
      <c r="D14" s="3178">
        <f>+D468</f>
        <v>0</v>
      </c>
      <c r="E14" s="3178">
        <f t="shared" ref="E14" si="10">+E468</f>
        <v>0</v>
      </c>
      <c r="F14" s="3178">
        <f t="shared" ref="F14:K14" si="11">+F468</f>
        <v>0</v>
      </c>
      <c r="G14" s="3178">
        <f t="shared" si="11"/>
        <v>0</v>
      </c>
      <c r="H14" s="3178">
        <f t="shared" si="11"/>
        <v>0</v>
      </c>
      <c r="I14" s="3178">
        <f t="shared" si="11"/>
        <v>0</v>
      </c>
      <c r="J14" s="3178">
        <f t="shared" si="11"/>
        <v>0</v>
      </c>
      <c r="K14" s="3178">
        <f t="shared" si="11"/>
        <v>0</v>
      </c>
      <c r="L14" s="3178">
        <f>+L468</f>
        <v>0</v>
      </c>
      <c r="M14" s="3172">
        <f>SUM(F14:K14)</f>
        <v>0</v>
      </c>
      <c r="N14" s="641"/>
      <c r="O14" s="362"/>
    </row>
    <row r="15" spans="1:18" ht="14.25" customHeight="1">
      <c r="A15" s="3507"/>
      <c r="B15" s="134" t="s">
        <v>14</v>
      </c>
      <c r="C15" s="638"/>
      <c r="D15" s="3178">
        <f t="shared" ref="D15:K15" si="12">+D38+D366</f>
        <v>19105425</v>
      </c>
      <c r="E15" s="3178">
        <f t="shared" si="12"/>
        <v>11448006</v>
      </c>
      <c r="F15" s="3178">
        <f t="shared" si="12"/>
        <v>3499986</v>
      </c>
      <c r="G15" s="3178">
        <f t="shared" si="12"/>
        <v>4157433</v>
      </c>
      <c r="H15" s="3178">
        <f t="shared" si="12"/>
        <v>0</v>
      </c>
      <c r="I15" s="3178">
        <f t="shared" si="12"/>
        <v>0</v>
      </c>
      <c r="J15" s="3178">
        <f t="shared" si="12"/>
        <v>0</v>
      </c>
      <c r="K15" s="3178">
        <f t="shared" si="12"/>
        <v>0</v>
      </c>
      <c r="L15" s="3178">
        <f>+L38+L366</f>
        <v>0</v>
      </c>
      <c r="M15" s="1187">
        <f>SUM(G15:K15)</f>
        <v>4157433</v>
      </c>
      <c r="N15" s="641"/>
      <c r="O15" s="362"/>
    </row>
    <row r="16" spans="1:18" ht="14.25" hidden="1" customHeight="1">
      <c r="A16" s="3507"/>
      <c r="B16" s="134" t="s">
        <v>49</v>
      </c>
      <c r="C16" s="638"/>
      <c r="D16" s="3178">
        <f t="shared" ref="D16:K16" si="13">+D469+D40</f>
        <v>0</v>
      </c>
      <c r="E16" s="3178">
        <f t="shared" si="13"/>
        <v>0</v>
      </c>
      <c r="F16" s="3178">
        <f t="shared" si="13"/>
        <v>0</v>
      </c>
      <c r="G16" s="3178">
        <f t="shared" si="13"/>
        <v>0</v>
      </c>
      <c r="H16" s="3178">
        <f t="shared" si="13"/>
        <v>0</v>
      </c>
      <c r="I16" s="3178">
        <f t="shared" si="13"/>
        <v>0</v>
      </c>
      <c r="J16" s="3178">
        <f t="shared" si="13"/>
        <v>0</v>
      </c>
      <c r="K16" s="3178">
        <f t="shared" si="13"/>
        <v>0</v>
      </c>
      <c r="L16" s="3178">
        <f>+L469+L40</f>
        <v>0</v>
      </c>
      <c r="M16" s="3172">
        <f>SUM(F16:K16)</f>
        <v>0</v>
      </c>
      <c r="N16" s="641"/>
      <c r="O16" s="362"/>
    </row>
    <row r="17" spans="1:18" ht="14.25" customHeight="1">
      <c r="A17" s="3507"/>
      <c r="B17" s="134" t="s">
        <v>16</v>
      </c>
      <c r="C17" s="638"/>
      <c r="D17" s="3178">
        <f>+D39</f>
        <v>12271000</v>
      </c>
      <c r="E17" s="3178">
        <f t="shared" ref="E17" si="14">+E39</f>
        <v>0</v>
      </c>
      <c r="F17" s="3178">
        <f t="shared" ref="F17:K17" si="15">+F39</f>
        <v>12271000</v>
      </c>
      <c r="G17" s="3178">
        <f t="shared" si="15"/>
        <v>0</v>
      </c>
      <c r="H17" s="3178">
        <f t="shared" si="15"/>
        <v>0</v>
      </c>
      <c r="I17" s="3178">
        <f t="shared" si="15"/>
        <v>0</v>
      </c>
      <c r="J17" s="3178">
        <f t="shared" si="15"/>
        <v>0</v>
      </c>
      <c r="K17" s="3178">
        <f t="shared" si="15"/>
        <v>0</v>
      </c>
      <c r="L17" s="3178">
        <f>+L39</f>
        <v>0</v>
      </c>
      <c r="M17" s="1187">
        <f>SUM(G17:K17)</f>
        <v>0</v>
      </c>
      <c r="N17" s="641"/>
      <c r="O17" s="362"/>
    </row>
    <row r="18" spans="1:18" s="637" customFormat="1" ht="14.25" customHeight="1">
      <c r="A18" s="3507"/>
      <c r="B18" s="131" t="s">
        <v>17</v>
      </c>
      <c r="C18" s="642"/>
      <c r="D18" s="3176">
        <f>+D19+D20+D21</f>
        <v>799026093</v>
      </c>
      <c r="E18" s="3176">
        <f t="shared" ref="E18" si="16">+E19+E20+E21</f>
        <v>218936487</v>
      </c>
      <c r="F18" s="3176">
        <f t="shared" ref="F18:H18" si="17">+F19+F20+F21</f>
        <v>248374483</v>
      </c>
      <c r="G18" s="3176">
        <f t="shared" si="17"/>
        <v>157174737</v>
      </c>
      <c r="H18" s="3176">
        <f t="shared" si="17"/>
        <v>134590386</v>
      </c>
      <c r="I18" s="3176">
        <f>+I19+I20+I21</f>
        <v>39950000</v>
      </c>
      <c r="J18" s="3176">
        <f>+J19+J20+J21</f>
        <v>0</v>
      </c>
      <c r="K18" s="3176">
        <f>+K19+K20+K21</f>
        <v>0</v>
      </c>
      <c r="L18" s="3176">
        <f>+L19+L20+L21</f>
        <v>0</v>
      </c>
      <c r="M18" s="1687">
        <f>+M19+M20+M21</f>
        <v>331715123</v>
      </c>
      <c r="N18" s="643"/>
      <c r="O18" s="636"/>
      <c r="P18" s="634"/>
    </row>
    <row r="19" spans="1:18" ht="14.25" hidden="1" customHeight="1">
      <c r="A19" s="3507"/>
      <c r="B19" s="3180" t="s">
        <v>18</v>
      </c>
      <c r="C19" s="3181"/>
      <c r="D19" s="3178">
        <f t="shared" ref="D19:K19" si="18">+D368+D512</f>
        <v>0</v>
      </c>
      <c r="E19" s="3178">
        <f t="shared" si="18"/>
        <v>0</v>
      </c>
      <c r="F19" s="3178">
        <f t="shared" si="18"/>
        <v>0</v>
      </c>
      <c r="G19" s="3178">
        <f t="shared" si="18"/>
        <v>0</v>
      </c>
      <c r="H19" s="3178">
        <f t="shared" si="18"/>
        <v>0</v>
      </c>
      <c r="I19" s="3178">
        <f t="shared" si="18"/>
        <v>0</v>
      </c>
      <c r="J19" s="3178">
        <f t="shared" si="18"/>
        <v>0</v>
      </c>
      <c r="K19" s="3178">
        <f t="shared" si="18"/>
        <v>0</v>
      </c>
      <c r="L19" s="3178">
        <f>+L368+L512</f>
        <v>0</v>
      </c>
      <c r="M19" s="1187">
        <f>SUM(F19:K19)</f>
        <v>0</v>
      </c>
      <c r="N19" s="641"/>
      <c r="O19" s="362"/>
    </row>
    <row r="20" spans="1:18" ht="14.25" customHeight="1">
      <c r="A20" s="3507"/>
      <c r="B20" s="1784" t="s">
        <v>19</v>
      </c>
      <c r="C20" s="3181"/>
      <c r="D20" s="3178">
        <f t="shared" ref="D20:K20" si="19">+D42+D471+D369</f>
        <v>799026093</v>
      </c>
      <c r="E20" s="3178">
        <f t="shared" si="19"/>
        <v>218936487</v>
      </c>
      <c r="F20" s="3178">
        <f t="shared" si="19"/>
        <v>248374483</v>
      </c>
      <c r="G20" s="3178">
        <f t="shared" si="19"/>
        <v>157174737</v>
      </c>
      <c r="H20" s="3178">
        <f t="shared" si="19"/>
        <v>134590386</v>
      </c>
      <c r="I20" s="3178">
        <f t="shared" si="19"/>
        <v>39950000</v>
      </c>
      <c r="J20" s="3178">
        <f t="shared" si="19"/>
        <v>0</v>
      </c>
      <c r="K20" s="3178">
        <f t="shared" si="19"/>
        <v>0</v>
      </c>
      <c r="L20" s="3178">
        <f>+L42+L471+L369</f>
        <v>0</v>
      </c>
      <c r="M20" s="1187">
        <f>SUM(G20:K20)</f>
        <v>331715123</v>
      </c>
      <c r="N20" s="565"/>
      <c r="O20" s="362"/>
      <c r="P20" s="362"/>
    </row>
    <row r="21" spans="1:18" ht="14.25" hidden="1" customHeight="1">
      <c r="A21" s="3507"/>
      <c r="B21" s="1784" t="s">
        <v>70</v>
      </c>
      <c r="C21" s="3181"/>
      <c r="D21" s="3178">
        <f>+D472</f>
        <v>0</v>
      </c>
      <c r="E21" s="3178">
        <f t="shared" ref="E21" si="20">+E472</f>
        <v>0</v>
      </c>
      <c r="F21" s="3178">
        <f t="shared" ref="F21:K21" si="21">+F472</f>
        <v>0</v>
      </c>
      <c r="G21" s="3178">
        <f t="shared" si="21"/>
        <v>0</v>
      </c>
      <c r="H21" s="3178">
        <f t="shared" si="21"/>
        <v>0</v>
      </c>
      <c r="I21" s="3178">
        <f t="shared" si="21"/>
        <v>0</v>
      </c>
      <c r="J21" s="3178">
        <f t="shared" si="21"/>
        <v>0</v>
      </c>
      <c r="K21" s="3178">
        <f t="shared" si="21"/>
        <v>0</v>
      </c>
      <c r="L21" s="3178">
        <f>+L472</f>
        <v>0</v>
      </c>
      <c r="M21" s="3172">
        <f>SUM(F21:H21)</f>
        <v>0</v>
      </c>
      <c r="N21" s="565"/>
      <c r="O21" s="362"/>
      <c r="P21" s="362"/>
    </row>
    <row r="22" spans="1:18" ht="14.25" customHeight="1">
      <c r="A22" s="3507"/>
      <c r="B22" s="1785" t="s">
        <v>20</v>
      </c>
      <c r="C22" s="2118"/>
      <c r="D22" s="1870">
        <f>+D23+D29</f>
        <v>830402518</v>
      </c>
      <c r="E22" s="1870">
        <f t="shared" ref="E22" si="22">+E23+E29</f>
        <v>213764338</v>
      </c>
      <c r="F22" s="1870">
        <f t="shared" ref="F22:K22" si="23">+F23+F29</f>
        <v>274379891</v>
      </c>
      <c r="G22" s="1870">
        <f t="shared" si="23"/>
        <v>156169005</v>
      </c>
      <c r="H22" s="1870">
        <f t="shared" si="23"/>
        <v>124721916</v>
      </c>
      <c r="I22" s="1870">
        <f t="shared" si="23"/>
        <v>61367368</v>
      </c>
      <c r="J22" s="1870">
        <f t="shared" si="23"/>
        <v>0</v>
      </c>
      <c r="K22" s="1870">
        <f t="shared" si="23"/>
        <v>0</v>
      </c>
      <c r="L22" s="1870">
        <f>+L23+L29</f>
        <v>0</v>
      </c>
      <c r="M22" s="3511" t="s">
        <v>21</v>
      </c>
      <c r="N22" s="565"/>
      <c r="O22" s="362"/>
      <c r="R22" s="634"/>
    </row>
    <row r="23" spans="1:18" ht="14.25" customHeight="1">
      <c r="A23" s="3507"/>
      <c r="B23" s="1786" t="s">
        <v>22</v>
      </c>
      <c r="C23" s="3182"/>
      <c r="D23" s="3183">
        <f>+D24+D25+D26+D27+D28</f>
        <v>31376425</v>
      </c>
      <c r="E23" s="3183">
        <f t="shared" ref="E23" si="24">+E24+E25+E26+E27+E28</f>
        <v>11048712</v>
      </c>
      <c r="F23" s="3183">
        <f t="shared" ref="F23:K23" si="25">+F24+F25+F26+F27+F28</f>
        <v>16170280</v>
      </c>
      <c r="G23" s="3183">
        <f t="shared" si="25"/>
        <v>4157433</v>
      </c>
      <c r="H23" s="3183">
        <f t="shared" si="25"/>
        <v>0</v>
      </c>
      <c r="I23" s="3183">
        <f t="shared" si="25"/>
        <v>0</v>
      </c>
      <c r="J23" s="3183">
        <f t="shared" si="25"/>
        <v>0</v>
      </c>
      <c r="K23" s="3183">
        <f t="shared" si="25"/>
        <v>0</v>
      </c>
      <c r="L23" s="3183">
        <f>+L24+L25+L26+L27+L28</f>
        <v>0</v>
      </c>
      <c r="M23" s="3512"/>
      <c r="N23" s="565"/>
    </row>
    <row r="24" spans="1:18" ht="14.25" hidden="1" customHeight="1">
      <c r="A24" s="3507"/>
      <c r="B24" s="3179" t="s">
        <v>69</v>
      </c>
      <c r="C24" s="644"/>
      <c r="D24" s="3184">
        <f>+D475</f>
        <v>0</v>
      </c>
      <c r="E24" s="3184">
        <f t="shared" ref="E24" si="26">+E475</f>
        <v>0</v>
      </c>
      <c r="F24" s="3184">
        <f t="shared" ref="F24:K24" si="27">+F475</f>
        <v>0</v>
      </c>
      <c r="G24" s="3184">
        <f t="shared" si="27"/>
        <v>0</v>
      </c>
      <c r="H24" s="3184">
        <f t="shared" si="27"/>
        <v>0</v>
      </c>
      <c r="I24" s="3184">
        <f t="shared" si="27"/>
        <v>0</v>
      </c>
      <c r="J24" s="3184">
        <f t="shared" si="27"/>
        <v>0</v>
      </c>
      <c r="K24" s="3184">
        <f t="shared" si="27"/>
        <v>0</v>
      </c>
      <c r="L24" s="3184">
        <f>+L475</f>
        <v>0</v>
      </c>
      <c r="M24" s="3512"/>
      <c r="N24" s="641"/>
    </row>
    <row r="25" spans="1:18" ht="14.25" customHeight="1">
      <c r="A25" s="3507"/>
      <c r="B25" s="19" t="s">
        <v>14</v>
      </c>
      <c r="C25" s="20"/>
      <c r="D25" s="3178">
        <f t="shared" ref="D25:K25" si="28">+D45+D366</f>
        <v>19105425</v>
      </c>
      <c r="E25" s="3178">
        <f t="shared" si="28"/>
        <v>11048712</v>
      </c>
      <c r="F25" s="3178">
        <f t="shared" si="28"/>
        <v>3899280</v>
      </c>
      <c r="G25" s="3178">
        <f t="shared" si="28"/>
        <v>4157433</v>
      </c>
      <c r="H25" s="3178">
        <f t="shared" si="28"/>
        <v>0</v>
      </c>
      <c r="I25" s="3178">
        <f t="shared" si="28"/>
        <v>0</v>
      </c>
      <c r="J25" s="3178">
        <f t="shared" si="28"/>
        <v>0</v>
      </c>
      <c r="K25" s="3178">
        <f t="shared" si="28"/>
        <v>0</v>
      </c>
      <c r="L25" s="3178">
        <f>+L45+L366</f>
        <v>0</v>
      </c>
      <c r="M25" s="3512"/>
      <c r="N25" s="641"/>
      <c r="O25" s="362">
        <f>D25-D15</f>
        <v>0</v>
      </c>
      <c r="P25" s="362">
        <f>F25-'[1]Tab. 6A -Drogi'!$G$25</f>
        <v>-1176885</v>
      </c>
    </row>
    <row r="26" spans="1:18" ht="14.25" hidden="1" customHeight="1">
      <c r="A26" s="3507"/>
      <c r="B26" s="19" t="s">
        <v>49</v>
      </c>
      <c r="C26" s="20"/>
      <c r="D26" s="3178">
        <f t="shared" ref="D26:K26" si="29">+D476+D48</f>
        <v>0</v>
      </c>
      <c r="E26" s="3178">
        <f t="shared" si="29"/>
        <v>0</v>
      </c>
      <c r="F26" s="3178">
        <f t="shared" si="29"/>
        <v>0</v>
      </c>
      <c r="G26" s="3178">
        <f t="shared" si="29"/>
        <v>0</v>
      </c>
      <c r="H26" s="3178">
        <f t="shared" si="29"/>
        <v>0</v>
      </c>
      <c r="I26" s="3178">
        <f t="shared" si="29"/>
        <v>0</v>
      </c>
      <c r="J26" s="3178">
        <f t="shared" si="29"/>
        <v>0</v>
      </c>
      <c r="K26" s="3178">
        <f t="shared" si="29"/>
        <v>0</v>
      </c>
      <c r="L26" s="3178">
        <f>+L476+L48</f>
        <v>0</v>
      </c>
      <c r="M26" s="3512"/>
      <c r="N26" s="641"/>
      <c r="O26" s="362">
        <f>D16-D26</f>
        <v>0</v>
      </c>
    </row>
    <row r="27" spans="1:18" ht="14.25" customHeight="1">
      <c r="A27" s="3507"/>
      <c r="B27" s="134" t="s">
        <v>16</v>
      </c>
      <c r="C27" s="21"/>
      <c r="D27" s="3178">
        <f>+D46</f>
        <v>12271000</v>
      </c>
      <c r="E27" s="3178">
        <f t="shared" ref="E27:E28" si="30">+E46</f>
        <v>0</v>
      </c>
      <c r="F27" s="3178">
        <f t="shared" ref="F27:K28" si="31">+F46</f>
        <v>12271000</v>
      </c>
      <c r="G27" s="3178">
        <f t="shared" si="31"/>
        <v>0</v>
      </c>
      <c r="H27" s="3178">
        <f t="shared" si="31"/>
        <v>0</v>
      </c>
      <c r="I27" s="3178">
        <f t="shared" si="31"/>
        <v>0</v>
      </c>
      <c r="J27" s="3178">
        <f t="shared" si="31"/>
        <v>0</v>
      </c>
      <c r="K27" s="3178">
        <f t="shared" si="31"/>
        <v>0</v>
      </c>
      <c r="L27" s="3178">
        <f>+L46</f>
        <v>0</v>
      </c>
      <c r="M27" s="3512"/>
      <c r="N27" s="641"/>
      <c r="O27" s="362">
        <f>D17-D27</f>
        <v>0</v>
      </c>
    </row>
    <row r="28" spans="1:18" ht="14.25" hidden="1" customHeight="1">
      <c r="A28" s="3507"/>
      <c r="B28" s="134" t="s">
        <v>71</v>
      </c>
      <c r="C28" s="21"/>
      <c r="D28" s="3178">
        <f>+D47</f>
        <v>0</v>
      </c>
      <c r="E28" s="3178">
        <f t="shared" si="30"/>
        <v>0</v>
      </c>
      <c r="F28" s="3178">
        <f t="shared" si="31"/>
        <v>0</v>
      </c>
      <c r="G28" s="3178">
        <f t="shared" si="31"/>
        <v>0</v>
      </c>
      <c r="H28" s="3178">
        <f t="shared" si="31"/>
        <v>0</v>
      </c>
      <c r="I28" s="3178">
        <f t="shared" si="31"/>
        <v>0</v>
      </c>
      <c r="J28" s="3178">
        <f t="shared" si="31"/>
        <v>0</v>
      </c>
      <c r="K28" s="3178">
        <f t="shared" si="31"/>
        <v>0</v>
      </c>
      <c r="L28" s="3178">
        <f>+L47</f>
        <v>0</v>
      </c>
      <c r="M28" s="3512"/>
      <c r="N28" s="641"/>
    </row>
    <row r="29" spans="1:18" ht="14.25" customHeight="1">
      <c r="A29" s="3507"/>
      <c r="B29" s="1788" t="s">
        <v>17</v>
      </c>
      <c r="C29" s="3185"/>
      <c r="D29" s="3183">
        <f>+D30+D31+D32+D33</f>
        <v>799026093</v>
      </c>
      <c r="E29" s="3183">
        <f t="shared" ref="E29" si="32">+E30+E31+E32+E33</f>
        <v>202715626</v>
      </c>
      <c r="F29" s="3183">
        <f t="shared" ref="F29:K29" si="33">+F30+F31+F32+F33</f>
        <v>258209611</v>
      </c>
      <c r="G29" s="3183">
        <f t="shared" si="33"/>
        <v>152011572</v>
      </c>
      <c r="H29" s="3183">
        <f t="shared" si="33"/>
        <v>124721916</v>
      </c>
      <c r="I29" s="3183">
        <f t="shared" si="33"/>
        <v>61367368</v>
      </c>
      <c r="J29" s="3183">
        <f t="shared" si="33"/>
        <v>0</v>
      </c>
      <c r="K29" s="3183">
        <f t="shared" si="33"/>
        <v>0</v>
      </c>
      <c r="L29" s="3183">
        <f>+L30+L31+L32+L33</f>
        <v>0</v>
      </c>
      <c r="M29" s="3512"/>
      <c r="N29" s="641"/>
      <c r="O29" s="362">
        <f>D31-D19</f>
        <v>0</v>
      </c>
    </row>
    <row r="30" spans="1:18" ht="12.75" hidden="1" customHeight="1">
      <c r="A30" s="3507"/>
      <c r="B30" s="3186" t="s">
        <v>16</v>
      </c>
      <c r="C30" s="3187"/>
      <c r="D30" s="3178">
        <f t="shared" ref="D30:K30" si="34">+D50</f>
        <v>0</v>
      </c>
      <c r="E30" s="3178">
        <f t="shared" si="34"/>
        <v>0</v>
      </c>
      <c r="F30" s="3178">
        <f t="shared" si="34"/>
        <v>0</v>
      </c>
      <c r="G30" s="3178">
        <f t="shared" si="34"/>
        <v>0</v>
      </c>
      <c r="H30" s="3178">
        <f t="shared" si="34"/>
        <v>0</v>
      </c>
      <c r="I30" s="3178">
        <f t="shared" si="34"/>
        <v>0</v>
      </c>
      <c r="J30" s="3178">
        <f t="shared" si="34"/>
        <v>0</v>
      </c>
      <c r="K30" s="3178">
        <f t="shared" si="34"/>
        <v>0</v>
      </c>
      <c r="L30" s="3178">
        <f>+L50</f>
        <v>0</v>
      </c>
      <c r="M30" s="3512"/>
      <c r="N30" s="641"/>
    </row>
    <row r="31" spans="1:18" ht="14.25" hidden="1" customHeight="1">
      <c r="A31" s="3507"/>
      <c r="B31" s="3180" t="s">
        <v>18</v>
      </c>
      <c r="C31" s="2391"/>
      <c r="D31" s="1450">
        <f>+D374+D515</f>
        <v>0</v>
      </c>
      <c r="E31" s="1450">
        <f>+E374+E515</f>
        <v>0</v>
      </c>
      <c r="F31" s="1450">
        <f t="shared" ref="F31:K31" si="35">+F374</f>
        <v>0</v>
      </c>
      <c r="G31" s="1450">
        <f t="shared" si="35"/>
        <v>0</v>
      </c>
      <c r="H31" s="1450">
        <f t="shared" si="35"/>
        <v>0</v>
      </c>
      <c r="I31" s="1450">
        <f t="shared" si="35"/>
        <v>0</v>
      </c>
      <c r="J31" s="1450">
        <f t="shared" si="35"/>
        <v>0</v>
      </c>
      <c r="K31" s="1450">
        <f t="shared" si="35"/>
        <v>0</v>
      </c>
      <c r="L31" s="1450">
        <f>+L374+L515</f>
        <v>0</v>
      </c>
      <c r="M31" s="3512"/>
      <c r="N31" s="641"/>
      <c r="O31" s="362">
        <f>D32-D20</f>
        <v>0</v>
      </c>
    </row>
    <row r="32" spans="1:18" ht="14.25" customHeight="1" thickBot="1">
      <c r="A32" s="3507"/>
      <c r="B32" s="3180" t="s">
        <v>19</v>
      </c>
      <c r="C32" s="3187"/>
      <c r="D32" s="1450">
        <f t="shared" ref="D32:K32" si="36">+D51+D478+D375</f>
        <v>799026093</v>
      </c>
      <c r="E32" s="1450">
        <f t="shared" si="36"/>
        <v>202715626</v>
      </c>
      <c r="F32" s="1450">
        <f t="shared" si="36"/>
        <v>258209611</v>
      </c>
      <c r="G32" s="1450">
        <f t="shared" si="36"/>
        <v>152011572</v>
      </c>
      <c r="H32" s="1450">
        <f t="shared" si="36"/>
        <v>124721916</v>
      </c>
      <c r="I32" s="1450">
        <f t="shared" si="36"/>
        <v>61367368</v>
      </c>
      <c r="J32" s="1450">
        <f t="shared" si="36"/>
        <v>0</v>
      </c>
      <c r="K32" s="1450">
        <f t="shared" si="36"/>
        <v>0</v>
      </c>
      <c r="L32" s="1450">
        <f>+L51+L478+L375</f>
        <v>0</v>
      </c>
      <c r="M32" s="3512"/>
      <c r="N32" s="641"/>
    </row>
    <row r="33" spans="1:16" ht="13.5" hidden="1" customHeight="1" thickBot="1">
      <c r="A33" s="3508"/>
      <c r="B33" s="22" t="s">
        <v>70</v>
      </c>
      <c r="C33" s="23"/>
      <c r="D33" s="646">
        <f>+D479</f>
        <v>0</v>
      </c>
      <c r="E33" s="646">
        <f t="shared" ref="E33" si="37">+E479</f>
        <v>0</v>
      </c>
      <c r="F33" s="646">
        <f t="shared" ref="F33:K33" si="38">+F479</f>
        <v>0</v>
      </c>
      <c r="G33" s="646">
        <f t="shared" si="38"/>
        <v>0</v>
      </c>
      <c r="H33" s="646">
        <f t="shared" si="38"/>
        <v>0</v>
      </c>
      <c r="I33" s="646">
        <f t="shared" si="38"/>
        <v>0</v>
      </c>
      <c r="J33" s="646">
        <f t="shared" si="38"/>
        <v>0</v>
      </c>
      <c r="K33" s="646">
        <f t="shared" si="38"/>
        <v>0</v>
      </c>
      <c r="L33" s="646">
        <f>+L479</f>
        <v>0</v>
      </c>
      <c r="M33" s="3513"/>
      <c r="N33" s="1790"/>
    </row>
    <row r="34" spans="1:16" ht="30.75" customHeight="1">
      <c r="A34" s="1791" t="s">
        <v>184</v>
      </c>
      <c r="B34" s="1792" t="s">
        <v>200</v>
      </c>
      <c r="C34" s="1793"/>
      <c r="D34" s="1794"/>
      <c r="E34" s="1795"/>
      <c r="F34" s="1795"/>
      <c r="G34" s="1795"/>
      <c r="H34" s="1795"/>
      <c r="I34" s="1795"/>
      <c r="J34" s="1795"/>
      <c r="K34" s="1795"/>
      <c r="L34" s="1795"/>
      <c r="M34" s="2734"/>
      <c r="N34" s="1796"/>
    </row>
    <row r="35" spans="1:16" ht="14.25" customHeight="1">
      <c r="A35" s="647"/>
      <c r="B35" s="1168" t="s">
        <v>9</v>
      </c>
      <c r="C35" s="2118"/>
      <c r="D35" s="1205">
        <f>+D36+D41</f>
        <v>935099442</v>
      </c>
      <c r="E35" s="1205">
        <f t="shared" ref="E35:K35" si="39">+E36+E41</f>
        <v>258434918</v>
      </c>
      <c r="F35" s="1205">
        <f t="shared" si="39"/>
        <v>293408642</v>
      </c>
      <c r="G35" s="1205">
        <f t="shared" si="39"/>
        <v>181730206</v>
      </c>
      <c r="H35" s="1205">
        <f t="shared" si="39"/>
        <v>154525676</v>
      </c>
      <c r="I35" s="1205">
        <f t="shared" si="39"/>
        <v>47000000</v>
      </c>
      <c r="J35" s="1205">
        <f t="shared" si="39"/>
        <v>0</v>
      </c>
      <c r="K35" s="1205">
        <f t="shared" si="39"/>
        <v>0</v>
      </c>
      <c r="L35" s="1205">
        <f>+L36+L41</f>
        <v>0</v>
      </c>
      <c r="M35" s="1215">
        <f t="shared" ref="M35" si="40">+M36+M41</f>
        <v>383255882</v>
      </c>
      <c r="N35" s="648"/>
      <c r="O35" s="362"/>
    </row>
    <row r="36" spans="1:16" s="637" customFormat="1" ht="14.25" customHeight="1">
      <c r="A36" s="647"/>
      <c r="B36" s="3188" t="s">
        <v>22</v>
      </c>
      <c r="C36" s="3189"/>
      <c r="D36" s="3190">
        <f>+D37+D38+D39+D40</f>
        <v>160928016</v>
      </c>
      <c r="E36" s="3190">
        <f t="shared" ref="E36:K36" si="41">+E37+E38+E39+E40</f>
        <v>45912620</v>
      </c>
      <c r="F36" s="3190">
        <f t="shared" si="41"/>
        <v>46767135</v>
      </c>
      <c r="G36" s="3190">
        <f t="shared" si="41"/>
        <v>37662410</v>
      </c>
      <c r="H36" s="3190">
        <f t="shared" si="41"/>
        <v>23535851</v>
      </c>
      <c r="I36" s="3190">
        <f t="shared" si="41"/>
        <v>7050000</v>
      </c>
      <c r="J36" s="3190">
        <f t="shared" si="41"/>
        <v>0</v>
      </c>
      <c r="K36" s="3190">
        <f t="shared" si="41"/>
        <v>0</v>
      </c>
      <c r="L36" s="3190">
        <f>+L37+L38+L39+L40</f>
        <v>0</v>
      </c>
      <c r="M36" s="3191">
        <f>+M37+M38+M39+M40</f>
        <v>68248261</v>
      </c>
      <c r="N36" s="648"/>
      <c r="P36" s="634"/>
    </row>
    <row r="37" spans="1:16" ht="14.25" customHeight="1">
      <c r="A37" s="647"/>
      <c r="B37" s="3192" t="s">
        <v>11</v>
      </c>
      <c r="C37" s="3193"/>
      <c r="D37" s="1905">
        <f t="shared" ref="D37:I37" si="42">+D327+D147+D339+D315+D353+D82+D131+D56+D94+D70+D106+D116+D159+D171+D183+D195+D207+D219+D231+D243+D255+D267+D279+D291+D303</f>
        <v>129608594</v>
      </c>
      <c r="E37" s="1905">
        <f t="shared" si="42"/>
        <v>34521617</v>
      </c>
      <c r="F37" s="1905">
        <f t="shared" si="42"/>
        <v>30996149</v>
      </c>
      <c r="G37" s="1905">
        <f t="shared" si="42"/>
        <v>33504977</v>
      </c>
      <c r="H37" s="1905">
        <f t="shared" si="42"/>
        <v>23535851</v>
      </c>
      <c r="I37" s="1905">
        <f t="shared" si="42"/>
        <v>7050000</v>
      </c>
      <c r="J37" s="1905">
        <f t="shared" ref="J37:K37" si="43">+J327+J147+J339+J315+J353+J82+J131+J56+J94+J70+J106+J116+J159+J171+J183+J195+J207+J219+J231+J243+J255+J267+J279</f>
        <v>0</v>
      </c>
      <c r="K37" s="1905">
        <f t="shared" si="43"/>
        <v>0</v>
      </c>
      <c r="L37" s="1905">
        <f>+L327+L147+L339+L315+L353+L82+L131+L56+L94+L70+L106+L116+L159+L171+L183+L195+L207+L219+L231+L243+L255+L267+L279+L291+L303</f>
        <v>0</v>
      </c>
      <c r="M37" s="1187">
        <f>SUM(G37:K37)</f>
        <v>64090828</v>
      </c>
      <c r="N37" s="651"/>
      <c r="O37" s="362"/>
      <c r="P37" s="634"/>
    </row>
    <row r="38" spans="1:16" ht="14.25" customHeight="1">
      <c r="A38" s="647"/>
      <c r="B38" s="3194" t="s">
        <v>14</v>
      </c>
      <c r="C38" s="3195"/>
      <c r="D38" s="1905">
        <f t="shared" ref="D38:K38" si="44">+D148+D341+D316+D83+D118+D133+D95+D208+D220+D172+D232</f>
        <v>19048422</v>
      </c>
      <c r="E38" s="1905">
        <f t="shared" si="44"/>
        <v>11391003</v>
      </c>
      <c r="F38" s="1905">
        <f t="shared" si="44"/>
        <v>3499986</v>
      </c>
      <c r="G38" s="1905">
        <f t="shared" si="44"/>
        <v>4157433</v>
      </c>
      <c r="H38" s="1905">
        <f t="shared" si="44"/>
        <v>0</v>
      </c>
      <c r="I38" s="1905">
        <f t="shared" si="44"/>
        <v>0</v>
      </c>
      <c r="J38" s="1905">
        <f t="shared" si="44"/>
        <v>0</v>
      </c>
      <c r="K38" s="1905">
        <f t="shared" si="44"/>
        <v>0</v>
      </c>
      <c r="L38" s="1905">
        <f>+L148+L341+L316+L83+L118+L133+L95+L208+L220+L172+L232</f>
        <v>0</v>
      </c>
      <c r="M38" s="1187">
        <f>SUM(G38:K38)</f>
        <v>4157433</v>
      </c>
      <c r="N38" s="651"/>
      <c r="O38" s="362">
        <f>D38-D45</f>
        <v>0</v>
      </c>
      <c r="P38" s="634"/>
    </row>
    <row r="39" spans="1:16" ht="14.25" customHeight="1">
      <c r="A39" s="647"/>
      <c r="B39" s="3194" t="s">
        <v>16</v>
      </c>
      <c r="C39" s="3195"/>
      <c r="D39" s="1905">
        <f>+D117+D132+D57+D71+D354</f>
        <v>12271000</v>
      </c>
      <c r="E39" s="1905">
        <f t="shared" ref="E39:K39" si="45">+E117+E132+E57+E71+E354</f>
        <v>0</v>
      </c>
      <c r="F39" s="1905">
        <f t="shared" si="45"/>
        <v>12271000</v>
      </c>
      <c r="G39" s="1905">
        <f t="shared" si="45"/>
        <v>0</v>
      </c>
      <c r="H39" s="1905">
        <f t="shared" si="45"/>
        <v>0</v>
      </c>
      <c r="I39" s="1905">
        <f t="shared" si="45"/>
        <v>0</v>
      </c>
      <c r="J39" s="1905">
        <f t="shared" si="45"/>
        <v>0</v>
      </c>
      <c r="K39" s="1905">
        <f t="shared" si="45"/>
        <v>0</v>
      </c>
      <c r="L39" s="1905">
        <f>+L117+L132+L57+L71+L354</f>
        <v>0</v>
      </c>
      <c r="M39" s="1187">
        <f>SUM(G39:K39)</f>
        <v>0</v>
      </c>
      <c r="N39" s="651"/>
      <c r="O39" s="362">
        <f>D39-D46</f>
        <v>0</v>
      </c>
      <c r="P39" s="634"/>
    </row>
    <row r="40" spans="1:16" ht="14.25" hidden="1" customHeight="1">
      <c r="A40" s="647"/>
      <c r="B40" s="3194" t="s">
        <v>49</v>
      </c>
      <c r="C40" s="3195"/>
      <c r="D40" s="1905">
        <f>+D328+D340</f>
        <v>0</v>
      </c>
      <c r="E40" s="1905">
        <f t="shared" ref="E40:K40" si="46">+E328+E340</f>
        <v>0</v>
      </c>
      <c r="F40" s="1905">
        <f t="shared" si="46"/>
        <v>0</v>
      </c>
      <c r="G40" s="1905">
        <f t="shared" si="46"/>
        <v>0</v>
      </c>
      <c r="H40" s="1905">
        <f t="shared" si="46"/>
        <v>0</v>
      </c>
      <c r="I40" s="1905">
        <f t="shared" si="46"/>
        <v>0</v>
      </c>
      <c r="J40" s="1905">
        <f t="shared" si="46"/>
        <v>0</v>
      </c>
      <c r="K40" s="1905">
        <f t="shared" si="46"/>
        <v>0</v>
      </c>
      <c r="L40" s="1905">
        <f>+L328+L340</f>
        <v>0</v>
      </c>
      <c r="M40" s="1187">
        <f>SUM(F40:K40)</f>
        <v>0</v>
      </c>
      <c r="N40" s="651"/>
      <c r="O40" s="362"/>
      <c r="P40" s="634"/>
    </row>
    <row r="41" spans="1:16" s="637" customFormat="1" ht="14.25" customHeight="1">
      <c r="A41" s="647"/>
      <c r="B41" s="3196" t="s">
        <v>17</v>
      </c>
      <c r="C41" s="3197"/>
      <c r="D41" s="3190">
        <f>+D42</f>
        <v>774171426</v>
      </c>
      <c r="E41" s="3190">
        <f t="shared" ref="E41:K41" si="47">+E42</f>
        <v>212522298</v>
      </c>
      <c r="F41" s="3190">
        <f t="shared" si="47"/>
        <v>246641507</v>
      </c>
      <c r="G41" s="3190">
        <f t="shared" si="47"/>
        <v>144067796</v>
      </c>
      <c r="H41" s="3190">
        <f t="shared" si="47"/>
        <v>130989825</v>
      </c>
      <c r="I41" s="3190">
        <f t="shared" si="47"/>
        <v>39950000</v>
      </c>
      <c r="J41" s="3190">
        <f t="shared" si="47"/>
        <v>0</v>
      </c>
      <c r="K41" s="3190">
        <f t="shared" si="47"/>
        <v>0</v>
      </c>
      <c r="L41" s="3190">
        <f>+L42</f>
        <v>0</v>
      </c>
      <c r="M41" s="3198">
        <f>+M42</f>
        <v>315007621</v>
      </c>
      <c r="N41" s="651"/>
      <c r="P41" s="634"/>
    </row>
    <row r="42" spans="1:16" ht="14.25" customHeight="1">
      <c r="A42" s="647"/>
      <c r="B42" s="3199" t="s">
        <v>19</v>
      </c>
      <c r="C42" s="3200"/>
      <c r="D42" s="3201">
        <f>+D330+D150+D120+D343+D318+D356+D85+D136+D60+D97+D73+D108+D162+D174+D186+D198+D210+D222+D234+D246+D258+D270+D282+D294+D306</f>
        <v>774171426</v>
      </c>
      <c r="E42" s="3201">
        <f t="shared" ref="E42:K42" si="48">+E330+E150+E120+E343+E318+E356+E85+E136+E60+E97+E73+E108+E162+E174+E186+E198+E210+E222+E234+E246+E258+E270+E282+E294+E306</f>
        <v>212522298</v>
      </c>
      <c r="F42" s="3201">
        <f t="shared" si="48"/>
        <v>246641507</v>
      </c>
      <c r="G42" s="3201">
        <f>+G330+G150+G120+G343+G318+G356+G85+G136+G60+G97+G73+G108+G162+G174+G186+G198+G210+G222+G234+G246+G258+G270+G282+G294+G306</f>
        <v>144067796</v>
      </c>
      <c r="H42" s="3201">
        <f t="shared" si="48"/>
        <v>130989825</v>
      </c>
      <c r="I42" s="3201">
        <f t="shared" si="48"/>
        <v>39950000</v>
      </c>
      <c r="J42" s="3201">
        <f t="shared" si="48"/>
        <v>0</v>
      </c>
      <c r="K42" s="3201">
        <f t="shared" si="48"/>
        <v>0</v>
      </c>
      <c r="L42" s="3201">
        <f>+L330+L150+L120+L343+L318+L356+L85+L136+L60+L97+L73+L108+L162+L174+L186+L198+L210+L222+L234+L246+L258+L270+L282+L294+L306</f>
        <v>0</v>
      </c>
      <c r="M42" s="1187">
        <f>SUM(G42:K42)</f>
        <v>315007621</v>
      </c>
      <c r="N42" s="648"/>
      <c r="O42" s="362">
        <f>D42-D51</f>
        <v>0</v>
      </c>
      <c r="P42" s="634"/>
    </row>
    <row r="43" spans="1:16" ht="14.25" customHeight="1">
      <c r="A43" s="647"/>
      <c r="B43" s="1785" t="s">
        <v>20</v>
      </c>
      <c r="C43" s="2118"/>
      <c r="D43" s="1205">
        <f>+D44+D49</f>
        <v>805490848</v>
      </c>
      <c r="E43" s="1205">
        <f t="shared" ref="E43:K43" si="49">+E44+E49</f>
        <v>213661601</v>
      </c>
      <c r="F43" s="1205">
        <f t="shared" si="49"/>
        <v>267910413</v>
      </c>
      <c r="G43" s="1205">
        <f t="shared" si="49"/>
        <v>148379009</v>
      </c>
      <c r="H43" s="1205">
        <f t="shared" si="49"/>
        <v>116089825</v>
      </c>
      <c r="I43" s="1205">
        <f t="shared" si="49"/>
        <v>59450000</v>
      </c>
      <c r="J43" s="1205">
        <f t="shared" si="49"/>
        <v>0</v>
      </c>
      <c r="K43" s="1205">
        <f t="shared" si="49"/>
        <v>0</v>
      </c>
      <c r="L43" s="1205">
        <f>+L44+L49</f>
        <v>0</v>
      </c>
      <c r="M43" s="3514" t="s">
        <v>21</v>
      </c>
      <c r="N43" s="651"/>
    </row>
    <row r="44" spans="1:16" ht="14.25" customHeight="1">
      <c r="A44" s="647"/>
      <c r="B44" s="3202" t="s">
        <v>22</v>
      </c>
      <c r="C44" s="654"/>
      <c r="D44" s="28">
        <f>+D45+D46+D47+D48</f>
        <v>31319422</v>
      </c>
      <c r="E44" s="28">
        <f t="shared" ref="E44:K44" si="50">+E45+E46+E47+E48</f>
        <v>10991709</v>
      </c>
      <c r="F44" s="28">
        <f t="shared" si="50"/>
        <v>16170280</v>
      </c>
      <c r="G44" s="28">
        <f t="shared" si="50"/>
        <v>4157433</v>
      </c>
      <c r="H44" s="28">
        <f t="shared" si="50"/>
        <v>0</v>
      </c>
      <c r="I44" s="28">
        <f t="shared" si="50"/>
        <v>0</v>
      </c>
      <c r="J44" s="28">
        <f t="shared" si="50"/>
        <v>0</v>
      </c>
      <c r="K44" s="28">
        <f t="shared" si="50"/>
        <v>0</v>
      </c>
      <c r="L44" s="28">
        <f>+L45+L46+L47+L48</f>
        <v>0</v>
      </c>
      <c r="M44" s="3515"/>
      <c r="N44" s="651"/>
      <c r="O44" s="362"/>
    </row>
    <row r="45" spans="1:16" ht="14.25" customHeight="1">
      <c r="A45" s="647"/>
      <c r="B45" s="29" t="s">
        <v>14</v>
      </c>
      <c r="C45" s="30"/>
      <c r="D45" s="3203">
        <f t="shared" ref="D45:K45" si="51">+D153+D347+D321+D88+D124+D140+D100+D213+D225+D177+D237</f>
        <v>19048422</v>
      </c>
      <c r="E45" s="3203">
        <f t="shared" si="51"/>
        <v>10991709</v>
      </c>
      <c r="F45" s="3203">
        <f t="shared" si="51"/>
        <v>3899280</v>
      </c>
      <c r="G45" s="3203">
        <f t="shared" si="51"/>
        <v>4157433</v>
      </c>
      <c r="H45" s="3203">
        <f t="shared" si="51"/>
        <v>0</v>
      </c>
      <c r="I45" s="3203">
        <f t="shared" si="51"/>
        <v>0</v>
      </c>
      <c r="J45" s="3203">
        <f t="shared" si="51"/>
        <v>0</v>
      </c>
      <c r="K45" s="3203">
        <f t="shared" si="51"/>
        <v>0</v>
      </c>
      <c r="L45" s="3203">
        <f>+L153+L347+L321+L88+L124+L140+L100+L213+L225+L177+L237</f>
        <v>0</v>
      </c>
      <c r="M45" s="3515"/>
      <c r="N45" s="651"/>
    </row>
    <row r="46" spans="1:16" ht="14.25" customHeight="1">
      <c r="A46" s="647"/>
      <c r="B46" s="3194" t="s">
        <v>16</v>
      </c>
      <c r="C46" s="30"/>
      <c r="D46" s="3203">
        <f t="shared" ref="D46:K46" si="52">+D123+D139+D63+D76+D359</f>
        <v>12271000</v>
      </c>
      <c r="E46" s="3203">
        <f t="shared" si="52"/>
        <v>0</v>
      </c>
      <c r="F46" s="3203">
        <f t="shared" si="52"/>
        <v>12271000</v>
      </c>
      <c r="G46" s="3203">
        <f t="shared" si="52"/>
        <v>0</v>
      </c>
      <c r="H46" s="3203">
        <f t="shared" si="52"/>
        <v>0</v>
      </c>
      <c r="I46" s="3203">
        <f t="shared" si="52"/>
        <v>0</v>
      </c>
      <c r="J46" s="3203">
        <f t="shared" si="52"/>
        <v>0</v>
      </c>
      <c r="K46" s="3203">
        <f t="shared" si="52"/>
        <v>0</v>
      </c>
      <c r="L46" s="3203">
        <f>+L123+L139+L63+L76+L359</f>
        <v>0</v>
      </c>
      <c r="M46" s="3515"/>
      <c r="N46" s="651"/>
    </row>
    <row r="47" spans="1:16" ht="14.25" hidden="1" customHeight="1">
      <c r="A47" s="647"/>
      <c r="B47" s="3194" t="s">
        <v>24</v>
      </c>
      <c r="C47" s="30"/>
      <c r="D47" s="3203"/>
      <c r="E47" s="3203"/>
      <c r="F47" s="3203"/>
      <c r="G47" s="3203"/>
      <c r="H47" s="3203"/>
      <c r="I47" s="3203"/>
      <c r="J47" s="3203"/>
      <c r="K47" s="3203"/>
      <c r="L47" s="3203"/>
      <c r="M47" s="3515"/>
      <c r="N47" s="651"/>
    </row>
    <row r="48" spans="1:16" ht="14.25" hidden="1" customHeight="1">
      <c r="A48" s="647"/>
      <c r="B48" s="3194" t="s">
        <v>49</v>
      </c>
      <c r="C48" s="30"/>
      <c r="D48" s="3203">
        <f>+D333+D346</f>
        <v>0</v>
      </c>
      <c r="E48" s="3203">
        <f t="shared" ref="E48:K48" si="53">+E333+E346</f>
        <v>0</v>
      </c>
      <c r="F48" s="3203">
        <f t="shared" si="53"/>
        <v>0</v>
      </c>
      <c r="G48" s="3203">
        <f t="shared" si="53"/>
        <v>0</v>
      </c>
      <c r="H48" s="3203">
        <f t="shared" si="53"/>
        <v>0</v>
      </c>
      <c r="I48" s="3203">
        <f t="shared" si="53"/>
        <v>0</v>
      </c>
      <c r="J48" s="3203">
        <f t="shared" si="53"/>
        <v>0</v>
      </c>
      <c r="K48" s="3203">
        <f t="shared" si="53"/>
        <v>0</v>
      </c>
      <c r="L48" s="3203">
        <f>+L333+L346</f>
        <v>0</v>
      </c>
      <c r="M48" s="3515"/>
      <c r="N48" s="651"/>
    </row>
    <row r="49" spans="1:15" ht="10.5" customHeight="1">
      <c r="A49" s="647"/>
      <c r="B49" s="3204" t="s">
        <v>17</v>
      </c>
      <c r="C49" s="3205"/>
      <c r="D49" s="3206">
        <f t="shared" ref="D49:K49" si="54">+D50+D51</f>
        <v>774171426</v>
      </c>
      <c r="E49" s="3206">
        <f t="shared" si="54"/>
        <v>202669892</v>
      </c>
      <c r="F49" s="3206">
        <f t="shared" si="54"/>
        <v>251740133</v>
      </c>
      <c r="G49" s="3206">
        <f t="shared" si="54"/>
        <v>144221576</v>
      </c>
      <c r="H49" s="3206">
        <f t="shared" si="54"/>
        <v>116089825</v>
      </c>
      <c r="I49" s="3206">
        <f t="shared" si="54"/>
        <v>59450000</v>
      </c>
      <c r="J49" s="3206">
        <f t="shared" si="54"/>
        <v>0</v>
      </c>
      <c r="K49" s="3206">
        <f t="shared" si="54"/>
        <v>0</v>
      </c>
      <c r="L49" s="3206">
        <f>+L50+L51</f>
        <v>0</v>
      </c>
      <c r="M49" s="3515"/>
      <c r="N49" s="651"/>
    </row>
    <row r="50" spans="1:15" ht="14.25" hidden="1" customHeight="1">
      <c r="A50" s="647"/>
      <c r="B50" s="3194" t="s">
        <v>16</v>
      </c>
      <c r="C50" s="3195"/>
      <c r="D50" s="3203">
        <f>+D126+D142+D65</f>
        <v>0</v>
      </c>
      <c r="E50" s="3203">
        <f t="shared" ref="E50:K50" si="55">+E126+E142+E65</f>
        <v>0</v>
      </c>
      <c r="F50" s="3203">
        <f t="shared" si="55"/>
        <v>0</v>
      </c>
      <c r="G50" s="3203">
        <f t="shared" si="55"/>
        <v>0</v>
      </c>
      <c r="H50" s="3203">
        <f t="shared" si="55"/>
        <v>0</v>
      </c>
      <c r="I50" s="3203">
        <f t="shared" si="55"/>
        <v>0</v>
      </c>
      <c r="J50" s="3203">
        <f t="shared" si="55"/>
        <v>0</v>
      </c>
      <c r="K50" s="3203">
        <f t="shared" si="55"/>
        <v>0</v>
      </c>
      <c r="L50" s="3203">
        <f>+L126+L142+L65</f>
        <v>0</v>
      </c>
      <c r="M50" s="3515"/>
      <c r="N50" s="651"/>
      <c r="O50" s="362"/>
    </row>
    <row r="51" spans="1:15" ht="12.75" customHeight="1" thickBot="1">
      <c r="A51" s="655"/>
      <c r="B51" s="31" t="s">
        <v>19</v>
      </c>
      <c r="C51" s="32"/>
      <c r="D51" s="1798">
        <f>+D335+D155+D127+D349+D323+D361++D90+D143+D66+D102+D78+D111+D167+D179+D191+D203+D215+D227+D239+D251+D263+D275+D287+D299+D311</f>
        <v>774171426</v>
      </c>
      <c r="E51" s="1798">
        <f t="shared" ref="E51:K51" si="56">+E335+E155+E127+E349+E323+E361++E90+E143+E66+E102+E78+E111+E167+E179+E191+E203+E215+E227+E239+E251+E263+E275+E287+E299+E311</f>
        <v>202669892</v>
      </c>
      <c r="F51" s="1798">
        <f t="shared" si="56"/>
        <v>251740133</v>
      </c>
      <c r="G51" s="1798">
        <f t="shared" si="56"/>
        <v>144221576</v>
      </c>
      <c r="H51" s="1798">
        <f t="shared" si="56"/>
        <v>116089825</v>
      </c>
      <c r="I51" s="1798">
        <f t="shared" si="56"/>
        <v>59450000</v>
      </c>
      <c r="J51" s="1798">
        <f t="shared" si="56"/>
        <v>0</v>
      </c>
      <c r="K51" s="1798">
        <f t="shared" si="56"/>
        <v>0</v>
      </c>
      <c r="L51" s="1798">
        <f>+L335+L155+L127+L349+L323+L361++L90+L143+L66+L102+L78+L111+L167+L179+L191+L203+L215+L227+L239+L251+L263+L275+L287+L299+L311</f>
        <v>0</v>
      </c>
      <c r="M51" s="3516"/>
      <c r="N51" s="656"/>
      <c r="O51" s="362"/>
    </row>
    <row r="52" spans="1:15" s="2737" customFormat="1" ht="17.25" customHeight="1" thickBot="1">
      <c r="A52" s="2979"/>
      <c r="B52" s="236" t="s">
        <v>453</v>
      </c>
      <c r="C52" s="363"/>
      <c r="D52" s="661"/>
      <c r="E52" s="2735"/>
      <c r="F52" s="662"/>
      <c r="G52" s="662"/>
      <c r="H52" s="662"/>
      <c r="I52" s="662"/>
      <c r="J52" s="662"/>
      <c r="K52" s="662"/>
      <c r="L52" s="662"/>
      <c r="M52" s="2736"/>
      <c r="N52" s="364"/>
    </row>
    <row r="53" spans="1:15" ht="23.25" hidden="1" customHeight="1">
      <c r="A53" s="3474"/>
      <c r="B53" s="340" t="s">
        <v>394</v>
      </c>
      <c r="C53" s="48" t="s">
        <v>72</v>
      </c>
      <c r="D53" s="49"/>
      <c r="E53" s="33"/>
      <c r="F53" s="35"/>
      <c r="G53" s="35"/>
      <c r="H53" s="35"/>
      <c r="I53" s="35"/>
      <c r="J53" s="35"/>
      <c r="K53" s="35"/>
      <c r="L53" s="35"/>
      <c r="M53" s="36"/>
      <c r="N53" s="37" t="s">
        <v>73</v>
      </c>
    </row>
    <row r="54" spans="1:15" ht="13.5" hidden="1" thickBot="1">
      <c r="A54" s="3475"/>
      <c r="B54" s="1785" t="s">
        <v>9</v>
      </c>
      <c r="C54" s="2118"/>
      <c r="D54" s="1183">
        <f t="shared" ref="D54" si="57">+D55+D58</f>
        <v>0</v>
      </c>
      <c r="E54" s="1183">
        <f>+E55+E58</f>
        <v>0</v>
      </c>
      <c r="F54" s="1183"/>
      <c r="G54" s="1183"/>
      <c r="H54" s="1183"/>
      <c r="I54" s="1183"/>
      <c r="J54" s="1183"/>
      <c r="K54" s="1183"/>
      <c r="L54" s="1183">
        <f>+L55+L58</f>
        <v>0</v>
      </c>
      <c r="M54" s="1171">
        <f>+M55+M58</f>
        <v>0</v>
      </c>
      <c r="N54" s="3406" t="s">
        <v>74</v>
      </c>
    </row>
    <row r="55" spans="1:15" ht="12" hidden="1" customHeight="1">
      <c r="A55" s="3475"/>
      <c r="B55" s="1806" t="s">
        <v>22</v>
      </c>
      <c r="C55" s="3448" t="s">
        <v>75</v>
      </c>
      <c r="D55" s="1184">
        <f t="shared" ref="D55" si="58">+D56+D57</f>
        <v>0</v>
      </c>
      <c r="E55" s="1184">
        <f>+E56+E57</f>
        <v>0</v>
      </c>
      <c r="F55" s="1184"/>
      <c r="G55" s="1184"/>
      <c r="H55" s="1184"/>
      <c r="I55" s="1184"/>
      <c r="J55" s="1184"/>
      <c r="K55" s="1184"/>
      <c r="L55" s="1184">
        <f>+L56+L57</f>
        <v>0</v>
      </c>
      <c r="M55" s="1174">
        <f>+M56+M57</f>
        <v>0</v>
      </c>
      <c r="N55" s="3406"/>
    </row>
    <row r="56" spans="1:15" ht="12" hidden="1" customHeight="1">
      <c r="A56" s="3475"/>
      <c r="B56" s="1807" t="s">
        <v>11</v>
      </c>
      <c r="C56" s="3383"/>
      <c r="D56" s="1113">
        <f>E56+L56+F56+G56+H56+I56+J56+K56</f>
        <v>0</v>
      </c>
      <c r="E56" s="1147"/>
      <c r="F56" s="1186"/>
      <c r="G56" s="1186"/>
      <c r="H56" s="1186"/>
      <c r="I56" s="1186"/>
      <c r="J56" s="1186"/>
      <c r="K56" s="1186"/>
      <c r="L56" s="1185"/>
      <c r="M56" s="1187">
        <f>SUM(F56:K56)</f>
        <v>0</v>
      </c>
      <c r="N56" s="3406"/>
    </row>
    <row r="57" spans="1:15" ht="12" hidden="1" customHeight="1">
      <c r="A57" s="3475"/>
      <c r="B57" s="1247" t="s">
        <v>16</v>
      </c>
      <c r="C57" s="3383"/>
      <c r="D57" s="1113">
        <f>E57+L57+F57+G57+H57+I57+J57+K57</f>
        <v>0</v>
      </c>
      <c r="E57" s="1147"/>
      <c r="F57" s="1186"/>
      <c r="G57" s="1186"/>
      <c r="H57" s="1186"/>
      <c r="I57" s="1186"/>
      <c r="J57" s="1186"/>
      <c r="K57" s="1186"/>
      <c r="L57" s="1186"/>
      <c r="M57" s="1187">
        <f>SUM(F57:K57)</f>
        <v>0</v>
      </c>
      <c r="N57" s="3406"/>
    </row>
    <row r="58" spans="1:15" ht="12" hidden="1" customHeight="1">
      <c r="A58" s="3475"/>
      <c r="B58" s="1204" t="s">
        <v>17</v>
      </c>
      <c r="C58" s="3383"/>
      <c r="D58" s="1173">
        <f>+D59+D60</f>
        <v>0</v>
      </c>
      <c r="E58" s="1173">
        <f t="shared" ref="E58" si="59">+E59+E60</f>
        <v>0</v>
      </c>
      <c r="F58" s="1173"/>
      <c r="G58" s="1173"/>
      <c r="H58" s="1173"/>
      <c r="I58" s="1173"/>
      <c r="J58" s="1173"/>
      <c r="K58" s="1173"/>
      <c r="L58" s="1173"/>
      <c r="M58" s="1174">
        <f>+M59+M60</f>
        <v>0</v>
      </c>
      <c r="N58" s="3406"/>
    </row>
    <row r="59" spans="1:15" ht="12" hidden="1" customHeight="1">
      <c r="A59" s="3475"/>
      <c r="B59" s="2295" t="s">
        <v>16</v>
      </c>
      <c r="C59" s="3383"/>
      <c r="D59" s="1113">
        <f>E59+L59+F59+G59+H59+I59+J59+K59</f>
        <v>0</v>
      </c>
      <c r="E59" s="1182"/>
      <c r="F59" s="1186"/>
      <c r="G59" s="1186"/>
      <c r="H59" s="1186"/>
      <c r="I59" s="176"/>
      <c r="J59" s="176"/>
      <c r="K59" s="176"/>
      <c r="L59" s="1186"/>
      <c r="M59" s="2738"/>
      <c r="N59" s="3406"/>
    </row>
    <row r="60" spans="1:15" ht="12" hidden="1" customHeight="1">
      <c r="A60" s="3475"/>
      <c r="B60" s="2295" t="s">
        <v>19</v>
      </c>
      <c r="C60" s="3384"/>
      <c r="D60" s="1113">
        <f>E60+L60+F60+G60+H60+I60+J60+K60</f>
        <v>0</v>
      </c>
      <c r="E60" s="1147"/>
      <c r="F60" s="1186"/>
      <c r="G60" s="1186"/>
      <c r="H60" s="1186"/>
      <c r="I60" s="1186"/>
      <c r="J60" s="1186"/>
      <c r="K60" s="1186"/>
      <c r="L60" s="1186"/>
      <c r="M60" s="1187">
        <f>SUM(F60:K60)</f>
        <v>0</v>
      </c>
      <c r="N60" s="3407"/>
    </row>
    <row r="61" spans="1:15" ht="13.5" hidden="1" customHeight="1" thickBot="1">
      <c r="A61" s="3475"/>
      <c r="B61" s="68" t="s">
        <v>20</v>
      </c>
      <c r="C61" s="2118"/>
      <c r="D61" s="1170">
        <f t="shared" ref="D61" si="60">+D64+D62</f>
        <v>0</v>
      </c>
      <c r="E61" s="1170">
        <f>+E64+E62</f>
        <v>0</v>
      </c>
      <c r="F61" s="1170"/>
      <c r="G61" s="1170"/>
      <c r="H61" s="1170"/>
      <c r="I61" s="1419"/>
      <c r="J61" s="1419"/>
      <c r="K61" s="1419"/>
      <c r="L61" s="1170"/>
      <c r="M61" s="3429" t="s">
        <v>21</v>
      </c>
      <c r="N61" s="3414" t="s">
        <v>189</v>
      </c>
      <c r="O61" s="362">
        <v>0</v>
      </c>
    </row>
    <row r="62" spans="1:15" ht="12" hidden="1" customHeight="1">
      <c r="A62" s="3475"/>
      <c r="B62" s="1177" t="s">
        <v>22</v>
      </c>
      <c r="C62" s="3448" t="s">
        <v>76</v>
      </c>
      <c r="D62" s="1173">
        <f t="shared" ref="D62:E62" si="61">+D63</f>
        <v>0</v>
      </c>
      <c r="E62" s="1173">
        <f t="shared" si="61"/>
        <v>0</v>
      </c>
      <c r="F62" s="1173"/>
      <c r="G62" s="1173"/>
      <c r="H62" s="1173"/>
      <c r="I62" s="1173"/>
      <c r="J62" s="1173"/>
      <c r="K62" s="1173"/>
      <c r="L62" s="1173"/>
      <c r="M62" s="3427"/>
      <c r="N62" s="3415"/>
    </row>
    <row r="63" spans="1:15" ht="12" hidden="1" customHeight="1">
      <c r="A63" s="3475"/>
      <c r="B63" s="1198" t="s">
        <v>16</v>
      </c>
      <c r="C63" s="3383"/>
      <c r="D63" s="1113">
        <f>E63+L63+F63+G63+H63+I63+J63+K63</f>
        <v>0</v>
      </c>
      <c r="E63" s="1147"/>
      <c r="F63" s="1189"/>
      <c r="G63" s="1189"/>
      <c r="H63" s="1173"/>
      <c r="I63" s="1173"/>
      <c r="J63" s="1173"/>
      <c r="K63" s="1173"/>
      <c r="L63" s="1189"/>
      <c r="M63" s="3427"/>
      <c r="N63" s="3415"/>
    </row>
    <row r="64" spans="1:15" ht="12" hidden="1" customHeight="1">
      <c r="A64" s="3475"/>
      <c r="B64" s="1808" t="s">
        <v>17</v>
      </c>
      <c r="C64" s="3383"/>
      <c r="D64" s="1190">
        <f t="shared" ref="D64:E64" si="62">+D65+D66</f>
        <v>0</v>
      </c>
      <c r="E64" s="1190">
        <f t="shared" si="62"/>
        <v>0</v>
      </c>
      <c r="F64" s="1420"/>
      <c r="G64" s="1420"/>
      <c r="H64" s="1189"/>
      <c r="I64" s="1189"/>
      <c r="J64" s="1189"/>
      <c r="K64" s="1189"/>
      <c r="L64" s="1420"/>
      <c r="M64" s="3427"/>
      <c r="N64" s="3415"/>
    </row>
    <row r="65" spans="1:18" ht="12" hidden="1" customHeight="1">
      <c r="A65" s="3475"/>
      <c r="B65" s="2295" t="s">
        <v>16</v>
      </c>
      <c r="C65" s="3383"/>
      <c r="D65" s="1113">
        <f>E65+L65+F65+G65+H65+I65+J65+K65</f>
        <v>0</v>
      </c>
      <c r="E65" s="1222"/>
      <c r="F65" s="1189"/>
      <c r="G65" s="1189"/>
      <c r="H65" s="1420"/>
      <c r="I65" s="1420"/>
      <c r="J65" s="1420"/>
      <c r="K65" s="1420"/>
      <c r="L65" s="1189"/>
      <c r="M65" s="3427"/>
      <c r="N65" s="3415"/>
    </row>
    <row r="66" spans="1:18" ht="10.5" hidden="1" customHeight="1" thickBot="1">
      <c r="A66" s="3476"/>
      <c r="B66" s="1034" t="s">
        <v>19</v>
      </c>
      <c r="C66" s="3449"/>
      <c r="D66" s="1679">
        <f>E66+L66+F66+G66+H66+I66+J66+K66</f>
        <v>0</v>
      </c>
      <c r="E66" s="1679"/>
      <c r="F66" s="1035"/>
      <c r="G66" s="1035"/>
      <c r="H66" s="1421"/>
      <c r="I66" s="1421"/>
      <c r="J66" s="1421"/>
      <c r="K66" s="1421"/>
      <c r="L66" s="1035"/>
      <c r="M66" s="3428"/>
      <c r="N66" s="3416"/>
    </row>
    <row r="67" spans="1:18" ht="25.5" hidden="1" customHeight="1">
      <c r="A67" s="3402"/>
      <c r="B67" s="61" t="s">
        <v>395</v>
      </c>
      <c r="C67" s="48" t="s">
        <v>72</v>
      </c>
      <c r="D67" s="49"/>
      <c r="E67" s="34"/>
      <c r="F67" s="33"/>
      <c r="G67" s="205"/>
      <c r="H67" s="34"/>
      <c r="I67" s="205"/>
      <c r="J67" s="205"/>
      <c r="K67" s="205"/>
      <c r="L67" s="33"/>
      <c r="M67" s="2739"/>
      <c r="N67" s="37" t="s">
        <v>73</v>
      </c>
      <c r="R67" s="2740"/>
    </row>
    <row r="68" spans="1:18" ht="13.5" hidden="1" customHeight="1">
      <c r="A68" s="3403"/>
      <c r="B68" s="1768" t="s">
        <v>9</v>
      </c>
      <c r="C68" s="2118"/>
      <c r="D68" s="1183">
        <f>+D69+D72</f>
        <v>0</v>
      </c>
      <c r="E68" s="1183">
        <f>+E69+E72</f>
        <v>0</v>
      </c>
      <c r="F68" s="1183"/>
      <c r="G68" s="1183"/>
      <c r="H68" s="1183"/>
      <c r="I68" s="1183"/>
      <c r="J68" s="1183"/>
      <c r="K68" s="1183"/>
      <c r="L68" s="1183">
        <f>+L69+L72</f>
        <v>0</v>
      </c>
      <c r="M68" s="1171">
        <f>+M69+M72</f>
        <v>0</v>
      </c>
      <c r="N68" s="3406" t="s">
        <v>74</v>
      </c>
      <c r="O68" s="362"/>
      <c r="P68" s="362"/>
      <c r="Q68" s="362"/>
      <c r="R68" s="362"/>
    </row>
    <row r="69" spans="1:18" ht="12" hidden="1" customHeight="1">
      <c r="A69" s="3403"/>
      <c r="B69" s="2294" t="s">
        <v>22</v>
      </c>
      <c r="C69" s="3448" t="s">
        <v>75</v>
      </c>
      <c r="D69" s="1184">
        <f>+D70+D71</f>
        <v>0</v>
      </c>
      <c r="E69" s="1184">
        <f>+E70+E71</f>
        <v>0</v>
      </c>
      <c r="F69" s="1184"/>
      <c r="G69" s="1184"/>
      <c r="H69" s="1184"/>
      <c r="I69" s="1184"/>
      <c r="J69" s="1184"/>
      <c r="K69" s="1184"/>
      <c r="L69" s="1184">
        <f>+L70+L71</f>
        <v>0</v>
      </c>
      <c r="M69" s="1422">
        <f>+M70+M71</f>
        <v>0</v>
      </c>
      <c r="N69" s="3406"/>
    </row>
    <row r="70" spans="1:18" ht="12" hidden="1" customHeight="1">
      <c r="A70" s="3403"/>
      <c r="B70" s="2295" t="s">
        <v>11</v>
      </c>
      <c r="C70" s="3383"/>
      <c r="D70" s="1113">
        <f>E70+L70+F70+G70+H70+I70+J70+K70</f>
        <v>0</v>
      </c>
      <c r="E70" s="1147"/>
      <c r="F70" s="1186"/>
      <c r="G70" s="1186"/>
      <c r="H70" s="1186"/>
      <c r="I70" s="1186"/>
      <c r="J70" s="1186"/>
      <c r="K70" s="1186"/>
      <c r="L70" s="1185"/>
      <c r="M70" s="1187">
        <f>SUM(F70:K70)</f>
        <v>0</v>
      </c>
      <c r="N70" s="3406"/>
    </row>
    <row r="71" spans="1:18" ht="12" hidden="1" customHeight="1">
      <c r="A71" s="3403"/>
      <c r="B71" s="2295" t="s">
        <v>16</v>
      </c>
      <c r="C71" s="3383"/>
      <c r="D71" s="1113">
        <f>E71+L71+F71+G71+H71+I71+J71+K71</f>
        <v>0</v>
      </c>
      <c r="E71" s="1147"/>
      <c r="F71" s="1186"/>
      <c r="G71" s="1186"/>
      <c r="H71" s="1186"/>
      <c r="I71" s="1186"/>
      <c r="J71" s="1186"/>
      <c r="K71" s="1186"/>
      <c r="L71" s="1186"/>
      <c r="M71" s="1187">
        <f>SUM(F71:K71)</f>
        <v>0</v>
      </c>
      <c r="N71" s="3406"/>
    </row>
    <row r="72" spans="1:18" ht="12" hidden="1" customHeight="1">
      <c r="A72" s="3403"/>
      <c r="B72" s="2614" t="s">
        <v>17</v>
      </c>
      <c r="C72" s="3383"/>
      <c r="D72" s="1173">
        <f>+D73</f>
        <v>0</v>
      </c>
      <c r="E72" s="1173">
        <f t="shared" ref="E72" si="63">+E73</f>
        <v>0</v>
      </c>
      <c r="F72" s="1173"/>
      <c r="G72" s="1173"/>
      <c r="H72" s="1173"/>
      <c r="I72" s="1173"/>
      <c r="J72" s="1173"/>
      <c r="K72" s="1173"/>
      <c r="L72" s="1173"/>
      <c r="M72" s="1422">
        <f>+M73</f>
        <v>0</v>
      </c>
      <c r="N72" s="3406"/>
    </row>
    <row r="73" spans="1:18" ht="12" hidden="1" customHeight="1">
      <c r="A73" s="3403"/>
      <c r="B73" s="2295" t="s">
        <v>19</v>
      </c>
      <c r="C73" s="221"/>
      <c r="D73" s="1152">
        <f>E73+L73+F73+G73+H73+I73+J73+K73</f>
        <v>0</v>
      </c>
      <c r="E73" s="1147"/>
      <c r="F73" s="1186"/>
      <c r="G73" s="1186"/>
      <c r="H73" s="1186"/>
      <c r="I73" s="1186"/>
      <c r="J73" s="1186"/>
      <c r="K73" s="1186"/>
      <c r="L73" s="1186"/>
      <c r="M73" s="1187">
        <f>SUM(F73:K73)</f>
        <v>0</v>
      </c>
      <c r="N73" s="3407"/>
    </row>
    <row r="74" spans="1:18" ht="12" hidden="1" customHeight="1">
      <c r="A74" s="3403"/>
      <c r="B74" s="161" t="s">
        <v>20</v>
      </c>
      <c r="C74" s="75"/>
      <c r="D74" s="82">
        <f t="shared" ref="D74" si="64">+D77+D75</f>
        <v>0</v>
      </c>
      <c r="E74" s="82">
        <f>+E77+E75</f>
        <v>0</v>
      </c>
      <c r="F74" s="82"/>
      <c r="G74" s="82"/>
      <c r="H74" s="82"/>
      <c r="I74" s="82"/>
      <c r="J74" s="82"/>
      <c r="K74" s="82"/>
      <c r="L74" s="82"/>
      <c r="M74" s="3427" t="s">
        <v>21</v>
      </c>
      <c r="N74" s="3472" t="s">
        <v>189</v>
      </c>
      <c r="O74" s="362"/>
    </row>
    <row r="75" spans="1:18" ht="12" hidden="1" customHeight="1">
      <c r="A75" s="3403"/>
      <c r="B75" s="1188" t="s">
        <v>22</v>
      </c>
      <c r="C75" s="3448" t="s">
        <v>76</v>
      </c>
      <c r="D75" s="1173">
        <f t="shared" ref="D75:E75" si="65">+D76</f>
        <v>0</v>
      </c>
      <c r="E75" s="1173">
        <f t="shared" si="65"/>
        <v>0</v>
      </c>
      <c r="F75" s="1173"/>
      <c r="G75" s="1173"/>
      <c r="H75" s="1173"/>
      <c r="I75" s="1173"/>
      <c r="J75" s="1173"/>
      <c r="K75" s="1173"/>
      <c r="L75" s="1173"/>
      <c r="M75" s="3427"/>
      <c r="N75" s="3406"/>
    </row>
    <row r="76" spans="1:18" ht="12" hidden="1" customHeight="1">
      <c r="A76" s="3403"/>
      <c r="B76" s="1198" t="s">
        <v>16</v>
      </c>
      <c r="C76" s="3383"/>
      <c r="D76" s="1113">
        <f>E76+L76+F76+G76+H76+I76+J76+K76</f>
        <v>0</v>
      </c>
      <c r="E76" s="1147"/>
      <c r="F76" s="1189"/>
      <c r="G76" s="1189"/>
      <c r="H76" s="1189"/>
      <c r="I76" s="1189"/>
      <c r="J76" s="1189"/>
      <c r="K76" s="1189"/>
      <c r="L76" s="1189"/>
      <c r="M76" s="3427"/>
      <c r="N76" s="3406"/>
    </row>
    <row r="77" spans="1:18" ht="12" hidden="1" customHeight="1">
      <c r="A77" s="3403"/>
      <c r="B77" s="2614" t="s">
        <v>17</v>
      </c>
      <c r="C77" s="3383"/>
      <c r="D77" s="1190">
        <f>+D78</f>
        <v>0</v>
      </c>
      <c r="E77" s="1190">
        <f t="shared" ref="E77" si="66">+E78</f>
        <v>0</v>
      </c>
      <c r="F77" s="1190"/>
      <c r="G77" s="1190"/>
      <c r="H77" s="1190"/>
      <c r="I77" s="1190"/>
      <c r="J77" s="1190"/>
      <c r="K77" s="1190"/>
      <c r="L77" s="1190"/>
      <c r="M77" s="3427"/>
      <c r="N77" s="3406"/>
    </row>
    <row r="78" spans="1:18" ht="12" hidden="1" customHeight="1" thickBot="1">
      <c r="A78" s="3404"/>
      <c r="B78" s="63" t="s">
        <v>19</v>
      </c>
      <c r="C78" s="3449"/>
      <c r="D78" s="1113">
        <f>E78+L78+F78+G78+H78+I78+J78+K78</f>
        <v>0</v>
      </c>
      <c r="E78" s="1147"/>
      <c r="F78" s="1421"/>
      <c r="G78" s="1421"/>
      <c r="H78" s="1421"/>
      <c r="I78" s="1421"/>
      <c r="J78" s="1421"/>
      <c r="K78" s="1421"/>
      <c r="L78" s="1421"/>
      <c r="M78" s="3428"/>
      <c r="N78" s="3473"/>
    </row>
    <row r="79" spans="1:18" ht="23.25" customHeight="1">
      <c r="A79" s="3402" t="s">
        <v>54</v>
      </c>
      <c r="B79" s="2612" t="s">
        <v>524</v>
      </c>
      <c r="C79" s="48" t="s">
        <v>72</v>
      </c>
      <c r="D79" s="942"/>
      <c r="E79" s="2229"/>
      <c r="F79" s="2229"/>
      <c r="G79" s="2229"/>
      <c r="H79" s="2229"/>
      <c r="I79" s="2229"/>
      <c r="J79" s="2229"/>
      <c r="K79" s="2230"/>
      <c r="L79" s="2229"/>
      <c r="M79" s="36"/>
      <c r="N79" s="74"/>
    </row>
    <row r="80" spans="1:18">
      <c r="A80" s="3403"/>
      <c r="B80" s="1168" t="s">
        <v>9</v>
      </c>
      <c r="C80" s="2118"/>
      <c r="D80" s="1183">
        <f>+D81+D84</f>
        <v>21340776</v>
      </c>
      <c r="E80" s="1183">
        <f>+E81+E84</f>
        <v>21313701</v>
      </c>
      <c r="F80" s="1183">
        <f>+F81+F84</f>
        <v>27075</v>
      </c>
      <c r="G80" s="1183"/>
      <c r="H80" s="1183"/>
      <c r="I80" s="1183"/>
      <c r="J80" s="1183"/>
      <c r="K80" s="1183"/>
      <c r="L80" s="1183">
        <f>+L81+L84</f>
        <v>0</v>
      </c>
      <c r="M80" s="1171">
        <f>+M81+M84</f>
        <v>0</v>
      </c>
      <c r="N80" s="3406" t="s">
        <v>77</v>
      </c>
      <c r="O80" s="362"/>
    </row>
    <row r="81" spans="1:15" ht="12.75" customHeight="1">
      <c r="A81" s="3403"/>
      <c r="B81" s="1806" t="s">
        <v>22</v>
      </c>
      <c r="C81" s="3448" t="s">
        <v>75</v>
      </c>
      <c r="D81" s="1178">
        <f>+D82+D83</f>
        <v>8880242</v>
      </c>
      <c r="E81" s="1178">
        <f>+E82+E83</f>
        <v>8853167</v>
      </c>
      <c r="F81" s="1178">
        <f>+F82+F83</f>
        <v>27075</v>
      </c>
      <c r="G81" s="1178"/>
      <c r="H81" s="1178"/>
      <c r="I81" s="1178"/>
      <c r="J81" s="1178"/>
      <c r="K81" s="1178"/>
      <c r="L81" s="1178">
        <f>+L82+L83</f>
        <v>0</v>
      </c>
      <c r="M81" s="1174">
        <f>M82</f>
        <v>0</v>
      </c>
      <c r="N81" s="3406"/>
      <c r="O81" s="362"/>
    </row>
    <row r="82" spans="1:15" ht="10.5" customHeight="1">
      <c r="A82" s="3403"/>
      <c r="B82" s="2295" t="s">
        <v>11</v>
      </c>
      <c r="C82" s="3383"/>
      <c r="D82" s="1113">
        <f>E82+L82+F82+G82+H82+I82+J82+K82</f>
        <v>1390378</v>
      </c>
      <c r="E82" s="1147">
        <f>1252934+110369</f>
        <v>1363303</v>
      </c>
      <c r="F82" s="1185">
        <f>27000+100-25</f>
        <v>27075</v>
      </c>
      <c r="G82" s="1186"/>
      <c r="H82" s="1186"/>
      <c r="I82" s="1186"/>
      <c r="J82" s="1186"/>
      <c r="K82" s="1186"/>
      <c r="L82" s="1185">
        <v>0</v>
      </c>
      <c r="M82" s="1187">
        <f>SUM(G82:K82)</f>
        <v>0</v>
      </c>
      <c r="N82" s="3406"/>
    </row>
    <row r="83" spans="1:15" ht="12" customHeight="1">
      <c r="A83" s="3403"/>
      <c r="B83" s="76" t="s">
        <v>14</v>
      </c>
      <c r="C83" s="3383"/>
      <c r="D83" s="1113">
        <f>E83+L83+F83+G83+H83+I83+J83+K83</f>
        <v>7489864</v>
      </c>
      <c r="E83" s="1147">
        <f>7489864</f>
        <v>7489864</v>
      </c>
      <c r="F83" s="1186"/>
      <c r="G83" s="1186"/>
      <c r="H83" s="1186"/>
      <c r="I83" s="1186"/>
      <c r="J83" s="1186"/>
      <c r="K83" s="1186"/>
      <c r="L83" s="1185"/>
      <c r="M83" s="1187">
        <f>SUM(G83:K83)</f>
        <v>0</v>
      </c>
      <c r="N83" s="3472"/>
    </row>
    <row r="84" spans="1:15" ht="12" customHeight="1">
      <c r="A84" s="3403"/>
      <c r="B84" s="1808" t="s">
        <v>17</v>
      </c>
      <c r="C84" s="3383"/>
      <c r="D84" s="1173">
        <f>+D85</f>
        <v>12460534</v>
      </c>
      <c r="E84" s="1179">
        <f>+E85</f>
        <v>12460534</v>
      </c>
      <c r="F84" s="1179"/>
      <c r="G84" s="1173"/>
      <c r="H84" s="1173"/>
      <c r="I84" s="1173"/>
      <c r="J84" s="1173"/>
      <c r="K84" s="1173"/>
      <c r="L84" s="1179"/>
      <c r="M84" s="2155">
        <f>+M85</f>
        <v>0</v>
      </c>
      <c r="N84" s="3406"/>
    </row>
    <row r="85" spans="1:15" ht="11.25" customHeight="1">
      <c r="A85" s="3403"/>
      <c r="B85" s="2295" t="s">
        <v>19</v>
      </c>
      <c r="C85" s="3384"/>
      <c r="D85" s="1152">
        <f>E85+L85+F85+G85+H85+I85+J85+K85</f>
        <v>12460534</v>
      </c>
      <c r="E85" s="1147">
        <f>12460534</f>
        <v>12460534</v>
      </c>
      <c r="F85" s="1186"/>
      <c r="G85" s="1186"/>
      <c r="H85" s="1186"/>
      <c r="I85" s="1186"/>
      <c r="J85" s="1186"/>
      <c r="K85" s="1186"/>
      <c r="L85" s="1186"/>
      <c r="M85" s="1187">
        <f>SUM(G85:K85)</f>
        <v>0</v>
      </c>
      <c r="N85" s="3407"/>
    </row>
    <row r="86" spans="1:15">
      <c r="A86" s="3430"/>
      <c r="B86" s="68" t="s">
        <v>20</v>
      </c>
      <c r="C86" s="75"/>
      <c r="D86" s="82">
        <f>+D87+D89</f>
        <v>19950398</v>
      </c>
      <c r="E86" s="82">
        <f>+E87+E89</f>
        <v>19950398</v>
      </c>
      <c r="F86" s="82"/>
      <c r="G86" s="82"/>
      <c r="H86" s="82"/>
      <c r="I86" s="82"/>
      <c r="J86" s="82"/>
      <c r="K86" s="82"/>
      <c r="L86" s="82"/>
      <c r="M86" s="3493" t="s">
        <v>21</v>
      </c>
      <c r="N86" s="3414" t="s">
        <v>92</v>
      </c>
      <c r="O86" s="362"/>
    </row>
    <row r="87" spans="1:15" ht="13.5" customHeight="1">
      <c r="A87" s="3430"/>
      <c r="B87" s="1177" t="s">
        <v>22</v>
      </c>
      <c r="C87" s="3448" t="s">
        <v>76</v>
      </c>
      <c r="D87" s="43">
        <f>+D88</f>
        <v>7489864</v>
      </c>
      <c r="E87" s="43">
        <f t="shared" ref="E87" si="67">+E88</f>
        <v>7489864</v>
      </c>
      <c r="F87" s="43"/>
      <c r="G87" s="43"/>
      <c r="H87" s="43"/>
      <c r="I87" s="43"/>
      <c r="J87" s="43"/>
      <c r="K87" s="43"/>
      <c r="L87" s="43"/>
      <c r="M87" s="3494"/>
      <c r="N87" s="3415"/>
    </row>
    <row r="88" spans="1:15" ht="11.25" customHeight="1">
      <c r="A88" s="3430"/>
      <c r="B88" s="76" t="s">
        <v>14</v>
      </c>
      <c r="C88" s="3383"/>
      <c r="D88" s="1113">
        <f>E88+L88+F88+G88+H88+I88+J88+K88</f>
        <v>7489864</v>
      </c>
      <c r="E88" s="1147">
        <f>7489864</f>
        <v>7489864</v>
      </c>
      <c r="F88" s="1189"/>
      <c r="G88" s="1189"/>
      <c r="H88" s="1189"/>
      <c r="I88" s="1189"/>
      <c r="J88" s="1189"/>
      <c r="K88" s="1189"/>
      <c r="L88" s="1189"/>
      <c r="M88" s="3494"/>
      <c r="N88" s="3415"/>
    </row>
    <row r="89" spans="1:15" s="2737" customFormat="1" ht="12.75" customHeight="1" thickBot="1">
      <c r="A89" s="3430"/>
      <c r="B89" s="1808" t="s">
        <v>17</v>
      </c>
      <c r="C89" s="3383"/>
      <c r="D89" s="1190">
        <f t="shared" ref="D89:E89" si="68">+D90</f>
        <v>12460534</v>
      </c>
      <c r="E89" s="1420">
        <f t="shared" si="68"/>
        <v>12460534</v>
      </c>
      <c r="F89" s="1420"/>
      <c r="G89" s="1420"/>
      <c r="H89" s="1420"/>
      <c r="I89" s="1420"/>
      <c r="J89" s="1420"/>
      <c r="K89" s="1420"/>
      <c r="L89" s="1420"/>
      <c r="M89" s="3494"/>
      <c r="N89" s="3416"/>
    </row>
    <row r="90" spans="1:15" ht="12.75" customHeight="1" thickBot="1">
      <c r="A90" s="3430"/>
      <c r="B90" s="63" t="s">
        <v>19</v>
      </c>
      <c r="C90" s="3449"/>
      <c r="D90" s="1679">
        <f>E90+L90+F90+G90+H90+I90+J90+K90</f>
        <v>12460534</v>
      </c>
      <c r="E90" s="1679">
        <f>12460534</f>
        <v>12460534</v>
      </c>
      <c r="F90" s="47"/>
      <c r="G90" s="47"/>
      <c r="H90" s="47"/>
      <c r="I90" s="47"/>
      <c r="J90" s="47"/>
      <c r="K90" s="47"/>
      <c r="L90" s="47"/>
      <c r="M90" s="3495"/>
      <c r="N90" s="3436"/>
    </row>
    <row r="91" spans="1:15" ht="27.75" hidden="1" customHeight="1">
      <c r="A91" s="3403"/>
      <c r="B91" s="340" t="s">
        <v>396</v>
      </c>
      <c r="C91" s="48" t="s">
        <v>72</v>
      </c>
      <c r="D91" s="659"/>
      <c r="E91" s="2742"/>
      <c r="F91" s="78"/>
      <c r="G91" s="78"/>
      <c r="H91" s="78"/>
      <c r="I91" s="78"/>
      <c r="J91" s="78"/>
      <c r="K91" s="78"/>
      <c r="L91" s="78"/>
      <c r="M91" s="36"/>
      <c r="N91" s="3207"/>
      <c r="O91" s="362"/>
    </row>
    <row r="92" spans="1:15" ht="12" hidden="1" customHeight="1">
      <c r="A92" s="3403"/>
      <c r="B92" s="1768" t="s">
        <v>9</v>
      </c>
      <c r="C92" s="2118"/>
      <c r="D92" s="1183">
        <f>+D93+D96</f>
        <v>0</v>
      </c>
      <c r="E92" s="1183">
        <f>+E93+E96</f>
        <v>0</v>
      </c>
      <c r="F92" s="1183"/>
      <c r="G92" s="1183"/>
      <c r="H92" s="1183"/>
      <c r="I92" s="1183"/>
      <c r="J92" s="1183"/>
      <c r="K92" s="1183"/>
      <c r="L92" s="1183">
        <f>+L93+L96</f>
        <v>0</v>
      </c>
      <c r="M92" s="2156">
        <f>+M93+M96</f>
        <v>0</v>
      </c>
      <c r="N92" s="3447" t="s">
        <v>77</v>
      </c>
    </row>
    <row r="93" spans="1:15" ht="13.5" hidden="1" customHeight="1">
      <c r="A93" s="3404"/>
      <c r="B93" s="2294" t="s">
        <v>22</v>
      </c>
      <c r="C93" s="3448" t="s">
        <v>75</v>
      </c>
      <c r="D93" s="1184">
        <f>+D94+D95</f>
        <v>0</v>
      </c>
      <c r="E93" s="1184">
        <f>+E94+E95</f>
        <v>0</v>
      </c>
      <c r="F93" s="1184"/>
      <c r="G93" s="1184"/>
      <c r="H93" s="1184"/>
      <c r="I93" s="1184"/>
      <c r="J93" s="1184"/>
      <c r="K93" s="1184"/>
      <c r="L93" s="1184">
        <f>+L94+L95</f>
        <v>0</v>
      </c>
      <c r="M93" s="2155">
        <f>+M94+M95</f>
        <v>0</v>
      </c>
      <c r="N93" s="3484"/>
      <c r="O93" s="362"/>
    </row>
    <row r="94" spans="1:15" ht="11.25" hidden="1" customHeight="1">
      <c r="A94" s="3451"/>
      <c r="B94" s="2295" t="s">
        <v>11</v>
      </c>
      <c r="C94" s="3450"/>
      <c r="D94" s="1113">
        <f>E94+L94+F94+G94+H94+I94+J94+K94</f>
        <v>0</v>
      </c>
      <c r="E94" s="1147"/>
      <c r="F94" s="1186"/>
      <c r="G94" s="1186"/>
      <c r="H94" s="1186"/>
      <c r="I94" s="1186"/>
      <c r="J94" s="1186"/>
      <c r="K94" s="1186"/>
      <c r="L94" s="1185"/>
      <c r="M94" s="2162">
        <f>SUM(F94:K94)</f>
        <v>0</v>
      </c>
      <c r="N94" s="3446"/>
      <c r="O94" s="362"/>
    </row>
    <row r="95" spans="1:15" ht="11.25" hidden="1" customHeight="1">
      <c r="A95" s="3451"/>
      <c r="B95" s="2295" t="s">
        <v>14</v>
      </c>
      <c r="C95" s="3450"/>
      <c r="D95" s="1113">
        <f>E95+L95+F95+G95+H95+I95+J95+K95</f>
        <v>0</v>
      </c>
      <c r="E95" s="1147"/>
      <c r="F95" s="1186"/>
      <c r="G95" s="1186"/>
      <c r="H95" s="1186"/>
      <c r="I95" s="1186"/>
      <c r="J95" s="1186"/>
      <c r="K95" s="1186"/>
      <c r="L95" s="1186"/>
      <c r="M95" s="2162">
        <f>SUM(F95:K95)</f>
        <v>0</v>
      </c>
      <c r="N95" s="3446"/>
      <c r="O95" s="362"/>
    </row>
    <row r="96" spans="1:15" ht="11.25" hidden="1" customHeight="1">
      <c r="A96" s="3451"/>
      <c r="B96" s="2614" t="s">
        <v>17</v>
      </c>
      <c r="C96" s="3450"/>
      <c r="D96" s="1173">
        <f>+D97</f>
        <v>0</v>
      </c>
      <c r="E96" s="1173">
        <f t="shared" ref="E96" si="69">+E97</f>
        <v>0</v>
      </c>
      <c r="F96" s="1173"/>
      <c r="G96" s="1173"/>
      <c r="H96" s="1173"/>
      <c r="I96" s="1173"/>
      <c r="J96" s="1173"/>
      <c r="K96" s="1173"/>
      <c r="L96" s="1173"/>
      <c r="M96" s="2155">
        <f>+M97</f>
        <v>0</v>
      </c>
      <c r="N96" s="3447"/>
    </row>
    <row r="97" spans="1:15" ht="11.25" hidden="1" customHeight="1">
      <c r="A97" s="3451"/>
      <c r="B97" s="2296" t="s">
        <v>19</v>
      </c>
      <c r="C97" s="3461"/>
      <c r="D97" s="1113">
        <f>E97+L97+F97+G97+H97+I97+J97+K97</f>
        <v>0</v>
      </c>
      <c r="E97" s="1147"/>
      <c r="F97" s="1176"/>
      <c r="G97" s="1176"/>
      <c r="H97" s="1176"/>
      <c r="I97" s="1176"/>
      <c r="J97" s="1176"/>
      <c r="K97" s="1176"/>
      <c r="L97" s="1176"/>
      <c r="M97" s="2162">
        <f>SUM(F97:K97)</f>
        <v>0</v>
      </c>
      <c r="N97" s="3484"/>
    </row>
    <row r="98" spans="1:15" ht="11.25" hidden="1" customHeight="1">
      <c r="A98" s="3483"/>
      <c r="B98" s="1768" t="s">
        <v>20</v>
      </c>
      <c r="C98" s="2118"/>
      <c r="D98" s="1170">
        <f>+D101+D99</f>
        <v>0</v>
      </c>
      <c r="E98" s="1170">
        <f>+E101+E99</f>
        <v>0</v>
      </c>
      <c r="F98" s="1170"/>
      <c r="G98" s="1170"/>
      <c r="H98" s="1170"/>
      <c r="I98" s="1170"/>
      <c r="J98" s="1170"/>
      <c r="K98" s="1170"/>
      <c r="L98" s="1170"/>
      <c r="M98" s="3489" t="s">
        <v>21</v>
      </c>
      <c r="N98" s="3443" t="s">
        <v>92</v>
      </c>
    </row>
    <row r="99" spans="1:15" ht="13.5" hidden="1" customHeight="1">
      <c r="A99" s="3431"/>
      <c r="B99" s="1188" t="s">
        <v>22</v>
      </c>
      <c r="C99" s="3448" t="s">
        <v>76</v>
      </c>
      <c r="D99" s="43">
        <f>+D100</f>
        <v>0</v>
      </c>
      <c r="E99" s="43">
        <f t="shared" ref="E99" si="70">+E100</f>
        <v>0</v>
      </c>
      <c r="F99" s="43"/>
      <c r="G99" s="43"/>
      <c r="H99" s="43"/>
      <c r="I99" s="43"/>
      <c r="J99" s="43"/>
      <c r="K99" s="43"/>
      <c r="L99" s="43"/>
      <c r="M99" s="3490"/>
      <c r="N99" s="3416"/>
    </row>
    <row r="100" spans="1:15" ht="11.25" hidden="1" customHeight="1">
      <c r="A100" s="3452"/>
      <c r="B100" s="76" t="s">
        <v>14</v>
      </c>
      <c r="C100" s="3449"/>
      <c r="D100" s="1147">
        <f>E100+L100+F100+G100+H100+I100+J100+K100</f>
        <v>0</v>
      </c>
      <c r="E100" s="1147"/>
      <c r="F100" s="1189"/>
      <c r="G100" s="1189"/>
      <c r="H100" s="1189"/>
      <c r="I100" s="1189"/>
      <c r="J100" s="1189"/>
      <c r="K100" s="1189"/>
      <c r="L100" s="1189"/>
      <c r="M100" s="3490"/>
      <c r="N100" s="3485"/>
    </row>
    <row r="101" spans="1:15" s="2737" customFormat="1" ht="13.5" hidden="1" customHeight="1" thickBot="1">
      <c r="A101" s="3452"/>
      <c r="B101" s="2122" t="s">
        <v>17</v>
      </c>
      <c r="C101" s="3488"/>
      <c r="D101" s="2131">
        <f>+D102</f>
        <v>0</v>
      </c>
      <c r="E101" s="2131">
        <f t="shared" ref="E101" si="71">+E102</f>
        <v>0</v>
      </c>
      <c r="F101" s="2131"/>
      <c r="G101" s="2131"/>
      <c r="H101" s="2131"/>
      <c r="I101" s="2131"/>
      <c r="J101" s="2131"/>
      <c r="K101" s="2131"/>
      <c r="L101" s="2131"/>
      <c r="M101" s="3491"/>
      <c r="N101" s="3486"/>
    </row>
    <row r="102" spans="1:15" ht="13.5" hidden="1" customHeight="1" thickBot="1">
      <c r="A102" s="3430"/>
      <c r="B102" s="2079" t="s">
        <v>19</v>
      </c>
      <c r="C102" s="3383"/>
      <c r="D102" s="759">
        <f>E102+L102+F102+G102+H102+I102+J102+K102</f>
        <v>0</v>
      </c>
      <c r="E102" s="759"/>
      <c r="F102" s="1576"/>
      <c r="G102" s="1576"/>
      <c r="H102" s="1576"/>
      <c r="I102" s="1576"/>
      <c r="J102" s="1576"/>
      <c r="K102" s="1576"/>
      <c r="L102" s="1576"/>
      <c r="M102" s="3492"/>
      <c r="N102" s="3487"/>
    </row>
    <row r="103" spans="1:15" ht="26.25" hidden="1" customHeight="1">
      <c r="A103" s="3477"/>
      <c r="B103" s="2106" t="s">
        <v>397</v>
      </c>
      <c r="C103" s="2107" t="s">
        <v>72</v>
      </c>
      <c r="D103" s="2108"/>
      <c r="E103" s="2109"/>
      <c r="F103" s="2109"/>
      <c r="G103" s="2109"/>
      <c r="H103" s="2109"/>
      <c r="I103" s="2109"/>
      <c r="J103" s="2109"/>
      <c r="K103" s="2109"/>
      <c r="L103" s="2109"/>
      <c r="M103" s="2744"/>
      <c r="N103" s="3208"/>
    </row>
    <row r="104" spans="1:15" ht="13.5" hidden="1" customHeight="1">
      <c r="A104" s="3477"/>
      <c r="B104" s="2105" t="s">
        <v>9</v>
      </c>
      <c r="C104" s="2096"/>
      <c r="D104" s="2110">
        <f>+D105+D107</f>
        <v>0</v>
      </c>
      <c r="E104" s="2110">
        <f t="shared" ref="E104" si="72">+E105+E107</f>
        <v>0</v>
      </c>
      <c r="F104" s="2110"/>
      <c r="G104" s="2110"/>
      <c r="H104" s="2110"/>
      <c r="I104" s="2110"/>
      <c r="J104" s="2110"/>
      <c r="K104" s="2110"/>
      <c r="L104" s="2110">
        <f>+L105+L107</f>
        <v>0</v>
      </c>
      <c r="M104" s="2745">
        <f>+M105+M107</f>
        <v>0</v>
      </c>
      <c r="N104" s="3478" t="s">
        <v>77</v>
      </c>
      <c r="O104" s="362"/>
    </row>
    <row r="105" spans="1:15" ht="13.5" hidden="1" customHeight="1">
      <c r="A105" s="3477"/>
      <c r="B105" s="2153" t="s">
        <v>22</v>
      </c>
      <c r="C105" s="3481" t="s">
        <v>75</v>
      </c>
      <c r="D105" s="207">
        <f>+D106</f>
        <v>0</v>
      </c>
      <c r="E105" s="207">
        <f t="shared" ref="E105" si="73">+E106</f>
        <v>0</v>
      </c>
      <c r="F105" s="207"/>
      <c r="G105" s="207"/>
      <c r="H105" s="207"/>
      <c r="I105" s="207"/>
      <c r="J105" s="207"/>
      <c r="K105" s="207"/>
      <c r="L105" s="207">
        <f>+L106</f>
        <v>0</v>
      </c>
      <c r="M105" s="56">
        <f>+M106</f>
        <v>0</v>
      </c>
      <c r="N105" s="3478"/>
      <c r="O105" s="362"/>
    </row>
    <row r="106" spans="1:15" ht="13.5" hidden="1" customHeight="1">
      <c r="A106" s="3404"/>
      <c r="B106" s="2144" t="s">
        <v>11</v>
      </c>
      <c r="C106" s="3450"/>
      <c r="D106" s="759">
        <f>E106+L106+F106+G106+H106+I106+J106+K106</f>
        <v>0</v>
      </c>
      <c r="E106" s="760"/>
      <c r="F106" s="175"/>
      <c r="G106" s="748"/>
      <c r="H106" s="748"/>
      <c r="I106" s="748"/>
      <c r="J106" s="748"/>
      <c r="K106" s="748"/>
      <c r="L106" s="175"/>
      <c r="M106" s="2746">
        <f>SUM(F106:K106)</f>
        <v>0</v>
      </c>
      <c r="N106" s="3479"/>
    </row>
    <row r="107" spans="1:15" ht="13.5" hidden="1" customHeight="1">
      <c r="A107" s="3451"/>
      <c r="B107" s="2614" t="s">
        <v>17</v>
      </c>
      <c r="C107" s="3450"/>
      <c r="D107" s="1173">
        <f>+D108</f>
        <v>0</v>
      </c>
      <c r="E107" s="1173">
        <f t="shared" ref="E107" si="74">+E108</f>
        <v>0</v>
      </c>
      <c r="F107" s="1173"/>
      <c r="G107" s="1173"/>
      <c r="H107" s="1173"/>
      <c r="I107" s="1173"/>
      <c r="J107" s="1173"/>
      <c r="K107" s="1173"/>
      <c r="L107" s="1173"/>
      <c r="M107" s="2168">
        <f>+M108</f>
        <v>0</v>
      </c>
      <c r="N107" s="3480"/>
    </row>
    <row r="108" spans="1:15" ht="13.5" hidden="1" customHeight="1">
      <c r="A108" s="3451"/>
      <c r="B108" s="2296" t="s">
        <v>19</v>
      </c>
      <c r="C108" s="3450"/>
      <c r="D108" s="1113">
        <f>E108+L108+F108+G108+H108+I108+J108+K108</f>
        <v>0</v>
      </c>
      <c r="E108" s="1147"/>
      <c r="F108" s="1182"/>
      <c r="G108" s="1186"/>
      <c r="H108" s="1186"/>
      <c r="I108" s="1186"/>
      <c r="J108" s="1186"/>
      <c r="K108" s="1186"/>
      <c r="L108" s="1182"/>
      <c r="M108" s="2162">
        <f>SUM(F108:K108)</f>
        <v>0</v>
      </c>
      <c r="N108" s="3480"/>
    </row>
    <row r="109" spans="1:15" ht="12.75" hidden="1" customHeight="1">
      <c r="A109" s="3452"/>
      <c r="B109" s="1785" t="s">
        <v>20</v>
      </c>
      <c r="C109" s="2118"/>
      <c r="D109" s="1170">
        <f>+D110</f>
        <v>0</v>
      </c>
      <c r="E109" s="1170">
        <f t="shared" ref="E109:E110" si="75">+E110</f>
        <v>0</v>
      </c>
      <c r="F109" s="1170"/>
      <c r="G109" s="1170"/>
      <c r="H109" s="1170"/>
      <c r="I109" s="1170"/>
      <c r="J109" s="1170"/>
      <c r="K109" s="1170"/>
      <c r="L109" s="1170"/>
      <c r="M109" s="3496" t="s">
        <v>21</v>
      </c>
      <c r="N109" s="3482" t="s">
        <v>92</v>
      </c>
      <c r="O109" s="362"/>
    </row>
    <row r="110" spans="1:15" s="2737" customFormat="1" ht="12.75" hidden="1" customHeight="1">
      <c r="A110" s="3452"/>
      <c r="B110" s="1808" t="s">
        <v>17</v>
      </c>
      <c r="C110" s="3448" t="s">
        <v>76</v>
      </c>
      <c r="D110" s="1196">
        <f>+D111</f>
        <v>0</v>
      </c>
      <c r="E110" s="1190">
        <f t="shared" si="75"/>
        <v>0</v>
      </c>
      <c r="F110" s="1190"/>
      <c r="G110" s="1190"/>
      <c r="H110" s="1190"/>
      <c r="I110" s="1190"/>
      <c r="J110" s="1190"/>
      <c r="K110" s="1190"/>
      <c r="L110" s="1196"/>
      <c r="M110" s="3497"/>
      <c r="N110" s="3482"/>
    </row>
    <row r="111" spans="1:15" s="2737" customFormat="1" ht="12.75" hidden="1" customHeight="1" thickBot="1">
      <c r="A111" s="3452"/>
      <c r="B111" s="621" t="s">
        <v>19</v>
      </c>
      <c r="C111" s="3439"/>
      <c r="D111" s="1679">
        <f>E111+L111+F111+G111+H111+I111+J111+K111</f>
        <v>0</v>
      </c>
      <c r="E111" s="1679"/>
      <c r="F111" s="372"/>
      <c r="G111" s="372"/>
      <c r="H111" s="372"/>
      <c r="I111" s="372"/>
      <c r="J111" s="372"/>
      <c r="K111" s="372"/>
      <c r="L111" s="2747"/>
      <c r="M111" s="3498"/>
      <c r="N111" s="3482"/>
    </row>
    <row r="112" spans="1:15" s="2737" customFormat="1" ht="16.5" customHeight="1" thickBot="1">
      <c r="A112" s="2979"/>
      <c r="B112" s="236" t="s">
        <v>452</v>
      </c>
      <c r="C112" s="363"/>
      <c r="D112" s="661"/>
      <c r="E112" s="2735"/>
      <c r="F112" s="662"/>
      <c r="G112" s="662"/>
      <c r="H112" s="662"/>
      <c r="I112" s="662"/>
      <c r="J112" s="662"/>
      <c r="K112" s="662"/>
      <c r="L112" s="662"/>
      <c r="M112" s="2736"/>
      <c r="N112" s="2063"/>
    </row>
    <row r="113" spans="1:16" s="2737" customFormat="1" ht="40.5" hidden="1" customHeight="1">
      <c r="A113" s="3451"/>
      <c r="B113" s="340" t="s">
        <v>398</v>
      </c>
      <c r="C113" s="48"/>
      <c r="D113" s="49"/>
      <c r="E113" s="35"/>
      <c r="F113" s="35"/>
      <c r="G113" s="35"/>
      <c r="H113" s="35"/>
      <c r="I113" s="35"/>
      <c r="J113" s="35"/>
      <c r="K113" s="35"/>
      <c r="L113" s="35"/>
      <c r="M113" s="36"/>
      <c r="N113" s="2064"/>
      <c r="O113" s="201"/>
    </row>
    <row r="114" spans="1:16" s="2737" customFormat="1" ht="13.5" hidden="1" customHeight="1">
      <c r="A114" s="3402"/>
      <c r="B114" s="1168" t="s">
        <v>9</v>
      </c>
      <c r="C114" s="3209" t="s">
        <v>72</v>
      </c>
      <c r="D114" s="1183">
        <f>+D115+D119</f>
        <v>0</v>
      </c>
      <c r="E114" s="1214">
        <f t="shared" ref="E114" si="76">+E115+E119</f>
        <v>0</v>
      </c>
      <c r="F114" s="1214"/>
      <c r="G114" s="1214"/>
      <c r="H114" s="1214"/>
      <c r="I114" s="1214"/>
      <c r="J114" s="1214"/>
      <c r="K114" s="1214"/>
      <c r="L114" s="1214">
        <f t="shared" ref="L114" si="77">+L115+L119</f>
        <v>0</v>
      </c>
      <c r="M114" s="3210">
        <f>M115+M119</f>
        <v>0</v>
      </c>
      <c r="N114" s="3524" t="s">
        <v>77</v>
      </c>
      <c r="O114" s="3459" t="s">
        <v>329</v>
      </c>
    </row>
    <row r="115" spans="1:16" s="2737" customFormat="1" ht="14.25" hidden="1" customHeight="1">
      <c r="A115" s="3403"/>
      <c r="B115" s="1177" t="s">
        <v>22</v>
      </c>
      <c r="C115" s="3448" t="s">
        <v>75</v>
      </c>
      <c r="D115" s="1184">
        <f>+D116+D117+D118</f>
        <v>0</v>
      </c>
      <c r="E115" s="1184">
        <f t="shared" ref="E115" si="78">+E116+E117+E118</f>
        <v>0</v>
      </c>
      <c r="F115" s="1184"/>
      <c r="G115" s="1184"/>
      <c r="H115" s="1184"/>
      <c r="I115" s="1184"/>
      <c r="J115" s="1184"/>
      <c r="K115" s="1184"/>
      <c r="L115" s="1184">
        <f t="shared" ref="L115" si="79">+L116+L117+L118</f>
        <v>0</v>
      </c>
      <c r="M115" s="2748">
        <f>M116</f>
        <v>0</v>
      </c>
      <c r="N115" s="3406"/>
      <c r="O115" s="3459"/>
    </row>
    <row r="116" spans="1:16" s="2737" customFormat="1" ht="12.75" hidden="1" customHeight="1">
      <c r="A116" s="3403"/>
      <c r="B116" s="1247" t="s">
        <v>11</v>
      </c>
      <c r="C116" s="3383"/>
      <c r="D116" s="1113">
        <f>E116+L116+F116+G116+H116+I116+J116+K116</f>
        <v>0</v>
      </c>
      <c r="E116" s="1147"/>
      <c r="F116" s="2461"/>
      <c r="G116" s="2461"/>
      <c r="H116" s="2461"/>
      <c r="I116" s="2461"/>
      <c r="J116" s="2461"/>
      <c r="K116" s="2461"/>
      <c r="L116" s="2461"/>
      <c r="M116" s="1187">
        <f>SUM(F116:K116)</f>
        <v>0</v>
      </c>
      <c r="N116" s="3406"/>
      <c r="O116" s="3459"/>
    </row>
    <row r="117" spans="1:16" s="2737" customFormat="1" ht="14.25" hidden="1" customHeight="1">
      <c r="A117" s="3403"/>
      <c r="B117" s="1198" t="s">
        <v>16</v>
      </c>
      <c r="C117" s="3450"/>
      <c r="D117" s="1113">
        <f>SUM(E117:H117)</f>
        <v>0</v>
      </c>
      <c r="E117" s="1202"/>
      <c r="F117" s="1202"/>
      <c r="G117" s="1202"/>
      <c r="H117" s="1202"/>
      <c r="I117" s="1202"/>
      <c r="J117" s="1202"/>
      <c r="K117" s="1202"/>
      <c r="L117" s="1176"/>
      <c r="M117" s="2749"/>
      <c r="N117" s="3406"/>
      <c r="O117" s="3459"/>
    </row>
    <row r="118" spans="1:16" s="2737" customFormat="1" ht="14.25" hidden="1" customHeight="1">
      <c r="A118" s="3403"/>
      <c r="B118" s="1198" t="s">
        <v>14</v>
      </c>
      <c r="C118" s="3450"/>
      <c r="D118" s="1113">
        <f>SUM(E118:H118)</f>
        <v>0</v>
      </c>
      <c r="E118" s="1202"/>
      <c r="F118" s="1202"/>
      <c r="G118" s="1202"/>
      <c r="H118" s="1202"/>
      <c r="I118" s="1202"/>
      <c r="J118" s="1202"/>
      <c r="K118" s="1202"/>
      <c r="L118" s="1176"/>
      <c r="M118" s="2749"/>
      <c r="N118" s="3406"/>
      <c r="O118" s="3459"/>
    </row>
    <row r="119" spans="1:16" s="2737" customFormat="1" ht="14.25" hidden="1" customHeight="1">
      <c r="A119" s="3403"/>
      <c r="B119" s="1204" t="s">
        <v>17</v>
      </c>
      <c r="C119" s="3450"/>
      <c r="D119" s="1173">
        <f>+D120</f>
        <v>0</v>
      </c>
      <c r="E119" s="1173">
        <f t="shared" ref="E119" si="80">+E120</f>
        <v>0</v>
      </c>
      <c r="F119" s="1173"/>
      <c r="G119" s="1173"/>
      <c r="H119" s="1179"/>
      <c r="I119" s="1173"/>
      <c r="J119" s="1173"/>
      <c r="K119" s="1173"/>
      <c r="L119" s="1173"/>
      <c r="M119" s="2748">
        <f>M120</f>
        <v>0</v>
      </c>
      <c r="N119" s="3406"/>
      <c r="O119" s="3459"/>
    </row>
    <row r="120" spans="1:16" s="2737" customFormat="1" ht="12.75" hidden="1" customHeight="1">
      <c r="A120" s="3403"/>
      <c r="B120" s="2296" t="s">
        <v>19</v>
      </c>
      <c r="C120" s="3461"/>
      <c r="D120" s="1113">
        <f>E120+L120+F120+G120+H120+I120+J120+K120</f>
        <v>0</v>
      </c>
      <c r="E120" s="1147"/>
      <c r="F120" s="1202"/>
      <c r="G120" s="1202"/>
      <c r="H120" s="1202"/>
      <c r="I120" s="1176"/>
      <c r="J120" s="1176"/>
      <c r="K120" s="1176"/>
      <c r="L120" s="1176"/>
      <c r="M120" s="1187">
        <f>SUM(F120:K120)</f>
        <v>0</v>
      </c>
      <c r="N120" s="3407"/>
      <c r="O120" s="3459"/>
    </row>
    <row r="121" spans="1:16" s="2737" customFormat="1" ht="21.75" hidden="1" customHeight="1">
      <c r="A121" s="3430"/>
      <c r="B121" s="1168" t="s">
        <v>20</v>
      </c>
      <c r="C121" s="475" t="s">
        <v>291</v>
      </c>
      <c r="D121" s="1170">
        <f>+D125+D122</f>
        <v>0</v>
      </c>
      <c r="E121" s="1170">
        <f t="shared" ref="E121" si="81">+E125+E122</f>
        <v>0</v>
      </c>
      <c r="F121" s="1170"/>
      <c r="G121" s="1170"/>
      <c r="H121" s="1170"/>
      <c r="I121" s="1170"/>
      <c r="J121" s="1170"/>
      <c r="K121" s="1170"/>
      <c r="L121" s="1170">
        <f>+L125+L122</f>
        <v>0</v>
      </c>
      <c r="M121" s="3429" t="s">
        <v>21</v>
      </c>
      <c r="N121" s="3414" t="s">
        <v>92</v>
      </c>
      <c r="O121" s="2750"/>
      <c r="P121" s="2750">
        <v>-1217020</v>
      </c>
    </row>
    <row r="122" spans="1:16" s="2737" customFormat="1" ht="14.25" hidden="1" customHeight="1">
      <c r="A122" s="3430"/>
      <c r="B122" s="1177" t="s">
        <v>22</v>
      </c>
      <c r="C122" s="3448" t="s">
        <v>180</v>
      </c>
      <c r="D122" s="43">
        <f>+D123+D124</f>
        <v>0</v>
      </c>
      <c r="E122" s="43">
        <f t="shared" ref="E122" si="82">+E123+E124</f>
        <v>0</v>
      </c>
      <c r="F122" s="43"/>
      <c r="G122" s="43"/>
      <c r="H122" s="43"/>
      <c r="I122" s="43"/>
      <c r="J122" s="43"/>
      <c r="K122" s="43"/>
      <c r="L122" s="43">
        <f>+L123+L124</f>
        <v>0</v>
      </c>
      <c r="M122" s="3427"/>
      <c r="N122" s="3415"/>
    </row>
    <row r="123" spans="1:16" s="2737" customFormat="1" ht="14.25" hidden="1" customHeight="1">
      <c r="A123" s="3430"/>
      <c r="B123" s="1198" t="s">
        <v>16</v>
      </c>
      <c r="C123" s="3383"/>
      <c r="D123" s="1113">
        <f>E123+L123+F123+G123+H123+I123+J123+K123</f>
        <v>0</v>
      </c>
      <c r="E123" s="1222"/>
      <c r="F123" s="1189"/>
      <c r="G123" s="1189"/>
      <c r="H123" s="1189"/>
      <c r="I123" s="1189"/>
      <c r="J123" s="1189"/>
      <c r="K123" s="1189"/>
      <c r="L123" s="1189">
        <v>0</v>
      </c>
      <c r="M123" s="3427"/>
      <c r="N123" s="3415"/>
    </row>
    <row r="124" spans="1:16" s="2737" customFormat="1" ht="13.5" hidden="1" customHeight="1" thickBot="1">
      <c r="A124" s="3431"/>
      <c r="B124" s="738" t="s">
        <v>14</v>
      </c>
      <c r="C124" s="3449"/>
      <c r="D124" s="1679">
        <f>E124+L124+F124+G124+H124+I124+J124+K124</f>
        <v>0</v>
      </c>
      <c r="E124" s="1745"/>
      <c r="F124" s="1745"/>
      <c r="G124" s="1745"/>
      <c r="H124" s="1745"/>
      <c r="I124" s="1745"/>
      <c r="J124" s="1745"/>
      <c r="K124" s="1745"/>
      <c r="L124" s="1745">
        <v>0</v>
      </c>
      <c r="M124" s="3428"/>
      <c r="N124" s="3416"/>
    </row>
    <row r="125" spans="1:16" s="2737" customFormat="1" ht="14.25" hidden="1" customHeight="1">
      <c r="A125" s="3430"/>
      <c r="B125" s="693" t="s">
        <v>17</v>
      </c>
      <c r="C125" s="3383"/>
      <c r="D125" s="43">
        <f>+D127+D126</f>
        <v>0</v>
      </c>
      <c r="E125" s="43">
        <f t="shared" ref="E125" si="83">+E127+E126</f>
        <v>0</v>
      </c>
      <c r="F125" s="1574"/>
      <c r="G125" s="1574"/>
      <c r="H125" s="1574"/>
      <c r="I125" s="1574"/>
      <c r="J125" s="1574"/>
      <c r="K125" s="1574"/>
      <c r="L125" s="43">
        <f>+L127+L126</f>
        <v>0</v>
      </c>
      <c r="M125" s="3427"/>
      <c r="N125" s="3415"/>
    </row>
    <row r="126" spans="1:16" s="2737" customFormat="1" ht="14.25" hidden="1" customHeight="1">
      <c r="A126" s="3430"/>
      <c r="B126" s="1198" t="s">
        <v>16</v>
      </c>
      <c r="C126" s="3383"/>
      <c r="D126" s="1113">
        <f>E126+L126+F126+G126+H126+I126+J126+K126</f>
        <v>0</v>
      </c>
      <c r="E126" s="1201"/>
      <c r="F126" s="1222"/>
      <c r="G126" s="1222"/>
      <c r="H126" s="1222"/>
      <c r="I126" s="1222"/>
      <c r="J126" s="1222"/>
      <c r="K126" s="1222"/>
      <c r="L126" s="1202"/>
      <c r="M126" s="3427"/>
      <c r="N126" s="3415"/>
    </row>
    <row r="127" spans="1:16" s="2751" customFormat="1" ht="14.25" hidden="1" customHeight="1" thickBot="1">
      <c r="A127" s="3431"/>
      <c r="B127" s="3211" t="s">
        <v>19</v>
      </c>
      <c r="C127" s="3449"/>
      <c r="D127" s="1113">
        <f>E127+L127+F127+G127+H127+I127+J127+K127</f>
        <v>0</v>
      </c>
      <c r="E127" s="1147"/>
      <c r="F127" s="3212"/>
      <c r="G127" s="3212"/>
      <c r="H127" s="3212"/>
      <c r="I127" s="3212"/>
      <c r="J127" s="3212"/>
      <c r="K127" s="3212"/>
      <c r="L127" s="1858"/>
      <c r="M127" s="3428"/>
      <c r="N127" s="3416"/>
    </row>
    <row r="128" spans="1:16" ht="27" customHeight="1">
      <c r="A128" s="3402" t="s">
        <v>55</v>
      </c>
      <c r="B128" s="61" t="s">
        <v>525</v>
      </c>
      <c r="C128" s="48"/>
      <c r="D128" s="942"/>
      <c r="E128" s="2221"/>
      <c r="F128" s="2221"/>
      <c r="G128" s="2221"/>
      <c r="H128" s="2221"/>
      <c r="I128" s="2221"/>
      <c r="J128" s="2221"/>
      <c r="K128" s="34"/>
      <c r="L128" s="2221"/>
      <c r="M128" s="2739"/>
      <c r="N128" s="37"/>
    </row>
    <row r="129" spans="1:16" ht="14.25" customHeight="1">
      <c r="A129" s="3403"/>
      <c r="B129" s="1869" t="s">
        <v>9</v>
      </c>
      <c r="C129" s="3209" t="s">
        <v>72</v>
      </c>
      <c r="D129" s="1183">
        <f t="shared" ref="D129:F129" si="84">+D130+D134</f>
        <v>41962510</v>
      </c>
      <c r="E129" s="1183">
        <f t="shared" ref="E129" si="85">+E130+E134</f>
        <v>41885510</v>
      </c>
      <c r="F129" s="1183">
        <f t="shared" si="84"/>
        <v>15124</v>
      </c>
      <c r="G129" s="1183">
        <f t="shared" ref="G129" si="86">+G130+G134</f>
        <v>61876</v>
      </c>
      <c r="H129" s="1183"/>
      <c r="I129" s="1183"/>
      <c r="J129" s="1183"/>
      <c r="K129" s="1183"/>
      <c r="L129" s="1183">
        <f>+L130+L134</f>
        <v>0</v>
      </c>
      <c r="M129" s="1171">
        <f>M130+M134</f>
        <v>61876</v>
      </c>
      <c r="N129" s="3406" t="s">
        <v>77</v>
      </c>
    </row>
    <row r="130" spans="1:16" ht="12" customHeight="1">
      <c r="A130" s="3403"/>
      <c r="B130" s="1188" t="s">
        <v>22</v>
      </c>
      <c r="C130" s="3448" t="s">
        <v>75</v>
      </c>
      <c r="D130" s="1184">
        <f>+D131+D132+D133</f>
        <v>4841589</v>
      </c>
      <c r="E130" s="1184">
        <f t="shared" ref="E130" si="87">+E131+E132+E133</f>
        <v>4764589</v>
      </c>
      <c r="F130" s="1184">
        <f t="shared" ref="F130" si="88">+F131+F132+F133</f>
        <v>15124</v>
      </c>
      <c r="G130" s="1184">
        <f t="shared" ref="G130" si="89">+G131+G132+G133</f>
        <v>61876</v>
      </c>
      <c r="H130" s="1184"/>
      <c r="I130" s="1184"/>
      <c r="J130" s="1184"/>
      <c r="K130" s="1184"/>
      <c r="L130" s="1184">
        <f>+L131+L132+L133</f>
        <v>0</v>
      </c>
      <c r="M130" s="1174">
        <f>+M131+M133</f>
        <v>61876</v>
      </c>
      <c r="N130" s="3406"/>
      <c r="O130" s="201" t="s">
        <v>348</v>
      </c>
    </row>
    <row r="131" spans="1:16" ht="11.25" customHeight="1">
      <c r="A131" s="3403"/>
      <c r="B131" s="1198" t="s">
        <v>11</v>
      </c>
      <c r="C131" s="3383"/>
      <c r="D131" s="1113">
        <f>E131+L131+F131+G131+H131+I131+J131+K131</f>
        <v>3341589</v>
      </c>
      <c r="E131" s="1147">
        <f>2234734+1029855</f>
        <v>3264589</v>
      </c>
      <c r="F131" s="1185">
        <f>77000-61876</f>
        <v>15124</v>
      </c>
      <c r="G131" s="1185">
        <v>61876</v>
      </c>
      <c r="H131" s="1186"/>
      <c r="I131" s="1186"/>
      <c r="J131" s="1186"/>
      <c r="K131" s="1186"/>
      <c r="L131" s="1147">
        <v>0</v>
      </c>
      <c r="M131" s="1187">
        <f>SUM(G131:K131)</f>
        <v>61876</v>
      </c>
      <c r="N131" s="3406"/>
    </row>
    <row r="132" spans="1:16" ht="12" hidden="1" customHeight="1">
      <c r="A132" s="3403"/>
      <c r="B132" s="2295" t="s">
        <v>16</v>
      </c>
      <c r="C132" s="3383"/>
      <c r="D132" s="1113">
        <f>E132+L132+F132+G132+H132+I132+J132+K132</f>
        <v>0</v>
      </c>
      <c r="E132" s="1182"/>
      <c r="F132" s="1186"/>
      <c r="G132" s="1186"/>
      <c r="H132" s="1186"/>
      <c r="I132" s="176"/>
      <c r="J132" s="176"/>
      <c r="K132" s="176"/>
      <c r="L132" s="1186"/>
      <c r="M132" s="2738"/>
      <c r="N132" s="3406"/>
    </row>
    <row r="133" spans="1:16" ht="12" customHeight="1">
      <c r="A133" s="3403"/>
      <c r="B133" s="1198" t="s">
        <v>14</v>
      </c>
      <c r="C133" s="3383"/>
      <c r="D133" s="1113">
        <f>E133+L133+F133+G133+H133+I133+J133+K133</f>
        <v>1500000</v>
      </c>
      <c r="E133" s="1147">
        <f>1000000+500000</f>
        <v>1500000</v>
      </c>
      <c r="F133" s="1186"/>
      <c r="G133" s="1186"/>
      <c r="H133" s="1186"/>
      <c r="I133" s="1182"/>
      <c r="J133" s="1182"/>
      <c r="K133" s="1182"/>
      <c r="L133" s="1186">
        <v>0</v>
      </c>
      <c r="M133" s="1187">
        <f>SUM(G133:K133)</f>
        <v>0</v>
      </c>
      <c r="N133" s="3406"/>
    </row>
    <row r="134" spans="1:16">
      <c r="A134" s="3403"/>
      <c r="B134" s="1844" t="s">
        <v>17</v>
      </c>
      <c r="C134" s="3383"/>
      <c r="D134" s="1173">
        <f t="shared" ref="D134:E134" si="90">+D135+D136</f>
        <v>37120921</v>
      </c>
      <c r="E134" s="1173">
        <f t="shared" si="90"/>
        <v>37120921</v>
      </c>
      <c r="F134" s="1173"/>
      <c r="G134" s="1173"/>
      <c r="H134" s="1173"/>
      <c r="I134" s="1173"/>
      <c r="J134" s="1173"/>
      <c r="K134" s="1173"/>
      <c r="L134" s="1173">
        <f>+L135+L136</f>
        <v>0</v>
      </c>
      <c r="M134" s="1174">
        <f>+M135+M136</f>
        <v>0</v>
      </c>
      <c r="N134" s="3406"/>
    </row>
    <row r="135" spans="1:16" ht="12" hidden="1" customHeight="1">
      <c r="A135" s="3403"/>
      <c r="B135" s="2295" t="s">
        <v>16</v>
      </c>
      <c r="C135" s="3383"/>
      <c r="D135" s="1189">
        <v>0</v>
      </c>
      <c r="E135" s="2397"/>
      <c r="F135" s="1186"/>
      <c r="G135" s="1186"/>
      <c r="H135" s="1186"/>
      <c r="I135" s="176"/>
      <c r="J135" s="176"/>
      <c r="K135" s="176"/>
      <c r="L135" s="1186"/>
      <c r="M135" s="2738"/>
      <c r="N135" s="3406"/>
    </row>
    <row r="136" spans="1:16" ht="12" customHeight="1">
      <c r="A136" s="3403"/>
      <c r="B136" s="2295" t="s">
        <v>19</v>
      </c>
      <c r="C136" s="3384"/>
      <c r="D136" s="1113">
        <f>E136+L136+F136+G136+H136+I136+J136+K136</f>
        <v>37120921</v>
      </c>
      <c r="E136" s="1147">
        <f>17911168+19209753</f>
        <v>37120921</v>
      </c>
      <c r="F136" s="1186"/>
      <c r="G136" s="1186"/>
      <c r="H136" s="1186"/>
      <c r="I136" s="1186"/>
      <c r="J136" s="1186"/>
      <c r="K136" s="1186"/>
      <c r="L136" s="1147">
        <v>0</v>
      </c>
      <c r="M136" s="1187">
        <f>SUM(G136:K136)</f>
        <v>0</v>
      </c>
      <c r="N136" s="3407"/>
      <c r="O136" s="362">
        <f>D136-D143</f>
        <v>0</v>
      </c>
    </row>
    <row r="137" spans="1:16" ht="21.75" customHeight="1">
      <c r="A137" s="3403"/>
      <c r="B137" s="161" t="s">
        <v>20</v>
      </c>
      <c r="C137" s="475" t="s">
        <v>291</v>
      </c>
      <c r="D137" s="1170">
        <f t="shared" ref="D137:F137" si="91">+D141+D138</f>
        <v>38620921</v>
      </c>
      <c r="E137" s="1170">
        <f>+E138+E141</f>
        <v>38082803</v>
      </c>
      <c r="F137" s="1170">
        <f t="shared" si="91"/>
        <v>538118</v>
      </c>
      <c r="G137" s="1170"/>
      <c r="H137" s="1170"/>
      <c r="I137" s="1170"/>
      <c r="J137" s="1170"/>
      <c r="K137" s="1170"/>
      <c r="L137" s="1170">
        <f>+L141+L138</f>
        <v>0</v>
      </c>
      <c r="M137" s="3411" t="s">
        <v>21</v>
      </c>
      <c r="N137" s="3414" t="s">
        <v>92</v>
      </c>
      <c r="O137" s="362"/>
      <c r="P137" s="362">
        <v>-14140496</v>
      </c>
    </row>
    <row r="138" spans="1:16">
      <c r="A138" s="3403"/>
      <c r="B138" s="1188" t="s">
        <v>22</v>
      </c>
      <c r="C138" s="3448" t="s">
        <v>419</v>
      </c>
      <c r="D138" s="1173">
        <f>+D139+D140</f>
        <v>1500000</v>
      </c>
      <c r="E138" s="1173">
        <f>+E140</f>
        <v>1500000</v>
      </c>
      <c r="F138" s="1415">
        <f>+F139+F140</f>
        <v>0</v>
      </c>
      <c r="G138" s="1173"/>
      <c r="H138" s="1173"/>
      <c r="I138" s="1173"/>
      <c r="J138" s="1173"/>
      <c r="K138" s="1173"/>
      <c r="L138" s="1173">
        <f>+L139+L140</f>
        <v>0</v>
      </c>
      <c r="M138" s="3412"/>
      <c r="N138" s="3415"/>
    </row>
    <row r="139" spans="1:16" ht="12" hidden="1" customHeight="1">
      <c r="A139" s="3403"/>
      <c r="B139" s="1198" t="s">
        <v>16</v>
      </c>
      <c r="C139" s="3383"/>
      <c r="D139" s="1113">
        <f>SUM(E139:H139)</f>
        <v>0</v>
      </c>
      <c r="E139" s="3213"/>
      <c r="F139" s="3147"/>
      <c r="G139" s="1189"/>
      <c r="H139" s="1189"/>
      <c r="I139" s="1189"/>
      <c r="J139" s="1189"/>
      <c r="K139" s="1189"/>
      <c r="L139" s="1189">
        <v>0</v>
      </c>
      <c r="M139" s="3412"/>
      <c r="N139" s="3415"/>
    </row>
    <row r="140" spans="1:16">
      <c r="A140" s="3403"/>
      <c r="B140" s="1198" t="s">
        <v>14</v>
      </c>
      <c r="C140" s="3383"/>
      <c r="D140" s="1113">
        <f>E140+L140+F140+G140+H140+I140+J140+K140</f>
        <v>1500000</v>
      </c>
      <c r="E140" s="1147">
        <f>1000000+500000</f>
        <v>1500000</v>
      </c>
      <c r="F140" s="3147">
        <v>0</v>
      </c>
      <c r="G140" s="1189"/>
      <c r="H140" s="1189"/>
      <c r="I140" s="1189"/>
      <c r="J140" s="1189"/>
      <c r="K140" s="1189"/>
      <c r="L140" s="1189">
        <v>0</v>
      </c>
      <c r="M140" s="3412"/>
      <c r="N140" s="3415"/>
    </row>
    <row r="141" spans="1:16" ht="13.5" customHeight="1">
      <c r="A141" s="3403"/>
      <c r="B141" s="2614" t="s">
        <v>17</v>
      </c>
      <c r="C141" s="3383"/>
      <c r="D141" s="1190">
        <f t="shared" ref="D141" si="92">+D142+D143</f>
        <v>37120921</v>
      </c>
      <c r="E141" s="1190">
        <f>+E143</f>
        <v>36582803</v>
      </c>
      <c r="F141" s="1420">
        <f>+F142+F143</f>
        <v>538118</v>
      </c>
      <c r="G141" s="1420"/>
      <c r="H141" s="1420"/>
      <c r="I141" s="1420"/>
      <c r="J141" s="1420"/>
      <c r="K141" s="1420"/>
      <c r="L141" s="1420">
        <f>+L142+L143</f>
        <v>0</v>
      </c>
      <c r="M141" s="3412"/>
      <c r="N141" s="3415"/>
    </row>
    <row r="142" spans="1:16" ht="12" hidden="1" customHeight="1">
      <c r="A142" s="3403"/>
      <c r="B142" s="2295" t="s">
        <v>16</v>
      </c>
      <c r="C142" s="3383"/>
      <c r="D142" s="1113">
        <f>SUM(E142:H142)</f>
        <v>0</v>
      </c>
      <c r="E142" s="3213"/>
      <c r="F142" s="1189"/>
      <c r="G142" s="1189"/>
      <c r="H142" s="1189"/>
      <c r="I142" s="1189"/>
      <c r="J142" s="1189"/>
      <c r="K142" s="1189"/>
      <c r="L142" s="1189"/>
      <c r="M142" s="3412"/>
      <c r="N142" s="3415"/>
    </row>
    <row r="143" spans="1:16" ht="14.25" customHeight="1" thickBot="1">
      <c r="A143" s="3404"/>
      <c r="B143" s="1034" t="s">
        <v>19</v>
      </c>
      <c r="C143" s="3449"/>
      <c r="D143" s="1113">
        <f>E143+L143+F143+G143+H143+I143+J143+K143</f>
        <v>37120921</v>
      </c>
      <c r="E143" s="1147">
        <f>13036781+23546022</f>
        <v>36582803</v>
      </c>
      <c r="F143" s="1035">
        <f>552280-14162</f>
        <v>538118</v>
      </c>
      <c r="G143" s="1035"/>
      <c r="H143" s="1035"/>
      <c r="I143" s="1035"/>
      <c r="J143" s="1035"/>
      <c r="K143" s="1035"/>
      <c r="L143" s="1679">
        <v>0</v>
      </c>
      <c r="M143" s="3413"/>
      <c r="N143" s="3416"/>
    </row>
    <row r="144" spans="1:16" ht="30" hidden="1" customHeight="1">
      <c r="A144" s="3402"/>
      <c r="B144" s="61" t="s">
        <v>399</v>
      </c>
      <c r="C144" s="48"/>
      <c r="D144" s="49"/>
      <c r="E144" s="35"/>
      <c r="F144" s="35"/>
      <c r="G144" s="35"/>
      <c r="H144" s="35"/>
      <c r="I144" s="35"/>
      <c r="J144" s="35"/>
      <c r="K144" s="35"/>
      <c r="L144" s="35"/>
      <c r="M144" s="36"/>
      <c r="N144" s="74"/>
    </row>
    <row r="145" spans="1:16" ht="13.5" hidden="1" customHeight="1">
      <c r="A145" s="3403"/>
      <c r="B145" s="1785" t="s">
        <v>9</v>
      </c>
      <c r="C145" s="3209" t="s">
        <v>72</v>
      </c>
      <c r="D145" s="1183">
        <f t="shared" ref="D145" si="93">+D146+D149</f>
        <v>0</v>
      </c>
      <c r="E145" s="1214">
        <f>+E146+E149</f>
        <v>0</v>
      </c>
      <c r="F145" s="1214"/>
      <c r="G145" s="1214"/>
      <c r="H145" s="1214"/>
      <c r="I145" s="1214"/>
      <c r="J145" s="1214"/>
      <c r="K145" s="1214"/>
      <c r="L145" s="1214">
        <f>+L146+L149</f>
        <v>0</v>
      </c>
      <c r="M145" s="1171">
        <f>M146+M149</f>
        <v>0</v>
      </c>
      <c r="N145" s="3406" t="s">
        <v>77</v>
      </c>
      <c r="O145" s="362"/>
    </row>
    <row r="146" spans="1:16" ht="13.5" hidden="1" customHeight="1">
      <c r="A146" s="3403"/>
      <c r="B146" s="1806" t="s">
        <v>22</v>
      </c>
      <c r="C146" s="3448" t="s">
        <v>75</v>
      </c>
      <c r="D146" s="1184">
        <f>+D147+D148</f>
        <v>0</v>
      </c>
      <c r="E146" s="1184">
        <f>+E147</f>
        <v>0</v>
      </c>
      <c r="F146" s="1184"/>
      <c r="G146" s="1184"/>
      <c r="H146" s="1184"/>
      <c r="I146" s="1184"/>
      <c r="J146" s="1184"/>
      <c r="K146" s="1184"/>
      <c r="L146" s="1184">
        <f>+L147+L148</f>
        <v>0</v>
      </c>
      <c r="M146" s="1174">
        <f>M147</f>
        <v>0</v>
      </c>
      <c r="N146" s="3406"/>
      <c r="O146" s="362"/>
    </row>
    <row r="147" spans="1:16" ht="11.25" hidden="1" customHeight="1">
      <c r="A147" s="3403"/>
      <c r="B147" s="1807" t="s">
        <v>11</v>
      </c>
      <c r="C147" s="3450"/>
      <c r="D147" s="1113">
        <f>E147+L147+F147+G147+H147+I147+J147+K147</f>
        <v>0</v>
      </c>
      <c r="E147" s="1147"/>
      <c r="F147" s="1147"/>
      <c r="G147" s="1147"/>
      <c r="H147" s="1147"/>
      <c r="I147" s="1147"/>
      <c r="J147" s="1147"/>
      <c r="K147" s="1147"/>
      <c r="L147" s="1147"/>
      <c r="M147" s="1187">
        <f>SUM(F147:K147)</f>
        <v>0</v>
      </c>
      <c r="N147" s="3406"/>
      <c r="O147" s="362"/>
    </row>
    <row r="148" spans="1:16" ht="10.5" hidden="1" customHeight="1">
      <c r="A148" s="3403"/>
      <c r="B148" s="1036" t="s">
        <v>14</v>
      </c>
      <c r="C148" s="3450"/>
      <c r="D148" s="1113">
        <f>SUM(E148:H148)</f>
        <v>0</v>
      </c>
      <c r="E148" s="1201">
        <v>0</v>
      </c>
      <c r="F148" s="1202"/>
      <c r="G148" s="1202"/>
      <c r="H148" s="1202"/>
      <c r="I148" s="176"/>
      <c r="J148" s="176"/>
      <c r="K148" s="176"/>
      <c r="L148" s="1202"/>
      <c r="M148" s="2738"/>
      <c r="N148" s="3406"/>
    </row>
    <row r="149" spans="1:16" ht="12.75" hidden="1" customHeight="1">
      <c r="A149" s="3403"/>
      <c r="B149" s="1808" t="s">
        <v>17</v>
      </c>
      <c r="C149" s="3450"/>
      <c r="D149" s="1173">
        <f>+D150</f>
        <v>0</v>
      </c>
      <c r="E149" s="1179">
        <f>+E150</f>
        <v>0</v>
      </c>
      <c r="F149" s="1179"/>
      <c r="G149" s="1179"/>
      <c r="H149" s="1179"/>
      <c r="I149" s="1173"/>
      <c r="J149" s="1173"/>
      <c r="K149" s="1173"/>
      <c r="L149" s="1179">
        <f t="shared" ref="L149" si="94">+L150</f>
        <v>0</v>
      </c>
      <c r="M149" s="1174">
        <f>M150</f>
        <v>0</v>
      </c>
      <c r="N149" s="3406"/>
    </row>
    <row r="150" spans="1:16" ht="12" hidden="1" customHeight="1">
      <c r="A150" s="3403"/>
      <c r="B150" s="1807" t="s">
        <v>19</v>
      </c>
      <c r="C150" s="3461"/>
      <c r="D150" s="1152">
        <f>E150+L150+F150+G150+H150+I150+J150+K150</f>
        <v>0</v>
      </c>
      <c r="E150" s="1147"/>
      <c r="F150" s="1147"/>
      <c r="G150" s="1182"/>
      <c r="H150" s="1182"/>
      <c r="I150" s="1186"/>
      <c r="J150" s="1186"/>
      <c r="K150" s="1186"/>
      <c r="L150" s="1147"/>
      <c r="M150" s="1187">
        <f>SUM(F150:K150)</f>
        <v>0</v>
      </c>
      <c r="N150" s="3407"/>
    </row>
    <row r="151" spans="1:16" ht="23.25" hidden="1" customHeight="1" thickBot="1">
      <c r="A151" s="3430"/>
      <c r="B151" s="77" t="s">
        <v>20</v>
      </c>
      <c r="C151" s="475" t="s">
        <v>291</v>
      </c>
      <c r="D151" s="82">
        <f t="shared" ref="D151" si="95">+D152+D154</f>
        <v>0</v>
      </c>
      <c r="E151" s="202">
        <f>+E154</f>
        <v>0</v>
      </c>
      <c r="F151" s="202"/>
      <c r="G151" s="202"/>
      <c r="H151" s="202"/>
      <c r="I151" s="202"/>
      <c r="J151" s="202"/>
      <c r="K151" s="202"/>
      <c r="L151" s="202">
        <f>+L152+L154</f>
        <v>0</v>
      </c>
      <c r="M151" s="3429" t="s">
        <v>21</v>
      </c>
      <c r="N151" s="3462" t="s">
        <v>92</v>
      </c>
      <c r="O151" s="362"/>
      <c r="P151" s="362">
        <v>-1435987</v>
      </c>
    </row>
    <row r="152" spans="1:16" ht="13.5" hidden="1" customHeight="1">
      <c r="A152" s="3430"/>
      <c r="B152" s="1177" t="s">
        <v>22</v>
      </c>
      <c r="C152" s="3465" t="s">
        <v>190</v>
      </c>
      <c r="D152" s="43">
        <f>+D153</f>
        <v>0</v>
      </c>
      <c r="E152" s="224">
        <v>0</v>
      </c>
      <c r="F152" s="43"/>
      <c r="G152" s="43"/>
      <c r="H152" s="43"/>
      <c r="I152" s="43"/>
      <c r="J152" s="43"/>
      <c r="K152" s="43"/>
      <c r="L152" s="43"/>
      <c r="M152" s="3427"/>
      <c r="N152" s="3463"/>
    </row>
    <row r="153" spans="1:16" ht="13.5" hidden="1" customHeight="1" thickBot="1">
      <c r="A153" s="3430"/>
      <c r="B153" s="76" t="s">
        <v>14</v>
      </c>
      <c r="C153" s="3466"/>
      <c r="D153" s="1113">
        <f>SUM(E153:H153)</f>
        <v>0</v>
      </c>
      <c r="E153" s="3147">
        <v>0</v>
      </c>
      <c r="F153" s="1189"/>
      <c r="G153" s="1189"/>
      <c r="H153" s="1189"/>
      <c r="I153" s="1189"/>
      <c r="J153" s="1189"/>
      <c r="K153" s="1189"/>
      <c r="L153" s="1189"/>
      <c r="M153" s="3427"/>
      <c r="N153" s="3463"/>
    </row>
    <row r="154" spans="1:16" ht="12" hidden="1" customHeight="1">
      <c r="A154" s="3430"/>
      <c r="B154" s="1204" t="s">
        <v>17</v>
      </c>
      <c r="C154" s="3466"/>
      <c r="D154" s="1173">
        <f t="shared" ref="D154" si="96">+D155</f>
        <v>0</v>
      </c>
      <c r="E154" s="1179">
        <f>+E155</f>
        <v>0</v>
      </c>
      <c r="F154" s="1179"/>
      <c r="G154" s="1179"/>
      <c r="H154" s="1179"/>
      <c r="I154" s="1179"/>
      <c r="J154" s="1179"/>
      <c r="K154" s="1179"/>
      <c r="L154" s="1179">
        <f>+L155</f>
        <v>0</v>
      </c>
      <c r="M154" s="3427"/>
      <c r="N154" s="3463"/>
    </row>
    <row r="155" spans="1:16" ht="13.5" hidden="1" customHeight="1" thickBot="1">
      <c r="A155" s="3431"/>
      <c r="B155" s="738" t="s">
        <v>19</v>
      </c>
      <c r="C155" s="3467"/>
      <c r="D155" s="1679">
        <f>E155+L155+F155+G155+H155+I155+J155+K155</f>
        <v>0</v>
      </c>
      <c r="E155" s="1679"/>
      <c r="F155" s="1423"/>
      <c r="G155" s="1423"/>
      <c r="H155" s="1423"/>
      <c r="I155" s="1423"/>
      <c r="J155" s="1423"/>
      <c r="K155" s="1423"/>
      <c r="L155" s="1423"/>
      <c r="M155" s="3428"/>
      <c r="N155" s="3464"/>
    </row>
    <row r="156" spans="1:16" ht="24">
      <c r="A156" s="3402" t="s">
        <v>56</v>
      </c>
      <c r="B156" s="61" t="s">
        <v>526</v>
      </c>
      <c r="C156" s="48" t="s">
        <v>72</v>
      </c>
      <c r="D156" s="942"/>
      <c r="E156" s="2221"/>
      <c r="F156" s="2221"/>
      <c r="G156" s="2221"/>
      <c r="H156" s="2221"/>
      <c r="I156" s="2221"/>
      <c r="J156" s="2221"/>
      <c r="K156" s="34"/>
      <c r="L156" s="2221"/>
      <c r="M156" s="36"/>
      <c r="N156" s="74"/>
    </row>
    <row r="157" spans="1:16" ht="12" customHeight="1">
      <c r="A157" s="3403"/>
      <c r="B157" s="1768" t="s">
        <v>9</v>
      </c>
      <c r="C157" s="2118"/>
      <c r="D157" s="1183">
        <f>+D158+D161</f>
        <v>50174153</v>
      </c>
      <c r="E157" s="1214">
        <f t="shared" ref="E157" si="97">+E158+E161</f>
        <v>27531379</v>
      </c>
      <c r="F157" s="1214">
        <f>+F158+F161</f>
        <v>22642774</v>
      </c>
      <c r="G157" s="1214"/>
      <c r="H157" s="1214"/>
      <c r="I157" s="1214"/>
      <c r="J157" s="1214"/>
      <c r="K157" s="1214"/>
      <c r="L157" s="1214">
        <f>+L158+L161</f>
        <v>0</v>
      </c>
      <c r="M157" s="1171">
        <f>M158+M161</f>
        <v>0</v>
      </c>
      <c r="N157" s="3406" t="s">
        <v>77</v>
      </c>
      <c r="O157" s="362"/>
    </row>
    <row r="158" spans="1:16">
      <c r="A158" s="3403"/>
      <c r="B158" s="2294" t="s">
        <v>22</v>
      </c>
      <c r="C158" s="3448" t="s">
        <v>75</v>
      </c>
      <c r="D158" s="1184">
        <f>+D159+D160</f>
        <v>7537329</v>
      </c>
      <c r="E158" s="1184">
        <f t="shared" ref="E158" si="98">+E159+E160</f>
        <v>4140913</v>
      </c>
      <c r="F158" s="1184">
        <f>+F159+F160</f>
        <v>3396416</v>
      </c>
      <c r="G158" s="1184"/>
      <c r="H158" s="1184"/>
      <c r="I158" s="1184"/>
      <c r="J158" s="1184"/>
      <c r="K158" s="1184"/>
      <c r="L158" s="1184">
        <f>+L159+L160</f>
        <v>0</v>
      </c>
      <c r="M158" s="1174">
        <f>M159</f>
        <v>0</v>
      </c>
      <c r="N158" s="3406"/>
      <c r="O158" s="3460" t="s">
        <v>330</v>
      </c>
    </row>
    <row r="159" spans="1:16" ht="11.25" customHeight="1">
      <c r="A159" s="3403"/>
      <c r="B159" s="2295" t="s">
        <v>11</v>
      </c>
      <c r="C159" s="3450"/>
      <c r="D159" s="1113">
        <f>E159+L159+F159+G159+H159+I159+J159+K159</f>
        <v>7537329</v>
      </c>
      <c r="E159" s="1147">
        <f>49591+4091322</f>
        <v>4140913</v>
      </c>
      <c r="F159" s="1147">
        <f>1875000+1435625-240216-14972+590982+300000-550003</f>
        <v>3396416</v>
      </c>
      <c r="G159" s="1147"/>
      <c r="H159" s="1147"/>
      <c r="I159" s="1147"/>
      <c r="J159" s="1147"/>
      <c r="K159" s="1147"/>
      <c r="L159" s="1147"/>
      <c r="M159" s="1187">
        <f>SUM(G159:K159)</f>
        <v>0</v>
      </c>
      <c r="N159" s="3406"/>
      <c r="O159" s="3460"/>
    </row>
    <row r="160" spans="1:16" ht="10.5" hidden="1" customHeight="1">
      <c r="A160" s="3403"/>
      <c r="B160" s="357" t="s">
        <v>14</v>
      </c>
      <c r="C160" s="3450"/>
      <c r="D160" s="1113">
        <f>SUM(E160:H160)</f>
        <v>0</v>
      </c>
      <c r="E160" s="1201">
        <v>0</v>
      </c>
      <c r="F160" s="1202"/>
      <c r="G160" s="1202"/>
      <c r="H160" s="1202"/>
      <c r="I160" s="176"/>
      <c r="J160" s="176"/>
      <c r="K160" s="176"/>
      <c r="L160" s="1202"/>
      <c r="M160" s="2738"/>
      <c r="N160" s="3406"/>
      <c r="O160" s="3460"/>
    </row>
    <row r="161" spans="1:15">
      <c r="A161" s="3403"/>
      <c r="B161" s="2614" t="s">
        <v>17</v>
      </c>
      <c r="C161" s="3450"/>
      <c r="D161" s="1173">
        <f>+D162</f>
        <v>42636824</v>
      </c>
      <c r="E161" s="1179">
        <f t="shared" ref="E161:F161" si="99">+E162</f>
        <v>23390466</v>
      </c>
      <c r="F161" s="1179">
        <f t="shared" si="99"/>
        <v>19246358</v>
      </c>
      <c r="G161" s="1179"/>
      <c r="H161" s="1179"/>
      <c r="I161" s="1173"/>
      <c r="J161" s="1173"/>
      <c r="K161" s="1173"/>
      <c r="L161" s="1179">
        <f>+L162</f>
        <v>0</v>
      </c>
      <c r="M161" s="1174">
        <f>M162</f>
        <v>0</v>
      </c>
      <c r="N161" s="3406"/>
      <c r="O161" s="3460"/>
    </row>
    <row r="162" spans="1:15" ht="12" customHeight="1">
      <c r="A162" s="3403"/>
      <c r="B162" s="2295" t="s">
        <v>19</v>
      </c>
      <c r="C162" s="3461"/>
      <c r="D162" s="1113">
        <f>E162+L162+F162+G162+H162+I162+J162+K162</f>
        <v>42636824</v>
      </c>
      <c r="E162" s="1147">
        <f>281015+23109451</f>
        <v>23390466</v>
      </c>
      <c r="F162" s="1147">
        <f>10625000+4125213+2648772-84839+2856936-924724</f>
        <v>19246358</v>
      </c>
      <c r="G162" s="1182"/>
      <c r="H162" s="1182"/>
      <c r="I162" s="1186"/>
      <c r="J162" s="1186"/>
      <c r="K162" s="1186"/>
      <c r="L162" s="1147">
        <v>0</v>
      </c>
      <c r="M162" s="1187">
        <f>SUM(G162:K162)</f>
        <v>0</v>
      </c>
      <c r="N162" s="3407"/>
      <c r="O162" s="3460"/>
    </row>
    <row r="163" spans="1:15" ht="12" customHeight="1">
      <c r="A163" s="3430"/>
      <c r="B163" s="935" t="s">
        <v>20</v>
      </c>
      <c r="C163" s="75"/>
      <c r="D163" s="82">
        <f t="shared" ref="D163" si="100">+D164+D166</f>
        <v>42636824</v>
      </c>
      <c r="E163" s="202">
        <f>+E164+E166</f>
        <v>26097077</v>
      </c>
      <c r="F163" s="202">
        <f>+F164+F166</f>
        <v>16539747</v>
      </c>
      <c r="G163" s="202"/>
      <c r="H163" s="202"/>
      <c r="I163" s="202"/>
      <c r="J163" s="202"/>
      <c r="K163" s="202"/>
      <c r="L163" s="202">
        <f>+L164+L166</f>
        <v>0</v>
      </c>
      <c r="M163" s="3429" t="s">
        <v>21</v>
      </c>
      <c r="N163" s="3462" t="s">
        <v>92</v>
      </c>
    </row>
    <row r="164" spans="1:15" ht="13.5" hidden="1" customHeight="1">
      <c r="A164" s="3430"/>
      <c r="B164" s="1188" t="s">
        <v>22</v>
      </c>
      <c r="C164" s="3465" t="s">
        <v>190</v>
      </c>
      <c r="D164" s="43">
        <f>+D165</f>
        <v>0</v>
      </c>
      <c r="E164" s="43"/>
      <c r="F164" s="43"/>
      <c r="G164" s="43"/>
      <c r="H164" s="43"/>
      <c r="I164" s="43"/>
      <c r="J164" s="43"/>
      <c r="K164" s="43"/>
      <c r="L164" s="43"/>
      <c r="M164" s="3427"/>
      <c r="N164" s="3463"/>
    </row>
    <row r="165" spans="1:15" ht="13.5" hidden="1" customHeight="1">
      <c r="A165" s="3430"/>
      <c r="B165" s="76" t="s">
        <v>14</v>
      </c>
      <c r="C165" s="3466"/>
      <c r="D165" s="1113">
        <f>SUM(E165:H165)</f>
        <v>0</v>
      </c>
      <c r="E165" s="1189"/>
      <c r="F165" s="1189"/>
      <c r="G165" s="1189"/>
      <c r="H165" s="1189"/>
      <c r="I165" s="1189"/>
      <c r="J165" s="1189"/>
      <c r="K165" s="1189"/>
      <c r="L165" s="1189"/>
      <c r="M165" s="3427"/>
      <c r="N165" s="3463"/>
    </row>
    <row r="166" spans="1:15" ht="12" customHeight="1">
      <c r="A166" s="3430"/>
      <c r="B166" s="1844" t="s">
        <v>17</v>
      </c>
      <c r="C166" s="3466"/>
      <c r="D166" s="1173">
        <f t="shared" ref="D166:F166" si="101">+D167</f>
        <v>42636824</v>
      </c>
      <c r="E166" s="1179">
        <f t="shared" si="101"/>
        <v>26097077</v>
      </c>
      <c r="F166" s="1179">
        <f t="shared" si="101"/>
        <v>16539747</v>
      </c>
      <c r="G166" s="1179"/>
      <c r="H166" s="1179"/>
      <c r="I166" s="1179"/>
      <c r="J166" s="1179"/>
      <c r="K166" s="1179"/>
      <c r="L166" s="1179">
        <f>+L167</f>
        <v>0</v>
      </c>
      <c r="M166" s="3427"/>
      <c r="N166" s="3463"/>
    </row>
    <row r="167" spans="1:15" ht="13.5" customHeight="1" thickBot="1">
      <c r="A167" s="3431"/>
      <c r="B167" s="738" t="s">
        <v>19</v>
      </c>
      <c r="C167" s="3467"/>
      <c r="D167" s="1679">
        <f>E167+L167+F167+G167+H167+I167+J167+K167</f>
        <v>42636824</v>
      </c>
      <c r="E167" s="1679">
        <f>26097077</f>
        <v>26097077</v>
      </c>
      <c r="F167" s="1423">
        <f>14775000+6625213-4001228-84839+150325-924724</f>
        <v>16539747</v>
      </c>
      <c r="G167" s="1423"/>
      <c r="H167" s="1423"/>
      <c r="I167" s="1423"/>
      <c r="J167" s="1423"/>
      <c r="K167" s="1423"/>
      <c r="L167" s="1423">
        <v>0</v>
      </c>
      <c r="M167" s="3428"/>
      <c r="N167" s="3464"/>
    </row>
    <row r="168" spans="1:15" ht="24">
      <c r="A168" s="3402" t="s">
        <v>57</v>
      </c>
      <c r="B168" s="61" t="s">
        <v>490</v>
      </c>
      <c r="C168" s="48" t="s">
        <v>72</v>
      </c>
      <c r="D168" s="942"/>
      <c r="E168" s="2221"/>
      <c r="F168" s="2221"/>
      <c r="G168" s="2221"/>
      <c r="H168" s="2221"/>
      <c r="I168" s="2221"/>
      <c r="J168" s="2221"/>
      <c r="K168" s="34"/>
      <c r="L168" s="2221"/>
      <c r="M168" s="36"/>
      <c r="N168" s="74"/>
      <c r="O168" s="201" t="s">
        <v>364</v>
      </c>
    </row>
    <row r="169" spans="1:15" ht="13.5" customHeight="1">
      <c r="A169" s="3403"/>
      <c r="B169" s="1785" t="s">
        <v>9</v>
      </c>
      <c r="C169" s="2118"/>
      <c r="D169" s="1183">
        <f>+D170+D173</f>
        <v>14296975</v>
      </c>
      <c r="E169" s="1214">
        <f t="shared" ref="E169" si="102">+E170+E173</f>
        <v>1893539</v>
      </c>
      <c r="F169" s="1214">
        <f>+F170+F173</f>
        <v>12403436</v>
      </c>
      <c r="G169" s="1214"/>
      <c r="H169" s="1214"/>
      <c r="I169" s="1214"/>
      <c r="J169" s="1214"/>
      <c r="K169" s="1214"/>
      <c r="L169" s="1214">
        <f>+L170+L173</f>
        <v>0</v>
      </c>
      <c r="M169" s="1171">
        <f>M170+M173</f>
        <v>0</v>
      </c>
      <c r="N169" s="3406" t="s">
        <v>77</v>
      </c>
      <c r="O169" s="362"/>
    </row>
    <row r="170" spans="1:15" ht="13.5" customHeight="1">
      <c r="A170" s="3403"/>
      <c r="B170" s="1806" t="s">
        <v>22</v>
      </c>
      <c r="C170" s="3448" t="s">
        <v>75</v>
      </c>
      <c r="D170" s="1184">
        <f>+D171+D172</f>
        <v>2466682</v>
      </c>
      <c r="E170" s="1184">
        <f t="shared" ref="E170" si="103">+E171+E172</f>
        <v>363178</v>
      </c>
      <c r="F170" s="1184">
        <f>+F171+F172</f>
        <v>2103504</v>
      </c>
      <c r="G170" s="1184"/>
      <c r="H170" s="1184"/>
      <c r="I170" s="1184"/>
      <c r="J170" s="1184"/>
      <c r="K170" s="1184"/>
      <c r="L170" s="1184">
        <f>+L171+L172</f>
        <v>0</v>
      </c>
      <c r="M170" s="1174">
        <f>M171+M172</f>
        <v>0</v>
      </c>
      <c r="N170" s="3406"/>
      <c r="O170" s="3460"/>
    </row>
    <row r="171" spans="1:15">
      <c r="A171" s="3403"/>
      <c r="B171" s="1807" t="s">
        <v>11</v>
      </c>
      <c r="C171" s="3450"/>
      <c r="D171" s="1113">
        <f>E171+L171+F171+G171+H171+I171+J171+K171</f>
        <v>2199812</v>
      </c>
      <c r="E171" s="1147">
        <f>239+283159</f>
        <v>283398</v>
      </c>
      <c r="F171" s="1147">
        <f>2016162+18262+304636-188902+202673-436417</f>
        <v>1916414</v>
      </c>
      <c r="G171" s="1147"/>
      <c r="H171" s="1147"/>
      <c r="I171" s="1147"/>
      <c r="J171" s="1147"/>
      <c r="K171" s="1147"/>
      <c r="L171" s="1147">
        <v>0</v>
      </c>
      <c r="M171" s="1187">
        <f>SUM(G171:K171)</f>
        <v>0</v>
      </c>
      <c r="N171" s="3406"/>
      <c r="O171" s="3460"/>
    </row>
    <row r="172" spans="1:15" ht="10.5" customHeight="1">
      <c r="A172" s="3403"/>
      <c r="B172" s="1036" t="s">
        <v>14</v>
      </c>
      <c r="C172" s="3450"/>
      <c r="D172" s="1113">
        <f>SUM(E172:H172)</f>
        <v>266870</v>
      </c>
      <c r="E172" s="1202">
        <f>79781-1</f>
        <v>79780</v>
      </c>
      <c r="F172" s="1202">
        <f>150673+36417</f>
        <v>187090</v>
      </c>
      <c r="G172" s="1202"/>
      <c r="H172" s="1202"/>
      <c r="I172" s="1182"/>
      <c r="J172" s="1182"/>
      <c r="K172" s="1182"/>
      <c r="L172" s="1202">
        <v>0</v>
      </c>
      <c r="M172" s="1187">
        <f>SUM(G172:K172)</f>
        <v>0</v>
      </c>
      <c r="N172" s="3406"/>
      <c r="O172" s="3460"/>
    </row>
    <row r="173" spans="1:15" ht="12.75" customHeight="1">
      <c r="A173" s="3403"/>
      <c r="B173" s="1808" t="s">
        <v>17</v>
      </c>
      <c r="C173" s="3450"/>
      <c r="D173" s="1173">
        <f>+D174</f>
        <v>11830293</v>
      </c>
      <c r="E173" s="1179">
        <f t="shared" ref="E173:F173" si="104">+E174</f>
        <v>1530361</v>
      </c>
      <c r="F173" s="1179">
        <f t="shared" si="104"/>
        <v>10299932</v>
      </c>
      <c r="G173" s="1179"/>
      <c r="H173" s="1179"/>
      <c r="I173" s="1173"/>
      <c r="J173" s="1173"/>
      <c r="K173" s="1173"/>
      <c r="L173" s="1179">
        <f>+L174</f>
        <v>0</v>
      </c>
      <c r="M173" s="1174">
        <f>M174</f>
        <v>0</v>
      </c>
      <c r="N173" s="3406"/>
      <c r="O173" s="3460"/>
    </row>
    <row r="174" spans="1:15">
      <c r="A174" s="3403"/>
      <c r="B174" s="1807" t="s">
        <v>19</v>
      </c>
      <c r="C174" s="3461"/>
      <c r="D174" s="1152">
        <f>E174+L174+F174+G174+H174+I174+J174+K174</f>
        <v>11830293</v>
      </c>
      <c r="E174" s="1147">
        <f>1352+1529009</f>
        <v>1530361</v>
      </c>
      <c r="F174" s="1147">
        <f>11424920-705956+1388381-1279186+1171773-1700000</f>
        <v>10299932</v>
      </c>
      <c r="G174" s="1182"/>
      <c r="H174" s="1182"/>
      <c r="I174" s="1186"/>
      <c r="J174" s="1186"/>
      <c r="K174" s="1186"/>
      <c r="L174" s="1147">
        <v>0</v>
      </c>
      <c r="M174" s="1187">
        <f>SUM(G174:K174)</f>
        <v>0</v>
      </c>
      <c r="N174" s="3407"/>
      <c r="O174" s="3460"/>
    </row>
    <row r="175" spans="1:15" ht="13.5" thickBot="1">
      <c r="A175" s="3431"/>
      <c r="B175" s="77" t="s">
        <v>20</v>
      </c>
      <c r="C175" s="75"/>
      <c r="D175" s="82">
        <f t="shared" ref="D175" si="105">+D176+D178</f>
        <v>12097163</v>
      </c>
      <c r="E175" s="202">
        <f>+E176+E178</f>
        <v>700892</v>
      </c>
      <c r="F175" s="202">
        <f>+F176+F178</f>
        <v>11396271</v>
      </c>
      <c r="G175" s="202"/>
      <c r="H175" s="202"/>
      <c r="I175" s="202"/>
      <c r="J175" s="202"/>
      <c r="K175" s="202"/>
      <c r="L175" s="202">
        <f>+L176+L178</f>
        <v>0</v>
      </c>
      <c r="M175" s="3429" t="s">
        <v>21</v>
      </c>
      <c r="N175" s="3462" t="s">
        <v>92</v>
      </c>
    </row>
    <row r="176" spans="1:15" ht="13.5" customHeight="1" thickBot="1">
      <c r="A176" s="3452"/>
      <c r="B176" s="1177" t="s">
        <v>22</v>
      </c>
      <c r="C176" s="3465" t="s">
        <v>420</v>
      </c>
      <c r="D176" s="43">
        <f>+D177</f>
        <v>266870</v>
      </c>
      <c r="E176" s="43">
        <f>E177</f>
        <v>79780</v>
      </c>
      <c r="F176" s="43">
        <f>F177</f>
        <v>187090</v>
      </c>
      <c r="G176" s="43"/>
      <c r="H176" s="43"/>
      <c r="I176" s="43"/>
      <c r="J176" s="43"/>
      <c r="K176" s="43"/>
      <c r="L176" s="43">
        <f>L177</f>
        <v>0</v>
      </c>
      <c r="M176" s="3427"/>
      <c r="N176" s="3463"/>
    </row>
    <row r="177" spans="1:15" ht="13.5" customHeight="1" thickBot="1">
      <c r="A177" s="3452"/>
      <c r="B177" s="2291" t="s">
        <v>14</v>
      </c>
      <c r="C177" s="3466"/>
      <c r="D177" s="1113">
        <f>SUM(E177:H177)</f>
        <v>266870</v>
      </c>
      <c r="E177" s="1189">
        <f>79781-1</f>
        <v>79780</v>
      </c>
      <c r="F177" s="1189">
        <f>150673+36417</f>
        <v>187090</v>
      </c>
      <c r="G177" s="1189"/>
      <c r="H177" s="1189"/>
      <c r="I177" s="1189"/>
      <c r="J177" s="1189"/>
      <c r="K177" s="1189"/>
      <c r="L177" s="1189">
        <v>0</v>
      </c>
      <c r="M177" s="3427"/>
      <c r="N177" s="3463"/>
    </row>
    <row r="178" spans="1:15" ht="12" customHeight="1" thickBot="1">
      <c r="A178" s="3452"/>
      <c r="B178" s="1204" t="s">
        <v>17</v>
      </c>
      <c r="C178" s="3466"/>
      <c r="D178" s="1173">
        <f t="shared" ref="D178:F178" si="106">+D179</f>
        <v>11830293</v>
      </c>
      <c r="E178" s="1179">
        <f t="shared" si="106"/>
        <v>621112</v>
      </c>
      <c r="F178" s="1179">
        <f t="shared" si="106"/>
        <v>11209181</v>
      </c>
      <c r="G178" s="1179"/>
      <c r="H178" s="1179"/>
      <c r="I178" s="1179"/>
      <c r="J178" s="1179"/>
      <c r="K178" s="1179"/>
      <c r="L178" s="1179">
        <f>+L179</f>
        <v>0</v>
      </c>
      <c r="M178" s="3427"/>
      <c r="N178" s="3463"/>
    </row>
    <row r="179" spans="1:15" ht="13.5" customHeight="1" thickBot="1">
      <c r="A179" s="3452"/>
      <c r="B179" s="621" t="s">
        <v>19</v>
      </c>
      <c r="C179" s="3467"/>
      <c r="D179" s="1679">
        <f>E179+L179+F179+G179+H179+I179+J179+K179</f>
        <v>11830293</v>
      </c>
      <c r="E179" s="1423">
        <f>14164000-10486520+534253-1388381-2193352-8888</f>
        <v>621112</v>
      </c>
      <c r="F179" s="1423">
        <f>1000000+10424920-705956+1388381+796442+5394-1700000</f>
        <v>11209181</v>
      </c>
      <c r="G179" s="1423"/>
      <c r="H179" s="1423"/>
      <c r="I179" s="1423"/>
      <c r="J179" s="1423"/>
      <c r="K179" s="1423"/>
      <c r="L179" s="1423">
        <v>0</v>
      </c>
      <c r="M179" s="3428"/>
      <c r="N179" s="3464"/>
    </row>
    <row r="180" spans="1:15" ht="24.75" thickBot="1">
      <c r="A180" s="3451" t="s">
        <v>58</v>
      </c>
      <c r="B180" s="61" t="s">
        <v>527</v>
      </c>
      <c r="C180" s="48" t="s">
        <v>72</v>
      </c>
      <c r="D180" s="942"/>
      <c r="E180" s="2221"/>
      <c r="F180" s="2221"/>
      <c r="G180" s="2221"/>
      <c r="H180" s="2221"/>
      <c r="I180" s="2221"/>
      <c r="J180" s="2221"/>
      <c r="K180" s="34"/>
      <c r="L180" s="2221"/>
      <c r="M180" s="36"/>
      <c r="N180" s="74"/>
      <c r="O180" s="201" t="s">
        <v>254</v>
      </c>
    </row>
    <row r="181" spans="1:15" ht="13.5" thickBot="1">
      <c r="A181" s="3451"/>
      <c r="B181" s="1785" t="s">
        <v>9</v>
      </c>
      <c r="C181" s="2118"/>
      <c r="D181" s="1183">
        <f>+D182+D185</f>
        <v>45446170</v>
      </c>
      <c r="E181" s="1214">
        <f>+E182+E185</f>
        <v>14408172</v>
      </c>
      <c r="F181" s="1214">
        <f>+F182+F185</f>
        <v>29937998</v>
      </c>
      <c r="G181" s="1214">
        <f>+G182+G185</f>
        <v>1100000</v>
      </c>
      <c r="H181" s="1214"/>
      <c r="I181" s="1214"/>
      <c r="J181" s="1214"/>
      <c r="K181" s="1214"/>
      <c r="L181" s="1214">
        <f>+L182+L185</f>
        <v>0</v>
      </c>
      <c r="M181" s="1171">
        <f>M182+M185</f>
        <v>1100000</v>
      </c>
      <c r="N181" s="3406" t="s">
        <v>77</v>
      </c>
      <c r="O181" s="362"/>
    </row>
    <row r="182" spans="1:15" ht="13.5" customHeight="1" thickBot="1">
      <c r="A182" s="3451"/>
      <c r="B182" s="1806" t="s">
        <v>22</v>
      </c>
      <c r="C182" s="3448" t="s">
        <v>75</v>
      </c>
      <c r="D182" s="1184">
        <f>+D183+D184</f>
        <v>8511188</v>
      </c>
      <c r="E182" s="1184">
        <f>+E183+E184</f>
        <v>2611259</v>
      </c>
      <c r="F182" s="1184">
        <f>+F183+F184</f>
        <v>4799929</v>
      </c>
      <c r="G182" s="1184">
        <f>+G183+G184</f>
        <v>1100000</v>
      </c>
      <c r="H182" s="1184"/>
      <c r="I182" s="1184"/>
      <c r="J182" s="1184"/>
      <c r="K182" s="1184"/>
      <c r="L182" s="1184">
        <f>+L183+L184</f>
        <v>0</v>
      </c>
      <c r="M182" s="1174">
        <f>M183</f>
        <v>1100000</v>
      </c>
      <c r="N182" s="3406"/>
      <c r="O182" s="362"/>
    </row>
    <row r="183" spans="1:15" ht="13.5" thickBot="1">
      <c r="A183" s="3451"/>
      <c r="B183" s="1807" t="s">
        <v>11</v>
      </c>
      <c r="C183" s="3450"/>
      <c r="D183" s="1113">
        <f>E183+L183+F183+G183+H183+I183+J183+K183</f>
        <v>8511188</v>
      </c>
      <c r="E183" s="1147">
        <f>4500000-1204062+1962312-2646991</f>
        <v>2611259</v>
      </c>
      <c r="F183" s="1147">
        <f>4215000+1785000+1171207-1962312+2646991-2670153-385804</f>
        <v>4799929</v>
      </c>
      <c r="G183" s="1147">
        <v>1100000</v>
      </c>
      <c r="H183" s="1147"/>
      <c r="I183" s="1147"/>
      <c r="J183" s="1147"/>
      <c r="K183" s="1147"/>
      <c r="L183" s="1147">
        <v>0</v>
      </c>
      <c r="M183" s="1187">
        <f>SUM(G183:K183)</f>
        <v>1100000</v>
      </c>
      <c r="N183" s="3406"/>
      <c r="O183" s="362"/>
    </row>
    <row r="184" spans="1:15" ht="10.5" hidden="1" customHeight="1">
      <c r="A184" s="3451"/>
      <c r="B184" s="1036" t="s">
        <v>14</v>
      </c>
      <c r="C184" s="3450"/>
      <c r="D184" s="1113">
        <f>SUM(E184:H184)</f>
        <v>0</v>
      </c>
      <c r="E184" s="1202"/>
      <c r="F184" s="1202"/>
      <c r="G184" s="1202"/>
      <c r="H184" s="1202"/>
      <c r="I184" s="176"/>
      <c r="J184" s="176"/>
      <c r="K184" s="176"/>
      <c r="L184" s="1202"/>
      <c r="M184" s="2738"/>
      <c r="N184" s="3406"/>
    </row>
    <row r="185" spans="1:15" ht="12.75" customHeight="1" thickBot="1">
      <c r="A185" s="3451"/>
      <c r="B185" s="1808" t="s">
        <v>17</v>
      </c>
      <c r="C185" s="3450"/>
      <c r="D185" s="1173">
        <f>+D186</f>
        <v>36934982</v>
      </c>
      <c r="E185" s="1179">
        <f t="shared" ref="E185:G185" si="107">+E186</f>
        <v>11796913</v>
      </c>
      <c r="F185" s="1179">
        <f t="shared" si="107"/>
        <v>25138069</v>
      </c>
      <c r="G185" s="1179">
        <f t="shared" si="107"/>
        <v>0</v>
      </c>
      <c r="H185" s="1179"/>
      <c r="I185" s="1173"/>
      <c r="J185" s="1173"/>
      <c r="K185" s="1173"/>
      <c r="L185" s="1179">
        <f>+L186</f>
        <v>0</v>
      </c>
      <c r="M185" s="1174">
        <f>M186</f>
        <v>0</v>
      </c>
      <c r="N185" s="3406"/>
    </row>
    <row r="186" spans="1:15" ht="13.5" thickBot="1">
      <c r="A186" s="3451"/>
      <c r="B186" s="297" t="s">
        <v>19</v>
      </c>
      <c r="C186" s="3461"/>
      <c r="D186" s="1152">
        <f>E186+L186+F186+G186+H186+I186+J186+K186</f>
        <v>36934982</v>
      </c>
      <c r="E186" s="1147">
        <f>38250000+85000-21335000+1110315-5313565-999837</f>
        <v>11796913</v>
      </c>
      <c r="F186" s="1147">
        <f>13685000+11815000-1296496+5313565+999837-3861343-1517494</f>
        <v>25138069</v>
      </c>
      <c r="G186" s="1182">
        <v>0</v>
      </c>
      <c r="H186" s="1182"/>
      <c r="I186" s="1186"/>
      <c r="J186" s="1186"/>
      <c r="K186" s="1186"/>
      <c r="L186" s="1147">
        <v>0</v>
      </c>
      <c r="M186" s="1187">
        <f>SUM(G186:K186)</f>
        <v>0</v>
      </c>
      <c r="N186" s="3407"/>
    </row>
    <row r="187" spans="1:15" ht="11.25" customHeight="1" thickBot="1">
      <c r="A187" s="3452"/>
      <c r="B187" s="15" t="s">
        <v>20</v>
      </c>
      <c r="C187" s="75"/>
      <c r="D187" s="82">
        <f t="shared" ref="D187:E187" si="108">+D188+D190</f>
        <v>36934982</v>
      </c>
      <c r="E187" s="202">
        <f t="shared" si="108"/>
        <v>0</v>
      </c>
      <c r="F187" s="202">
        <f>+F188+F190</f>
        <v>33696736</v>
      </c>
      <c r="G187" s="202">
        <f>+G188+G190</f>
        <v>3238246</v>
      </c>
      <c r="H187" s="202"/>
      <c r="I187" s="202"/>
      <c r="J187" s="202"/>
      <c r="K187" s="202"/>
      <c r="L187" s="202">
        <f>+L188+L190</f>
        <v>0</v>
      </c>
      <c r="M187" s="3429" t="s">
        <v>21</v>
      </c>
      <c r="N187" s="3462" t="s">
        <v>92</v>
      </c>
    </row>
    <row r="188" spans="1:15" ht="13.5" hidden="1" customHeight="1">
      <c r="A188" s="3452"/>
      <c r="B188" s="1177" t="s">
        <v>22</v>
      </c>
      <c r="C188" s="3465" t="s">
        <v>190</v>
      </c>
      <c r="D188" s="43">
        <f>+D189</f>
        <v>0</v>
      </c>
      <c r="E188" s="224">
        <v>0</v>
      </c>
      <c r="F188" s="43"/>
      <c r="G188" s="43"/>
      <c r="H188" s="43"/>
      <c r="I188" s="43"/>
      <c r="J188" s="43"/>
      <c r="K188" s="43"/>
      <c r="L188" s="43"/>
      <c r="M188" s="3427"/>
      <c r="N188" s="3463"/>
    </row>
    <row r="189" spans="1:15" ht="13.5" hidden="1" customHeight="1">
      <c r="A189" s="3452"/>
      <c r="B189" s="76" t="s">
        <v>14</v>
      </c>
      <c r="C189" s="3466"/>
      <c r="D189" s="1113">
        <f>SUM(E189:H189)</f>
        <v>0</v>
      </c>
      <c r="E189" s="3147">
        <v>0</v>
      </c>
      <c r="F189" s="1189"/>
      <c r="G189" s="1189"/>
      <c r="H189" s="1189"/>
      <c r="I189" s="1189"/>
      <c r="J189" s="1189"/>
      <c r="K189" s="1189"/>
      <c r="L189" s="1189"/>
      <c r="M189" s="3427"/>
      <c r="N189" s="3463"/>
    </row>
    <row r="190" spans="1:15" ht="12" customHeight="1" thickBot="1">
      <c r="A190" s="3452"/>
      <c r="B190" s="1204" t="s">
        <v>17</v>
      </c>
      <c r="C190" s="3466"/>
      <c r="D190" s="1173">
        <f t="shared" ref="D190:G190" si="109">+D191</f>
        <v>36934982</v>
      </c>
      <c r="E190" s="1179">
        <f t="shared" si="109"/>
        <v>0</v>
      </c>
      <c r="F190" s="1179">
        <f t="shared" si="109"/>
        <v>33696736</v>
      </c>
      <c r="G190" s="1179">
        <f t="shared" si="109"/>
        <v>3238246</v>
      </c>
      <c r="H190" s="1179"/>
      <c r="I190" s="1179"/>
      <c r="J190" s="1179"/>
      <c r="K190" s="1179"/>
      <c r="L190" s="1179">
        <f>+L191</f>
        <v>0</v>
      </c>
      <c r="M190" s="3427"/>
      <c r="N190" s="3463"/>
    </row>
    <row r="191" spans="1:15" ht="13.5" customHeight="1" thickBot="1">
      <c r="A191" s="3452"/>
      <c r="B191" s="738" t="s">
        <v>19</v>
      </c>
      <c r="C191" s="3467"/>
      <c r="D191" s="1679">
        <f>E191+L191+F191+G191+H191+I191+J191+K191</f>
        <v>36934982</v>
      </c>
      <c r="E191" s="1679">
        <v>0</v>
      </c>
      <c r="F191" s="1423">
        <f>13685000+11815000-1296496+18110315-11313819+2696736</f>
        <v>33696736</v>
      </c>
      <c r="G191" s="1423">
        <f>7452476-4214230</f>
        <v>3238246</v>
      </c>
      <c r="H191" s="1423"/>
      <c r="I191" s="1423"/>
      <c r="J191" s="1423"/>
      <c r="K191" s="1423"/>
      <c r="L191" s="1423">
        <f>38335000-21335000+1110315-18110315</f>
        <v>0</v>
      </c>
      <c r="M191" s="3428"/>
      <c r="N191" s="3464"/>
    </row>
    <row r="192" spans="1:15" ht="24.75" customHeight="1" thickBot="1">
      <c r="A192" s="3451" t="s">
        <v>105</v>
      </c>
      <c r="B192" s="61" t="s">
        <v>473</v>
      </c>
      <c r="C192" s="48" t="s">
        <v>72</v>
      </c>
      <c r="D192" s="942"/>
      <c r="E192" s="2221"/>
      <c r="F192" s="2221"/>
      <c r="G192" s="2221"/>
      <c r="H192" s="2221"/>
      <c r="I192" s="2221"/>
      <c r="J192" s="2221"/>
      <c r="K192" s="34"/>
      <c r="L192" s="2221"/>
      <c r="M192" s="36"/>
      <c r="N192" s="74"/>
    </row>
    <row r="193" spans="1:15" ht="13.5" thickBot="1">
      <c r="A193" s="3451"/>
      <c r="B193" s="1785" t="s">
        <v>9</v>
      </c>
      <c r="C193" s="2118"/>
      <c r="D193" s="1183">
        <f>+D194+D197</f>
        <v>110000000</v>
      </c>
      <c r="E193" s="1214">
        <f t="shared" ref="E193" si="110">+E194+E197</f>
        <v>0</v>
      </c>
      <c r="F193" s="1214">
        <f>+F194+F197</f>
        <v>0</v>
      </c>
      <c r="G193" s="1214">
        <f t="shared" ref="G193:I193" si="111">+G194+G197</f>
        <v>39650000</v>
      </c>
      <c r="H193" s="1214">
        <f t="shared" si="111"/>
        <v>40350000</v>
      </c>
      <c r="I193" s="1214">
        <f t="shared" si="111"/>
        <v>30000000</v>
      </c>
      <c r="J193" s="1214"/>
      <c r="K193" s="1214"/>
      <c r="L193" s="1214">
        <f>+L194+L197</f>
        <v>0</v>
      </c>
      <c r="M193" s="1171">
        <f>M194+M197</f>
        <v>110000000</v>
      </c>
      <c r="N193" s="3406" t="s">
        <v>77</v>
      </c>
      <c r="O193" s="362"/>
    </row>
    <row r="194" spans="1:15" ht="13.5" customHeight="1" thickBot="1">
      <c r="A194" s="3451"/>
      <c r="B194" s="1806" t="s">
        <v>22</v>
      </c>
      <c r="C194" s="3448" t="s">
        <v>75</v>
      </c>
      <c r="D194" s="1184">
        <f>+D195+D196</f>
        <v>16627500</v>
      </c>
      <c r="E194" s="1184">
        <f t="shared" ref="E194" si="112">+E195+E196</f>
        <v>0</v>
      </c>
      <c r="F194" s="1184">
        <f>+F195+F196</f>
        <v>0</v>
      </c>
      <c r="G194" s="1184">
        <f t="shared" ref="G194:I194" si="113">+G195+G196</f>
        <v>6075000</v>
      </c>
      <c r="H194" s="1184">
        <f t="shared" si="113"/>
        <v>6052500</v>
      </c>
      <c r="I194" s="1184">
        <f t="shared" si="113"/>
        <v>4500000</v>
      </c>
      <c r="J194" s="1184"/>
      <c r="K194" s="1184"/>
      <c r="L194" s="1184">
        <f>+L195+L196</f>
        <v>0</v>
      </c>
      <c r="M194" s="1174">
        <f>M195</f>
        <v>16627500</v>
      </c>
      <c r="N194" s="3406"/>
      <c r="O194" s="362"/>
    </row>
    <row r="195" spans="1:15" ht="11.25" customHeight="1" thickBot="1">
      <c r="A195" s="3451"/>
      <c r="B195" s="1807" t="s">
        <v>11</v>
      </c>
      <c r="C195" s="3450"/>
      <c r="D195" s="1113">
        <f>E195+L195+F195+G195+H195+I195+J195+K195</f>
        <v>16627500</v>
      </c>
      <c r="E195" s="1147"/>
      <c r="F195" s="1147">
        <f>200000-200000</f>
        <v>0</v>
      </c>
      <c r="G195" s="1147">
        <f>5875000+200000</f>
        <v>6075000</v>
      </c>
      <c r="H195" s="1147">
        <v>6052500</v>
      </c>
      <c r="I195" s="1147">
        <v>4500000</v>
      </c>
      <c r="J195" s="1147"/>
      <c r="K195" s="1147"/>
      <c r="L195" s="1147"/>
      <c r="M195" s="1187">
        <f>SUM(G195:K195)</f>
        <v>16627500</v>
      </c>
      <c r="N195" s="3406"/>
      <c r="O195" s="362"/>
    </row>
    <row r="196" spans="1:15" ht="10.5" hidden="1" customHeight="1">
      <c r="A196" s="3451"/>
      <c r="B196" s="1036" t="s">
        <v>14</v>
      </c>
      <c r="C196" s="3450"/>
      <c r="D196" s="1113">
        <f>SUM(E196:H196)</f>
        <v>0</v>
      </c>
      <c r="E196" s="1201">
        <v>0</v>
      </c>
      <c r="F196" s="1202"/>
      <c r="G196" s="1202"/>
      <c r="H196" s="1202"/>
      <c r="I196" s="176"/>
      <c r="J196" s="176"/>
      <c r="K196" s="176"/>
      <c r="L196" s="1202"/>
      <c r="M196" s="2738"/>
      <c r="N196" s="3406"/>
    </row>
    <row r="197" spans="1:15" ht="12.75" customHeight="1" thickBot="1">
      <c r="A197" s="3451"/>
      <c r="B197" s="1808" t="s">
        <v>17</v>
      </c>
      <c r="C197" s="3450"/>
      <c r="D197" s="1173">
        <f>+D198</f>
        <v>93372500</v>
      </c>
      <c r="E197" s="1179">
        <f t="shared" ref="E197:I197" si="114">+E198</f>
        <v>0</v>
      </c>
      <c r="F197" s="1179">
        <f t="shared" si="114"/>
        <v>0</v>
      </c>
      <c r="G197" s="1179">
        <f t="shared" si="114"/>
        <v>33575000</v>
      </c>
      <c r="H197" s="1179">
        <f t="shared" si="114"/>
        <v>34297500</v>
      </c>
      <c r="I197" s="1179">
        <f t="shared" si="114"/>
        <v>25500000</v>
      </c>
      <c r="J197" s="1173"/>
      <c r="K197" s="1173"/>
      <c r="L197" s="1179">
        <f>+L198</f>
        <v>0</v>
      </c>
      <c r="M197" s="1174">
        <f>M198</f>
        <v>93372500</v>
      </c>
      <c r="N197" s="3406"/>
    </row>
    <row r="198" spans="1:15" ht="12" customHeight="1" thickBot="1">
      <c r="A198" s="3451"/>
      <c r="B198" s="1807" t="s">
        <v>19</v>
      </c>
      <c r="C198" s="3461"/>
      <c r="D198" s="1152">
        <f>E198+L198+F198+G198+H198+I198+J198+K198</f>
        <v>93372500</v>
      </c>
      <c r="E198" s="1147"/>
      <c r="F198" s="1147">
        <f>850000-850000</f>
        <v>0</v>
      </c>
      <c r="G198" s="1182">
        <f>32725000+850000</f>
        <v>33575000</v>
      </c>
      <c r="H198" s="1182">
        <v>34297500</v>
      </c>
      <c r="I198" s="1186">
        <v>25500000</v>
      </c>
      <c r="J198" s="1186"/>
      <c r="K198" s="1186"/>
      <c r="L198" s="1147"/>
      <c r="M198" s="1187">
        <f>SUM(G198:K198)</f>
        <v>93372500</v>
      </c>
      <c r="N198" s="3407"/>
    </row>
    <row r="199" spans="1:15" ht="13.5" thickBot="1">
      <c r="A199" s="3452"/>
      <c r="B199" s="77" t="s">
        <v>20</v>
      </c>
      <c r="C199" s="75"/>
      <c r="D199" s="82">
        <f t="shared" ref="D199" si="115">+D200+D202</f>
        <v>93372500</v>
      </c>
      <c r="E199" s="202">
        <f t="shared" ref="E199" si="116">+E200+E202</f>
        <v>0</v>
      </c>
      <c r="F199" s="202">
        <f>+F200+F202</f>
        <v>0</v>
      </c>
      <c r="G199" s="202">
        <f t="shared" ref="G199:I199" si="117">+G200+G202</f>
        <v>33575000</v>
      </c>
      <c r="H199" s="202">
        <f t="shared" si="117"/>
        <v>34297500</v>
      </c>
      <c r="I199" s="202">
        <f t="shared" si="117"/>
        <v>25500000</v>
      </c>
      <c r="J199" s="202"/>
      <c r="K199" s="202"/>
      <c r="L199" s="202">
        <f>+L200+L202</f>
        <v>0</v>
      </c>
      <c r="M199" s="3429" t="s">
        <v>21</v>
      </c>
      <c r="N199" s="3462" t="s">
        <v>92</v>
      </c>
    </row>
    <row r="200" spans="1:15" ht="13.5" hidden="1" customHeight="1" thickBot="1">
      <c r="A200" s="3452"/>
      <c r="B200" s="1177" t="s">
        <v>22</v>
      </c>
      <c r="C200" s="3465" t="s">
        <v>190</v>
      </c>
      <c r="D200" s="43">
        <f>+D201</f>
        <v>0</v>
      </c>
      <c r="E200" s="43">
        <f t="shared" ref="E200" si="118">+E201</f>
        <v>0</v>
      </c>
      <c r="F200" s="43"/>
      <c r="G200" s="43"/>
      <c r="H200" s="43"/>
      <c r="I200" s="43"/>
      <c r="J200" s="43"/>
      <c r="K200" s="43"/>
      <c r="L200" s="43"/>
      <c r="M200" s="3428"/>
      <c r="N200" s="3464"/>
    </row>
    <row r="201" spans="1:15" ht="13.5" hidden="1" customHeight="1" thickBot="1">
      <c r="A201" s="3452"/>
      <c r="B201" s="76" t="s">
        <v>14</v>
      </c>
      <c r="C201" s="3467"/>
      <c r="D201" s="1113">
        <f>SUM(E201:H201)</f>
        <v>0</v>
      </c>
      <c r="E201" s="1189">
        <v>0</v>
      </c>
      <c r="F201" s="1189"/>
      <c r="G201" s="1189"/>
      <c r="H201" s="1189"/>
      <c r="I201" s="1189"/>
      <c r="J201" s="1189"/>
      <c r="K201" s="1189"/>
      <c r="L201" s="1189"/>
      <c r="M201" s="3532"/>
      <c r="N201" s="3528"/>
    </row>
    <row r="202" spans="1:15" ht="12" customHeight="1" thickBot="1">
      <c r="A202" s="3452"/>
      <c r="B202" s="1204" t="s">
        <v>17</v>
      </c>
      <c r="C202" s="3525"/>
      <c r="D202" s="1173">
        <f t="shared" ref="D202:I202" si="119">+D203</f>
        <v>93372500</v>
      </c>
      <c r="E202" s="1179">
        <f t="shared" si="119"/>
        <v>0</v>
      </c>
      <c r="F202" s="1179">
        <f t="shared" si="119"/>
        <v>0</v>
      </c>
      <c r="G202" s="1179">
        <f t="shared" si="119"/>
        <v>33575000</v>
      </c>
      <c r="H202" s="1179">
        <f t="shared" si="119"/>
        <v>34297500</v>
      </c>
      <c r="I202" s="1179">
        <f t="shared" si="119"/>
        <v>25500000</v>
      </c>
      <c r="J202" s="1179"/>
      <c r="K202" s="1179"/>
      <c r="L202" s="1179">
        <f>+L203</f>
        <v>0</v>
      </c>
      <c r="M202" s="3532"/>
      <c r="N202" s="3528"/>
    </row>
    <row r="203" spans="1:15" ht="13.5" thickBot="1">
      <c r="A203" s="3452"/>
      <c r="B203" s="738" t="s">
        <v>19</v>
      </c>
      <c r="C203" s="3525"/>
      <c r="D203" s="1113">
        <f>E203+L203+F203+G203+H203+I203+J203+K203</f>
        <v>93372500</v>
      </c>
      <c r="E203" s="1147">
        <v>0</v>
      </c>
      <c r="F203" s="1423">
        <v>0</v>
      </c>
      <c r="G203" s="1423">
        <v>33575000</v>
      </c>
      <c r="H203" s="1423">
        <v>34297500</v>
      </c>
      <c r="I203" s="1423">
        <v>25500000</v>
      </c>
      <c r="J203" s="1423"/>
      <c r="K203" s="1423"/>
      <c r="L203" s="1423">
        <v>0</v>
      </c>
      <c r="M203" s="3532"/>
      <c r="N203" s="3528"/>
    </row>
    <row r="204" spans="1:15" ht="24.75" customHeight="1" thickBot="1">
      <c r="A204" s="3402" t="s">
        <v>78</v>
      </c>
      <c r="B204" s="340" t="s">
        <v>528</v>
      </c>
      <c r="C204" s="1213" t="s">
        <v>72</v>
      </c>
      <c r="D204" s="2245"/>
      <c r="E204" s="2221"/>
      <c r="F204" s="2221"/>
      <c r="G204" s="2221"/>
      <c r="H204" s="2221"/>
      <c r="I204" s="2221"/>
      <c r="J204" s="2221"/>
      <c r="K204" s="34"/>
      <c r="L204" s="2221"/>
      <c r="M204" s="2789"/>
      <c r="N204" s="3446" t="s">
        <v>77</v>
      </c>
    </row>
    <row r="205" spans="1:15" ht="13.5" thickBot="1">
      <c r="A205" s="3403"/>
      <c r="B205" s="1768" t="s">
        <v>9</v>
      </c>
      <c r="C205" s="2613"/>
      <c r="D205" s="95">
        <f>+D206+D209</f>
        <v>23642533</v>
      </c>
      <c r="E205" s="95">
        <f>+E206+E209</f>
        <v>2689734</v>
      </c>
      <c r="F205" s="95">
        <f t="shared" ref="F205:G205" si="120">+F206+F209</f>
        <v>10664710</v>
      </c>
      <c r="G205" s="95">
        <f t="shared" si="120"/>
        <v>10288089</v>
      </c>
      <c r="H205" s="95"/>
      <c r="I205" s="95"/>
      <c r="J205" s="95"/>
      <c r="K205" s="95"/>
      <c r="L205" s="95">
        <f>+L206+L209</f>
        <v>0</v>
      </c>
      <c r="M205" s="2893">
        <f>+M206+M209</f>
        <v>10288089</v>
      </c>
      <c r="N205" s="3446"/>
      <c r="O205" s="201" t="s">
        <v>340</v>
      </c>
    </row>
    <row r="206" spans="1:15" ht="13.5" customHeight="1" thickBot="1">
      <c r="A206" s="3403"/>
      <c r="B206" s="2294" t="s">
        <v>22</v>
      </c>
      <c r="C206" s="3408" t="s">
        <v>75</v>
      </c>
      <c r="D206" s="1206">
        <f>+D207+D208</f>
        <v>8793718</v>
      </c>
      <c r="E206" s="1206">
        <f>+E207+E208</f>
        <v>1718951</v>
      </c>
      <c r="F206" s="1206">
        <f>+F207+F208</f>
        <v>2917334</v>
      </c>
      <c r="G206" s="1206">
        <f>+G207+G208</f>
        <v>4157433</v>
      </c>
      <c r="H206" s="1206"/>
      <c r="I206" s="1206"/>
      <c r="J206" s="1206"/>
      <c r="K206" s="1206"/>
      <c r="L206" s="1206">
        <f>+L207+L208</f>
        <v>0</v>
      </c>
      <c r="M206" s="2748">
        <f>+M207+M208</f>
        <v>4157433</v>
      </c>
      <c r="N206" s="3446"/>
      <c r="O206" s="362"/>
    </row>
    <row r="207" spans="1:15" ht="13.5" thickBot="1">
      <c r="A207" s="3403"/>
      <c r="B207" s="2295" t="s">
        <v>11</v>
      </c>
      <c r="C207" s="3409"/>
      <c r="D207" s="1113">
        <f>E207+L207+F207+G207+H207+I207+J207+K207</f>
        <v>718614</v>
      </c>
      <c r="E207" s="1147">
        <f>598614+6236</f>
        <v>604850</v>
      </c>
      <c r="F207" s="1186">
        <v>113764</v>
      </c>
      <c r="G207" s="1186"/>
      <c r="H207" s="1186"/>
      <c r="I207" s="1186"/>
      <c r="J207" s="1186"/>
      <c r="K207" s="1186"/>
      <c r="L207" s="1186"/>
      <c r="M207" s="1187">
        <f>SUM(G207:K207)</f>
        <v>0</v>
      </c>
      <c r="N207" s="3446"/>
    </row>
    <row r="208" spans="1:15" ht="13.5" thickBot="1">
      <c r="A208" s="3403"/>
      <c r="B208" s="2292" t="s">
        <v>14</v>
      </c>
      <c r="C208" s="3409"/>
      <c r="D208" s="1113">
        <f>E208+L208+F208+G208+H208+I208+J208+K208</f>
        <v>8075104</v>
      </c>
      <c r="E208" s="748">
        <f>4895843-1267664-2000000-514078</f>
        <v>1114101</v>
      </c>
      <c r="F208" s="748">
        <f>4774157+1267664-1486774+514078-2265555</f>
        <v>2803570</v>
      </c>
      <c r="G208" s="748">
        <f>2426653+1730780</f>
        <v>4157433</v>
      </c>
      <c r="H208" s="748"/>
      <c r="I208" s="748"/>
      <c r="J208" s="748"/>
      <c r="K208" s="748"/>
      <c r="L208" s="748">
        <v>0</v>
      </c>
      <c r="M208" s="1187">
        <f>SUM(G208:K208)</f>
        <v>4157433</v>
      </c>
      <c r="N208" s="3446"/>
    </row>
    <row r="209" spans="1:16" ht="13.5" customHeight="1" thickBot="1">
      <c r="A209" s="3403"/>
      <c r="B209" s="2614" t="s">
        <v>17</v>
      </c>
      <c r="C209" s="3409"/>
      <c r="D209" s="1173">
        <f>+D210</f>
        <v>14848815</v>
      </c>
      <c r="E209" s="1173">
        <f t="shared" ref="E209:G209" si="121">+E210</f>
        <v>970783</v>
      </c>
      <c r="F209" s="1173">
        <f t="shared" si="121"/>
        <v>7747376</v>
      </c>
      <c r="G209" s="1173">
        <f t="shared" si="121"/>
        <v>6130656</v>
      </c>
      <c r="H209" s="1173"/>
      <c r="I209" s="1173"/>
      <c r="J209" s="1173"/>
      <c r="K209" s="1173"/>
      <c r="L209" s="1173">
        <f>+L210</f>
        <v>0</v>
      </c>
      <c r="M209" s="1174">
        <f>+M210</f>
        <v>6130656</v>
      </c>
      <c r="N209" s="3446"/>
    </row>
    <row r="210" spans="1:16">
      <c r="A210" s="3403"/>
      <c r="B210" s="2296" t="s">
        <v>19</v>
      </c>
      <c r="C210" s="3410"/>
      <c r="D210" s="1113">
        <f>E210+L210+F210+G210+H210+I210+J210+K210</f>
        <v>14848815</v>
      </c>
      <c r="E210" s="1186">
        <f>5649157-3777336-901038</f>
        <v>970783</v>
      </c>
      <c r="F210" s="1186">
        <f>14225843+3777336-5026185+901038-6130656</f>
        <v>7747376</v>
      </c>
      <c r="G210" s="1186">
        <v>6130656</v>
      </c>
      <c r="H210" s="1186"/>
      <c r="I210" s="1186"/>
      <c r="J210" s="1186"/>
      <c r="K210" s="1186"/>
      <c r="L210" s="1186">
        <v>0</v>
      </c>
      <c r="M210" s="1187">
        <f>SUM(G210:K210)</f>
        <v>6130656</v>
      </c>
      <c r="N210" s="3447"/>
    </row>
    <row r="211" spans="1:16" ht="13.5" thickBot="1">
      <c r="A211" s="3403"/>
      <c r="B211" s="1768" t="s">
        <v>20</v>
      </c>
      <c r="C211" s="475"/>
      <c r="D211" s="1170">
        <f>+D214+D212</f>
        <v>22923919</v>
      </c>
      <c r="E211" s="1170">
        <f t="shared" ref="E211" si="122">+E214+E212</f>
        <v>2985504</v>
      </c>
      <c r="F211" s="1170">
        <f t="shared" ref="F211:G211" si="123">+F214+F212</f>
        <v>11302970</v>
      </c>
      <c r="G211" s="1170">
        <f t="shared" si="123"/>
        <v>8635445</v>
      </c>
      <c r="H211" s="1170"/>
      <c r="I211" s="1170"/>
      <c r="J211" s="1170"/>
      <c r="K211" s="1170"/>
      <c r="L211" s="1170">
        <f>+L214+L212</f>
        <v>0</v>
      </c>
      <c r="M211" s="3411" t="s">
        <v>21</v>
      </c>
      <c r="N211" s="3416" t="s">
        <v>92</v>
      </c>
      <c r="O211" s="362"/>
      <c r="P211" s="362">
        <v>-1230552</v>
      </c>
    </row>
    <row r="212" spans="1:16" ht="12" customHeight="1" thickBot="1">
      <c r="A212" s="3403"/>
      <c r="B212" s="1188" t="s">
        <v>22</v>
      </c>
      <c r="C212" s="3448" t="s">
        <v>419</v>
      </c>
      <c r="D212" s="1173">
        <f>+D213</f>
        <v>8075104</v>
      </c>
      <c r="E212" s="1173">
        <f t="shared" ref="E212:G212" si="124">+E213</f>
        <v>1114101</v>
      </c>
      <c r="F212" s="1173">
        <f t="shared" si="124"/>
        <v>2803570</v>
      </c>
      <c r="G212" s="1173">
        <f t="shared" si="124"/>
        <v>4157433</v>
      </c>
      <c r="H212" s="1173"/>
      <c r="I212" s="1173"/>
      <c r="J212" s="1173"/>
      <c r="K212" s="1173"/>
      <c r="L212" s="1173">
        <f>+L213</f>
        <v>0</v>
      </c>
      <c r="M212" s="3412"/>
      <c r="N212" s="3436"/>
    </row>
    <row r="213" spans="1:16" ht="12" customHeight="1" thickBot="1">
      <c r="A213" s="3403"/>
      <c r="B213" s="1198" t="s">
        <v>14</v>
      </c>
      <c r="C213" s="3383"/>
      <c r="D213" s="1113">
        <f>E213+L213+F213+G213+H213+I213+J213+K213</f>
        <v>8075104</v>
      </c>
      <c r="E213" s="1189">
        <f>4895843-1267664-2000000-514078</f>
        <v>1114101</v>
      </c>
      <c r="F213" s="1189">
        <f>4774157+1267664-1486774+514078-2265555</f>
        <v>2803570</v>
      </c>
      <c r="G213" s="1189">
        <f>2426653+1730780</f>
        <v>4157433</v>
      </c>
      <c r="H213" s="1189"/>
      <c r="I213" s="1189"/>
      <c r="J213" s="1189"/>
      <c r="K213" s="1189"/>
      <c r="L213" s="1189">
        <v>0</v>
      </c>
      <c r="M213" s="3412"/>
      <c r="N213" s="3436"/>
    </row>
    <row r="214" spans="1:16" s="2737" customFormat="1">
      <c r="A214" s="3403"/>
      <c r="B214" s="2614" t="s">
        <v>17</v>
      </c>
      <c r="C214" s="3383"/>
      <c r="D214" s="1190">
        <f>+D215</f>
        <v>14848815</v>
      </c>
      <c r="E214" s="1190">
        <f t="shared" ref="E214:G214" si="125">+E215</f>
        <v>1871403</v>
      </c>
      <c r="F214" s="1190">
        <f t="shared" si="125"/>
        <v>8499400</v>
      </c>
      <c r="G214" s="1190">
        <f t="shared" si="125"/>
        <v>4478012</v>
      </c>
      <c r="H214" s="1190"/>
      <c r="I214" s="1190"/>
      <c r="J214" s="1190"/>
      <c r="K214" s="1190"/>
      <c r="L214" s="1190">
        <f>+L215</f>
        <v>0</v>
      </c>
      <c r="M214" s="3412"/>
      <c r="N214" s="3443"/>
    </row>
    <row r="215" spans="1:16" s="2737" customFormat="1" ht="13.5" thickBot="1">
      <c r="A215" s="3404"/>
      <c r="B215" s="738" t="s">
        <v>19</v>
      </c>
      <c r="C215" s="3449"/>
      <c r="D215" s="1679">
        <f>E215+L215+F215+G215+H215+I215+J215+K215</f>
        <v>14848815</v>
      </c>
      <c r="E215" s="372">
        <f>5649157-3777336-418</f>
        <v>1871403</v>
      </c>
      <c r="F215" s="372">
        <f>14225843+3777336-5026185+418-6091962+1613950</f>
        <v>8499400</v>
      </c>
      <c r="G215" s="372">
        <f>6091962-1613950</f>
        <v>4478012</v>
      </c>
      <c r="H215" s="372"/>
      <c r="I215" s="372"/>
      <c r="J215" s="372"/>
      <c r="K215" s="372"/>
      <c r="L215" s="372">
        <v>0</v>
      </c>
      <c r="M215" s="3413"/>
      <c r="N215" s="3416"/>
    </row>
    <row r="216" spans="1:16" ht="36.75" customHeight="1">
      <c r="A216" s="3402" t="s">
        <v>79</v>
      </c>
      <c r="B216" s="340" t="s">
        <v>529</v>
      </c>
      <c r="C216" s="48" t="s">
        <v>72</v>
      </c>
      <c r="D216" s="2245"/>
      <c r="E216" s="2221"/>
      <c r="F216" s="2221"/>
      <c r="G216" s="2221"/>
      <c r="H216" s="2221"/>
      <c r="I216" s="2221"/>
      <c r="J216" s="2221"/>
      <c r="K216" s="34"/>
      <c r="L216" s="2221"/>
      <c r="M216" s="36"/>
      <c r="N216" s="3405" t="s">
        <v>77</v>
      </c>
    </row>
    <row r="217" spans="1:16">
      <c r="A217" s="3403"/>
      <c r="B217" s="1768" t="s">
        <v>9</v>
      </c>
      <c r="C217" s="2951"/>
      <c r="D217" s="1205">
        <f>+D218+D221</f>
        <v>27596585</v>
      </c>
      <c r="E217" s="1205">
        <f t="shared" ref="E217" si="126">+E218+E221</f>
        <v>1449204</v>
      </c>
      <c r="F217" s="1205">
        <f t="shared" ref="F217:G217" si="127">+F218+F221</f>
        <v>1891480</v>
      </c>
      <c r="G217" s="1205">
        <f t="shared" si="127"/>
        <v>24255901</v>
      </c>
      <c r="H217" s="1205"/>
      <c r="I217" s="1205"/>
      <c r="J217" s="1205"/>
      <c r="K217" s="1205"/>
      <c r="L217" s="1205">
        <f t="shared" ref="L217" si="128">+L218+L221</f>
        <v>0</v>
      </c>
      <c r="M217" s="1215">
        <f>+M218+M221</f>
        <v>24255901</v>
      </c>
      <c r="N217" s="3406"/>
      <c r="O217" s="201" t="s">
        <v>254</v>
      </c>
    </row>
    <row r="218" spans="1:16" ht="13.5" customHeight="1">
      <c r="A218" s="3403"/>
      <c r="B218" s="2294" t="s">
        <v>22</v>
      </c>
      <c r="C218" s="3408" t="s">
        <v>75</v>
      </c>
      <c r="D218" s="1206">
        <f>+D219+D220</f>
        <v>5257058</v>
      </c>
      <c r="E218" s="1206">
        <f t="shared" ref="E218" si="129">+E219+E220</f>
        <v>1299112</v>
      </c>
      <c r="F218" s="1206">
        <f>+F219+F220</f>
        <v>288842</v>
      </c>
      <c r="G218" s="1206">
        <f>+G219+G220</f>
        <v>3669104</v>
      </c>
      <c r="H218" s="1206"/>
      <c r="I218" s="1206"/>
      <c r="J218" s="1206"/>
      <c r="K218" s="1206"/>
      <c r="L218" s="1206">
        <f>+L219+L220</f>
        <v>0</v>
      </c>
      <c r="M218" s="2748">
        <f>+M219</f>
        <v>3669104</v>
      </c>
      <c r="N218" s="3406"/>
      <c r="O218" s="362"/>
    </row>
    <row r="219" spans="1:16" ht="13.5" customHeight="1">
      <c r="A219" s="3403"/>
      <c r="B219" s="2295" t="s">
        <v>11</v>
      </c>
      <c r="C219" s="3409"/>
      <c r="D219" s="1113">
        <f>E219+L219+F219+G219+H219+I219+J219+K219</f>
        <v>4049800</v>
      </c>
      <c r="E219" s="1147">
        <f>5494+46-5494+91808</f>
        <v>91854</v>
      </c>
      <c r="F219" s="1186">
        <f>2977500-2027520-661138</f>
        <v>288842</v>
      </c>
      <c r="G219" s="1186">
        <f>518715+532459+1982022+635908</f>
        <v>3669104</v>
      </c>
      <c r="H219" s="1186"/>
      <c r="I219" s="1186"/>
      <c r="J219" s="1186"/>
      <c r="K219" s="1186"/>
      <c r="L219" s="1186"/>
      <c r="M219" s="1187">
        <f>SUM(G219:K219)</f>
        <v>3669104</v>
      </c>
      <c r="N219" s="3406"/>
    </row>
    <row r="220" spans="1:16" ht="13.5" customHeight="1">
      <c r="A220" s="3403"/>
      <c r="B220" s="2292" t="s">
        <v>14</v>
      </c>
      <c r="C220" s="3409"/>
      <c r="D220" s="1113">
        <f>E220+L220+F220+G220+H220+I220+J220+K220</f>
        <v>1207258</v>
      </c>
      <c r="E220" s="1147">
        <f>807828+136+5494+393800</f>
        <v>1207258</v>
      </c>
      <c r="F220" s="748">
        <v>0</v>
      </c>
      <c r="G220" s="748"/>
      <c r="H220" s="748"/>
      <c r="I220" s="748"/>
      <c r="J220" s="748"/>
      <c r="K220" s="748"/>
      <c r="L220" s="748"/>
      <c r="M220" s="3214">
        <f>SUM(F220:K220)</f>
        <v>0</v>
      </c>
      <c r="N220" s="3406"/>
    </row>
    <row r="221" spans="1:16" ht="13.5" customHeight="1">
      <c r="A221" s="3403"/>
      <c r="B221" s="2614" t="s">
        <v>17</v>
      </c>
      <c r="C221" s="3409"/>
      <c r="D221" s="1173">
        <f>+D222</f>
        <v>22339527</v>
      </c>
      <c r="E221" s="1173">
        <f t="shared" ref="E221:G221" si="130">+E222</f>
        <v>150092</v>
      </c>
      <c r="F221" s="1173">
        <f t="shared" si="130"/>
        <v>1602638</v>
      </c>
      <c r="G221" s="1173">
        <f t="shared" si="130"/>
        <v>20586797</v>
      </c>
      <c r="H221" s="1173"/>
      <c r="I221" s="1173"/>
      <c r="J221" s="1173"/>
      <c r="K221" s="1173"/>
      <c r="L221" s="1173">
        <f>+L222</f>
        <v>0</v>
      </c>
      <c r="M221" s="2748">
        <f>+M222</f>
        <v>20586797</v>
      </c>
      <c r="N221" s="3406"/>
    </row>
    <row r="222" spans="1:16" ht="13.5" customHeight="1">
      <c r="A222" s="3403"/>
      <c r="B222" s="2296" t="s">
        <v>19</v>
      </c>
      <c r="C222" s="3410"/>
      <c r="D222" s="1113">
        <f>E222+L222+F222+G222+H222+I222+J222+K222</f>
        <v>22339527</v>
      </c>
      <c r="E222" s="1147">
        <v>150092</v>
      </c>
      <c r="F222" s="1186">
        <f>16872500-11640936-3628926</f>
        <v>1602638</v>
      </c>
      <c r="G222" s="1186">
        <f>5319385+85000+11696459+3485953</f>
        <v>20586797</v>
      </c>
      <c r="H222" s="1186"/>
      <c r="I222" s="1186"/>
      <c r="J222" s="1186"/>
      <c r="K222" s="1186"/>
      <c r="L222" s="1186"/>
      <c r="M222" s="1187">
        <f>SUM(G222:K222)</f>
        <v>20586797</v>
      </c>
      <c r="N222" s="3407"/>
    </row>
    <row r="223" spans="1:16">
      <c r="A223" s="3403"/>
      <c r="B223" s="1768" t="s">
        <v>20</v>
      </c>
      <c r="C223" s="475"/>
      <c r="D223" s="1170">
        <f>+D226+D224</f>
        <v>23546785</v>
      </c>
      <c r="E223" s="1170">
        <f t="shared" ref="E223" si="131">+E226+E224</f>
        <v>807964</v>
      </c>
      <c r="F223" s="1170">
        <f t="shared" ref="F223:G223" si="132">+F226+F224</f>
        <v>5746726</v>
      </c>
      <c r="G223" s="1170">
        <f t="shared" si="132"/>
        <v>16992095</v>
      </c>
      <c r="H223" s="1170"/>
      <c r="I223" s="1170"/>
      <c r="J223" s="1170"/>
      <c r="K223" s="1170"/>
      <c r="L223" s="1170">
        <f>+L226+L224</f>
        <v>0</v>
      </c>
      <c r="M223" s="3411" t="s">
        <v>21</v>
      </c>
      <c r="N223" s="3414" t="s">
        <v>92</v>
      </c>
      <c r="O223" s="362"/>
      <c r="P223" s="362">
        <v>-1230552</v>
      </c>
    </row>
    <row r="224" spans="1:16" ht="12" customHeight="1">
      <c r="A224" s="3403"/>
      <c r="B224" s="1188" t="s">
        <v>22</v>
      </c>
      <c r="C224" s="3448" t="s">
        <v>419</v>
      </c>
      <c r="D224" s="1173">
        <f>+D225</f>
        <v>1207258</v>
      </c>
      <c r="E224" s="1173">
        <f t="shared" ref="E224:G224" si="133">+E225</f>
        <v>807964</v>
      </c>
      <c r="F224" s="1173">
        <f t="shared" si="133"/>
        <v>399294</v>
      </c>
      <c r="G224" s="1173">
        <f t="shared" si="133"/>
        <v>0</v>
      </c>
      <c r="H224" s="1173"/>
      <c r="I224" s="1173"/>
      <c r="J224" s="1173"/>
      <c r="K224" s="1173"/>
      <c r="L224" s="1173">
        <f>+L225</f>
        <v>0</v>
      </c>
      <c r="M224" s="3412"/>
      <c r="N224" s="3415"/>
    </row>
    <row r="225" spans="1:16" ht="12" customHeight="1">
      <c r="A225" s="3403"/>
      <c r="B225" s="1198" t="s">
        <v>14</v>
      </c>
      <c r="C225" s="3383"/>
      <c r="D225" s="1113">
        <f>E225+L225+F225+G225+H225+I225+J225+K225</f>
        <v>1207258</v>
      </c>
      <c r="E225" s="1147">
        <f>807828+136</f>
        <v>807964</v>
      </c>
      <c r="F225" s="1189">
        <v>399294</v>
      </c>
      <c r="G225" s="1189"/>
      <c r="H225" s="1189"/>
      <c r="I225" s="1189"/>
      <c r="J225" s="1189"/>
      <c r="K225" s="1189"/>
      <c r="L225" s="1189"/>
      <c r="M225" s="3412"/>
      <c r="N225" s="3415"/>
    </row>
    <row r="226" spans="1:16" s="2737" customFormat="1" ht="13.5" customHeight="1">
      <c r="A226" s="3403"/>
      <c r="B226" s="2614" t="s">
        <v>17</v>
      </c>
      <c r="C226" s="3383"/>
      <c r="D226" s="1190">
        <f>+D227</f>
        <v>22339527</v>
      </c>
      <c r="E226" s="1190">
        <f t="shared" ref="E226:G226" si="134">+E227</f>
        <v>0</v>
      </c>
      <c r="F226" s="1190">
        <f t="shared" si="134"/>
        <v>5347432</v>
      </c>
      <c r="G226" s="1190">
        <f t="shared" si="134"/>
        <v>16992095</v>
      </c>
      <c r="H226" s="1190"/>
      <c r="I226" s="1190"/>
      <c r="J226" s="1190"/>
      <c r="K226" s="1190"/>
      <c r="L226" s="1190">
        <f>+L227</f>
        <v>0</v>
      </c>
      <c r="M226" s="3412"/>
      <c r="N226" s="3415"/>
    </row>
    <row r="227" spans="1:16" s="2737" customFormat="1" ht="13.5" thickBot="1">
      <c r="A227" s="3404"/>
      <c r="B227" s="738" t="s">
        <v>19</v>
      </c>
      <c r="C227" s="3449"/>
      <c r="D227" s="1679">
        <f>E227+L227+F227+G227+H227+I227+J227+K227</f>
        <v>22339527</v>
      </c>
      <c r="E227" s="1679">
        <v>0</v>
      </c>
      <c r="F227" s="372">
        <f>16872500+290615-85000-11696459-34224</f>
        <v>5347432</v>
      </c>
      <c r="G227" s="372">
        <f>5319385+85000+11696459-108749</f>
        <v>16992095</v>
      </c>
      <c r="H227" s="372"/>
      <c r="I227" s="372"/>
      <c r="J227" s="372"/>
      <c r="K227" s="372"/>
      <c r="L227" s="372">
        <f>5610000-5610000</f>
        <v>0</v>
      </c>
      <c r="M227" s="3413"/>
      <c r="N227" s="3416"/>
    </row>
    <row r="228" spans="1:16" ht="35.25" customHeight="1">
      <c r="A228" s="3402" t="s">
        <v>80</v>
      </c>
      <c r="B228" s="340" t="s">
        <v>530</v>
      </c>
      <c r="C228" s="48" t="s">
        <v>72</v>
      </c>
      <c r="D228" s="2245"/>
      <c r="E228" s="2221"/>
      <c r="F228" s="2221"/>
      <c r="G228" s="2221"/>
      <c r="H228" s="2221"/>
      <c r="I228" s="2221"/>
      <c r="J228" s="2221"/>
      <c r="K228" s="34"/>
      <c r="L228" s="2221"/>
      <c r="M228" s="36"/>
      <c r="N228" s="3405" t="s">
        <v>77</v>
      </c>
    </row>
    <row r="229" spans="1:16" ht="13.5" customHeight="1">
      <c r="A229" s="3403"/>
      <c r="B229" s="1768" t="s">
        <v>9</v>
      </c>
      <c r="C229" s="2951"/>
      <c r="D229" s="1205">
        <f>+D230+D233</f>
        <v>8669814</v>
      </c>
      <c r="E229" s="1205">
        <f t="shared" ref="E229" si="135">+E230+E233</f>
        <v>617780</v>
      </c>
      <c r="F229" s="1205">
        <f t="shared" ref="F229" si="136">+F230+F233</f>
        <v>8052034</v>
      </c>
      <c r="G229" s="1205"/>
      <c r="H229" s="1205"/>
      <c r="I229" s="1205"/>
      <c r="J229" s="1205"/>
      <c r="K229" s="1205"/>
      <c r="L229" s="1205">
        <f>+L230+L233</f>
        <v>0</v>
      </c>
      <c r="M229" s="1215">
        <f>+M230+M233</f>
        <v>0</v>
      </c>
      <c r="N229" s="3406"/>
    </row>
    <row r="230" spans="1:16" ht="13.5" customHeight="1">
      <c r="A230" s="3403"/>
      <c r="B230" s="2294" t="s">
        <v>22</v>
      </c>
      <c r="C230" s="3408" t="s">
        <v>75</v>
      </c>
      <c r="D230" s="1206">
        <f>+D231+D232</f>
        <v>1782370</v>
      </c>
      <c r="E230" s="1206">
        <f>+E231+E232</f>
        <v>141638</v>
      </c>
      <c r="F230" s="1206">
        <f>+F231+F232</f>
        <v>1640732</v>
      </c>
      <c r="G230" s="1206"/>
      <c r="H230" s="1206"/>
      <c r="I230" s="1206"/>
      <c r="J230" s="1206"/>
      <c r="K230" s="1206"/>
      <c r="L230" s="1206">
        <f>+L231+L232</f>
        <v>0</v>
      </c>
      <c r="M230" s="2748">
        <f>+M231+M232</f>
        <v>0</v>
      </c>
      <c r="N230" s="3406"/>
      <c r="O230" s="362"/>
    </row>
    <row r="231" spans="1:16">
      <c r="A231" s="3403"/>
      <c r="B231" s="2295" t="s">
        <v>11</v>
      </c>
      <c r="C231" s="3409"/>
      <c r="D231" s="1113">
        <f>E231+L231+F231+G231+H231+I231+J231+K231</f>
        <v>1273044</v>
      </c>
      <c r="E231" s="1186">
        <f>520000-5922-43134-329306</f>
        <v>141638</v>
      </c>
      <c r="F231" s="1186">
        <f>1260000-17764-54248+329306-196264-189624</f>
        <v>1131406</v>
      </c>
      <c r="G231" s="1186"/>
      <c r="H231" s="1186"/>
      <c r="I231" s="1186"/>
      <c r="J231" s="1186"/>
      <c r="K231" s="1186"/>
      <c r="L231" s="1186">
        <v>0</v>
      </c>
      <c r="M231" s="1187">
        <f>SUM(G231:K231)</f>
        <v>0</v>
      </c>
      <c r="N231" s="3406"/>
    </row>
    <row r="232" spans="1:16">
      <c r="A232" s="3403"/>
      <c r="B232" s="2292" t="s">
        <v>14</v>
      </c>
      <c r="C232" s="3409"/>
      <c r="D232" s="1113">
        <f>E232+L232+F232+G232+H232+I232+J232+K232</f>
        <v>509326</v>
      </c>
      <c r="E232" s="748">
        <f>138882-138882</f>
        <v>0</v>
      </c>
      <c r="F232" s="748">
        <f>370445+138882-1</f>
        <v>509326</v>
      </c>
      <c r="G232" s="748"/>
      <c r="H232" s="748"/>
      <c r="I232" s="748"/>
      <c r="J232" s="748"/>
      <c r="K232" s="748"/>
      <c r="L232" s="748">
        <f>138882-138882</f>
        <v>0</v>
      </c>
      <c r="M232" s="1187">
        <f>SUM(G232:K232)</f>
        <v>0</v>
      </c>
      <c r="N232" s="3406"/>
    </row>
    <row r="233" spans="1:16" ht="13.5" customHeight="1">
      <c r="A233" s="3403"/>
      <c r="B233" s="2614" t="s">
        <v>17</v>
      </c>
      <c r="C233" s="3409"/>
      <c r="D233" s="1173">
        <f>+D234</f>
        <v>6887444</v>
      </c>
      <c r="E233" s="1173">
        <f t="shared" ref="E233:F233" si="137">+E234</f>
        <v>476142</v>
      </c>
      <c r="F233" s="1173">
        <f t="shared" si="137"/>
        <v>6411302</v>
      </c>
      <c r="G233" s="1173"/>
      <c r="H233" s="1173"/>
      <c r="I233" s="1173"/>
      <c r="J233" s="1173"/>
      <c r="K233" s="1173"/>
      <c r="L233" s="1173">
        <f>+L234</f>
        <v>0</v>
      </c>
      <c r="M233" s="1174">
        <f>+M234</f>
        <v>0</v>
      </c>
      <c r="N233" s="3406"/>
    </row>
    <row r="234" spans="1:16">
      <c r="A234" s="3403"/>
      <c r="B234" s="2296" t="s">
        <v>19</v>
      </c>
      <c r="C234" s="3410"/>
      <c r="D234" s="1113">
        <f>E234+L234+F234+G234+H234+I234+J234+K234</f>
        <v>6887444</v>
      </c>
      <c r="E234" s="1186">
        <f>2380000-33554-226296-1644008</f>
        <v>476142</v>
      </c>
      <c r="F234" s="1186">
        <f>7140000-100662-325542+1644008-1112161-834341</f>
        <v>6411302</v>
      </c>
      <c r="G234" s="1186"/>
      <c r="H234" s="1186"/>
      <c r="I234" s="1186"/>
      <c r="J234" s="1186"/>
      <c r="K234" s="1186"/>
      <c r="L234" s="1186">
        <v>0</v>
      </c>
      <c r="M234" s="1187">
        <f>SUM(G234:K234)</f>
        <v>0</v>
      </c>
      <c r="N234" s="3407"/>
    </row>
    <row r="235" spans="1:16">
      <c r="A235" s="3403"/>
      <c r="B235" s="1768" t="s">
        <v>20</v>
      </c>
      <c r="C235" s="475"/>
      <c r="D235" s="1170">
        <f>+D238+D236</f>
        <v>7396770</v>
      </c>
      <c r="E235" s="1170">
        <f t="shared" ref="E235" si="138">+E238+E236</f>
        <v>2069792</v>
      </c>
      <c r="F235" s="1170">
        <f t="shared" ref="F235" si="139">+F238+F236</f>
        <v>5326978</v>
      </c>
      <c r="G235" s="1170"/>
      <c r="H235" s="1170"/>
      <c r="I235" s="1170"/>
      <c r="J235" s="1170"/>
      <c r="K235" s="1170"/>
      <c r="L235" s="1170">
        <f>+L238+L236</f>
        <v>0</v>
      </c>
      <c r="M235" s="3411" t="s">
        <v>21</v>
      </c>
      <c r="N235" s="3414" t="s">
        <v>92</v>
      </c>
      <c r="O235" s="362"/>
      <c r="P235" s="362">
        <v>-1230552</v>
      </c>
    </row>
    <row r="236" spans="1:16" ht="12" customHeight="1">
      <c r="A236" s="3403"/>
      <c r="B236" s="1188" t="s">
        <v>22</v>
      </c>
      <c r="C236" s="3448" t="s">
        <v>419</v>
      </c>
      <c r="D236" s="1173">
        <f>+D237</f>
        <v>509326</v>
      </c>
      <c r="E236" s="1173">
        <f t="shared" ref="E236:F236" si="140">+E237</f>
        <v>0</v>
      </c>
      <c r="F236" s="1173">
        <f t="shared" si="140"/>
        <v>509326</v>
      </c>
      <c r="G236" s="1173"/>
      <c r="H236" s="1173"/>
      <c r="I236" s="1173"/>
      <c r="J236" s="1173"/>
      <c r="K236" s="1173"/>
      <c r="L236" s="1173">
        <f>+L237</f>
        <v>0</v>
      </c>
      <c r="M236" s="3412"/>
      <c r="N236" s="3415"/>
    </row>
    <row r="237" spans="1:16" ht="12" customHeight="1">
      <c r="A237" s="3403"/>
      <c r="B237" s="1198" t="s">
        <v>14</v>
      </c>
      <c r="C237" s="3383"/>
      <c r="D237" s="1113">
        <f>E237+L237+F237+G237+H237+I237+J237+K237</f>
        <v>509326</v>
      </c>
      <c r="E237" s="1189">
        <f>138882-138882</f>
        <v>0</v>
      </c>
      <c r="F237" s="1189">
        <f>370445+138882-1</f>
        <v>509326</v>
      </c>
      <c r="G237" s="1189"/>
      <c r="H237" s="1189"/>
      <c r="I237" s="1189"/>
      <c r="J237" s="1189"/>
      <c r="K237" s="1189"/>
      <c r="L237" s="1189">
        <f>138882-138882</f>
        <v>0</v>
      </c>
      <c r="M237" s="3412"/>
      <c r="N237" s="3415"/>
    </row>
    <row r="238" spans="1:16" s="2737" customFormat="1" ht="13.5" customHeight="1">
      <c r="A238" s="3403"/>
      <c r="B238" s="2614" t="s">
        <v>17</v>
      </c>
      <c r="C238" s="3383"/>
      <c r="D238" s="1190">
        <f>+D239</f>
        <v>6887444</v>
      </c>
      <c r="E238" s="1190">
        <f t="shared" ref="E238:F238" si="141">+E239</f>
        <v>2069792</v>
      </c>
      <c r="F238" s="1190">
        <f t="shared" si="141"/>
        <v>4817652</v>
      </c>
      <c r="G238" s="1190"/>
      <c r="H238" s="1190"/>
      <c r="I238" s="1190"/>
      <c r="J238" s="1190"/>
      <c r="K238" s="1190"/>
      <c r="L238" s="1190">
        <f>+L239</f>
        <v>0</v>
      </c>
      <c r="M238" s="3412"/>
      <c r="N238" s="3415"/>
    </row>
    <row r="239" spans="1:16" s="2737" customFormat="1" ht="13.5" thickBot="1">
      <c r="A239" s="3404"/>
      <c r="B239" s="738" t="s">
        <v>19</v>
      </c>
      <c r="C239" s="3449"/>
      <c r="D239" s="1679">
        <f>E239+L239+F239+G239+H239+I239+J239+K239</f>
        <v>6887444</v>
      </c>
      <c r="E239" s="372">
        <f>2380000-33554-226296-50358</f>
        <v>2069792</v>
      </c>
      <c r="F239" s="372">
        <f>7140000-100662-325542+50358-1112161-834341</f>
        <v>4817652</v>
      </c>
      <c r="G239" s="372"/>
      <c r="H239" s="372"/>
      <c r="I239" s="372"/>
      <c r="J239" s="372"/>
      <c r="K239" s="372"/>
      <c r="L239" s="372">
        <v>0</v>
      </c>
      <c r="M239" s="3413"/>
      <c r="N239" s="3416"/>
    </row>
    <row r="240" spans="1:16" ht="28.5" customHeight="1">
      <c r="A240" s="3402" t="s">
        <v>81</v>
      </c>
      <c r="B240" s="340" t="s">
        <v>531</v>
      </c>
      <c r="C240" s="48" t="s">
        <v>72</v>
      </c>
      <c r="D240" s="2245"/>
      <c r="E240" s="2221"/>
      <c r="F240" s="2221"/>
      <c r="G240" s="2221"/>
      <c r="H240" s="2221"/>
      <c r="I240" s="2221"/>
      <c r="J240" s="2221"/>
      <c r="K240" s="34"/>
      <c r="L240" s="2221"/>
      <c r="M240" s="36"/>
      <c r="N240" s="3405" t="s">
        <v>77</v>
      </c>
    </row>
    <row r="241" spans="1:16" ht="15.75" customHeight="1">
      <c r="A241" s="3403"/>
      <c r="B241" s="1768" t="s">
        <v>9</v>
      </c>
      <c r="C241" s="2951"/>
      <c r="D241" s="1205">
        <f>+D242+D245</f>
        <v>18052656</v>
      </c>
      <c r="E241" s="1205">
        <f t="shared" ref="E241" si="142">+E242+E245</f>
        <v>1914309</v>
      </c>
      <c r="F241" s="1205">
        <f t="shared" ref="F241" si="143">+F242+F245</f>
        <v>16138347</v>
      </c>
      <c r="G241" s="1205"/>
      <c r="H241" s="1205"/>
      <c r="I241" s="1205"/>
      <c r="J241" s="1205"/>
      <c r="K241" s="1205"/>
      <c r="L241" s="1205">
        <f>+L242+L245</f>
        <v>0</v>
      </c>
      <c r="M241" s="1215">
        <f>+M242+M245</f>
        <v>0</v>
      </c>
      <c r="N241" s="3406"/>
      <c r="O241" s="201" t="s">
        <v>383</v>
      </c>
    </row>
    <row r="242" spans="1:16" ht="13.5" customHeight="1">
      <c r="A242" s="3403"/>
      <c r="B242" s="2294" t="s">
        <v>22</v>
      </c>
      <c r="C242" s="3408" t="s">
        <v>75</v>
      </c>
      <c r="D242" s="1206">
        <f>+D243+D244</f>
        <v>2792898</v>
      </c>
      <c r="E242" s="1206">
        <f>+E243+E244</f>
        <v>293086</v>
      </c>
      <c r="F242" s="1206">
        <f>+F243+F244</f>
        <v>2499812</v>
      </c>
      <c r="G242" s="1206"/>
      <c r="H242" s="1206"/>
      <c r="I242" s="1206"/>
      <c r="J242" s="1206"/>
      <c r="K242" s="1206"/>
      <c r="L242" s="1206">
        <f>+L243+L244</f>
        <v>0</v>
      </c>
      <c r="M242" s="2748">
        <f>+M243</f>
        <v>0</v>
      </c>
      <c r="N242" s="3406"/>
      <c r="O242" s="362"/>
    </row>
    <row r="243" spans="1:16" ht="13.5" customHeight="1">
      <c r="A243" s="3403"/>
      <c r="B243" s="2295" t="s">
        <v>11</v>
      </c>
      <c r="C243" s="3409"/>
      <c r="D243" s="1113">
        <f>E243+L243+F243+G243+H243+I243+J243+K243</f>
        <v>2792898</v>
      </c>
      <c r="E243" s="1186">
        <f>824400-289400-195000+49500-96414</f>
        <v>293086</v>
      </c>
      <c r="F243" s="1186">
        <f>4671600-1971600+172898-49500+96414-270000-150000</f>
        <v>2499812</v>
      </c>
      <c r="G243" s="1186"/>
      <c r="H243" s="1186"/>
      <c r="I243" s="1186"/>
      <c r="J243" s="1186"/>
      <c r="K243" s="1186"/>
      <c r="L243" s="1186">
        <v>0</v>
      </c>
      <c r="M243" s="1187">
        <f>SUM(G243:K243)</f>
        <v>0</v>
      </c>
      <c r="N243" s="3406"/>
    </row>
    <row r="244" spans="1:16" ht="13.5" hidden="1" customHeight="1">
      <c r="A244" s="3403"/>
      <c r="B244" s="2292" t="s">
        <v>14</v>
      </c>
      <c r="C244" s="3409"/>
      <c r="D244" s="1113">
        <f>E244+L244+F244+G244+H244+I244+J244+K244</f>
        <v>0</v>
      </c>
      <c r="E244" s="748">
        <v>0</v>
      </c>
      <c r="F244" s="748">
        <v>0</v>
      </c>
      <c r="G244" s="748"/>
      <c r="H244" s="748"/>
      <c r="I244" s="748"/>
      <c r="J244" s="748"/>
      <c r="K244" s="748"/>
      <c r="L244" s="748">
        <v>0</v>
      </c>
      <c r="M244" s="1187">
        <f>SUM(F244:K244)</f>
        <v>0</v>
      </c>
      <c r="N244" s="3406"/>
    </row>
    <row r="245" spans="1:16" ht="13.5" customHeight="1">
      <c r="A245" s="3403"/>
      <c r="B245" s="2614" t="s">
        <v>17</v>
      </c>
      <c r="C245" s="3409"/>
      <c r="D245" s="1173">
        <f>+D246</f>
        <v>15259758</v>
      </c>
      <c r="E245" s="1173">
        <f t="shared" ref="E245:F245" si="144">+E246</f>
        <v>1621223</v>
      </c>
      <c r="F245" s="1173">
        <f t="shared" si="144"/>
        <v>13638535</v>
      </c>
      <c r="G245" s="1173"/>
      <c r="H245" s="1173"/>
      <c r="I245" s="1173"/>
      <c r="J245" s="1173"/>
      <c r="K245" s="1173"/>
      <c r="L245" s="1173">
        <f>+L246</f>
        <v>0</v>
      </c>
      <c r="M245" s="1174">
        <f>+M246</f>
        <v>0</v>
      </c>
      <c r="N245" s="3406"/>
    </row>
    <row r="246" spans="1:16" ht="13.5" customHeight="1">
      <c r="A246" s="3403"/>
      <c r="B246" s="2296" t="s">
        <v>19</v>
      </c>
      <c r="C246" s="3410"/>
      <c r="D246" s="1113">
        <f>E246+L246+F246+G246+H246+I246+J246+K246</f>
        <v>15259758</v>
      </c>
      <c r="E246" s="1186">
        <f>4671600-2206600-1105000+450500-189277</f>
        <v>1621223</v>
      </c>
      <c r="F246" s="1186">
        <f>26472400-11172400+979758-450500+189277-1530000-850000</f>
        <v>13638535</v>
      </c>
      <c r="G246" s="1186"/>
      <c r="H246" s="1186"/>
      <c r="I246" s="1186"/>
      <c r="J246" s="1186"/>
      <c r="K246" s="1186"/>
      <c r="L246" s="1186">
        <v>0</v>
      </c>
      <c r="M246" s="1187">
        <f>SUM(G246:K246)</f>
        <v>0</v>
      </c>
      <c r="N246" s="3407"/>
    </row>
    <row r="247" spans="1:16" ht="13.5" thickBot="1">
      <c r="A247" s="3403"/>
      <c r="B247" s="1768" t="s">
        <v>20</v>
      </c>
      <c r="C247" s="475"/>
      <c r="D247" s="1170">
        <f>+D250+D248</f>
        <v>15259758</v>
      </c>
      <c r="E247" s="1170">
        <f t="shared" ref="E247" si="145">+E250+E248</f>
        <v>1803921</v>
      </c>
      <c r="F247" s="1170">
        <f t="shared" ref="F247" si="146">+F250+F248</f>
        <v>13455837</v>
      </c>
      <c r="G247" s="1170"/>
      <c r="H247" s="1170"/>
      <c r="I247" s="1170"/>
      <c r="J247" s="1170"/>
      <c r="K247" s="1170"/>
      <c r="L247" s="1170">
        <f>+L250+L248</f>
        <v>0</v>
      </c>
      <c r="M247" s="3411" t="s">
        <v>21</v>
      </c>
      <c r="N247" s="3414" t="s">
        <v>92</v>
      </c>
      <c r="O247" s="362"/>
      <c r="P247" s="362">
        <v>-1230552</v>
      </c>
    </row>
    <row r="248" spans="1:16" ht="12" hidden="1" customHeight="1">
      <c r="A248" s="3403"/>
      <c r="B248" s="1188" t="s">
        <v>22</v>
      </c>
      <c r="C248" s="3448" t="s">
        <v>180</v>
      </c>
      <c r="D248" s="1173">
        <f>+D249</f>
        <v>0</v>
      </c>
      <c r="E248" s="1173">
        <f t="shared" ref="E248:F248" si="147">+E249</f>
        <v>0</v>
      </c>
      <c r="F248" s="1173">
        <f t="shared" si="147"/>
        <v>0</v>
      </c>
      <c r="G248" s="1173"/>
      <c r="H248" s="1173"/>
      <c r="I248" s="1173"/>
      <c r="J248" s="1173"/>
      <c r="K248" s="1173"/>
      <c r="L248" s="1173">
        <f>+L249</f>
        <v>0</v>
      </c>
      <c r="M248" s="3412"/>
      <c r="N248" s="3416"/>
    </row>
    <row r="249" spans="1:16" ht="12" hidden="1" customHeight="1">
      <c r="A249" s="3403"/>
      <c r="B249" s="1198" t="s">
        <v>14</v>
      </c>
      <c r="C249" s="3383"/>
      <c r="D249" s="1113">
        <f>E249+L249+F249+G249+H249+I249+J249+K249</f>
        <v>0</v>
      </c>
      <c r="E249" s="1189"/>
      <c r="F249" s="1189"/>
      <c r="G249" s="1189"/>
      <c r="H249" s="1189"/>
      <c r="I249" s="1189"/>
      <c r="J249" s="1189"/>
      <c r="K249" s="1189"/>
      <c r="L249" s="1189"/>
      <c r="M249" s="3412"/>
      <c r="N249" s="3436"/>
    </row>
    <row r="250" spans="1:16" s="2737" customFormat="1" ht="13.5" customHeight="1" thickBot="1">
      <c r="A250" s="3403"/>
      <c r="B250" s="2614" t="s">
        <v>17</v>
      </c>
      <c r="C250" s="3383"/>
      <c r="D250" s="1190">
        <f>+D251</f>
        <v>15259758</v>
      </c>
      <c r="E250" s="1190">
        <f t="shared" ref="E250:F250" si="148">+E251</f>
        <v>1803921</v>
      </c>
      <c r="F250" s="1190">
        <f t="shared" si="148"/>
        <v>13455837</v>
      </c>
      <c r="G250" s="1190"/>
      <c r="H250" s="1190"/>
      <c r="I250" s="1190"/>
      <c r="J250" s="1190"/>
      <c r="K250" s="1190"/>
      <c r="L250" s="1190">
        <f>+L251</f>
        <v>0</v>
      </c>
      <c r="M250" s="3412"/>
      <c r="N250" s="3436"/>
    </row>
    <row r="251" spans="1:16" s="2737" customFormat="1" ht="13.5" thickBot="1">
      <c r="A251" s="3404"/>
      <c r="B251" s="738" t="s">
        <v>19</v>
      </c>
      <c r="C251" s="3449"/>
      <c r="D251" s="1679">
        <f>E251+L251+F251+G251+H251+I251+J251+K251</f>
        <v>15259758</v>
      </c>
      <c r="E251" s="372">
        <f>4671600-2206600-1105000+450500-6579</f>
        <v>1803921</v>
      </c>
      <c r="F251" s="372">
        <f>26472400-11172400+979758-450500+6579-1530000-850000</f>
        <v>13455837</v>
      </c>
      <c r="G251" s="372"/>
      <c r="H251" s="372"/>
      <c r="I251" s="372"/>
      <c r="J251" s="372"/>
      <c r="K251" s="372"/>
      <c r="L251" s="372">
        <v>0</v>
      </c>
      <c r="M251" s="3413"/>
      <c r="N251" s="3436"/>
    </row>
    <row r="252" spans="1:16" s="2737" customFormat="1" ht="24.75" customHeight="1" thickBot="1">
      <c r="A252" s="3402" t="s">
        <v>82</v>
      </c>
      <c r="B252" s="340" t="s">
        <v>491</v>
      </c>
      <c r="C252" s="48" t="s">
        <v>72</v>
      </c>
      <c r="D252" s="2245"/>
      <c r="E252" s="2221"/>
      <c r="F252" s="2221"/>
      <c r="G252" s="2221"/>
      <c r="H252" s="2221"/>
      <c r="I252" s="2221"/>
      <c r="J252" s="2221"/>
      <c r="K252" s="34"/>
      <c r="L252" s="2221"/>
      <c r="M252" s="36"/>
      <c r="N252" s="3446" t="s">
        <v>77</v>
      </c>
    </row>
    <row r="253" spans="1:16" s="2737" customFormat="1" ht="13.5" thickBot="1">
      <c r="A253" s="3403"/>
      <c r="B253" s="1768" t="s">
        <v>9</v>
      </c>
      <c r="C253" s="2951"/>
      <c r="D253" s="1205">
        <f>+D254+D257</f>
        <v>100250000</v>
      </c>
      <c r="E253" s="1205">
        <f t="shared" ref="E253" si="149">+E254+E257</f>
        <v>500918</v>
      </c>
      <c r="F253" s="1205">
        <f t="shared" ref="F253:H253" si="150">+F254+F257</f>
        <v>1000000</v>
      </c>
      <c r="G253" s="1205">
        <f t="shared" si="150"/>
        <v>45550000</v>
      </c>
      <c r="H253" s="1205">
        <f t="shared" si="150"/>
        <v>53199082</v>
      </c>
      <c r="I253" s="1205"/>
      <c r="J253" s="1205"/>
      <c r="K253" s="1205"/>
      <c r="L253" s="1205">
        <f>+L254+L257</f>
        <v>0</v>
      </c>
      <c r="M253" s="1215">
        <f>+M254+M257</f>
        <v>98749082</v>
      </c>
      <c r="N253" s="3446"/>
    </row>
    <row r="254" spans="1:16" s="2737" customFormat="1" ht="13.5" thickBot="1">
      <c r="A254" s="3403"/>
      <c r="B254" s="2294" t="s">
        <v>22</v>
      </c>
      <c r="C254" s="3408" t="s">
        <v>75</v>
      </c>
      <c r="D254" s="1206">
        <f t="shared" ref="D254:H254" si="151">+D255+D256</f>
        <v>15132500</v>
      </c>
      <c r="E254" s="1206">
        <f t="shared" si="151"/>
        <v>75138</v>
      </c>
      <c r="F254" s="1206">
        <f t="shared" si="151"/>
        <v>245000</v>
      </c>
      <c r="G254" s="1206">
        <f t="shared" si="151"/>
        <v>6832500</v>
      </c>
      <c r="H254" s="1206">
        <f t="shared" si="151"/>
        <v>7979862</v>
      </c>
      <c r="I254" s="1206"/>
      <c r="J254" s="1206"/>
      <c r="K254" s="1206"/>
      <c r="L254" s="1206">
        <f>+L255+L256</f>
        <v>0</v>
      </c>
      <c r="M254" s="2748">
        <f>+M255</f>
        <v>14812362</v>
      </c>
      <c r="N254" s="3446"/>
    </row>
    <row r="255" spans="1:16" s="2737" customFormat="1" ht="13.5" thickBot="1">
      <c r="A255" s="3403"/>
      <c r="B255" s="2295" t="s">
        <v>11</v>
      </c>
      <c r="C255" s="3409"/>
      <c r="D255" s="1113">
        <f>E255+L255+F255+G255+H255+I255+J255+K255</f>
        <v>15132500</v>
      </c>
      <c r="E255" s="1186">
        <f>88875-13737</f>
        <v>75138</v>
      </c>
      <c r="F255" s="1186">
        <f>7426660+13737-7195397</f>
        <v>245000</v>
      </c>
      <c r="G255" s="1186">
        <f>4654440+2178060</f>
        <v>6832500</v>
      </c>
      <c r="H255" s="1186">
        <v>7979862</v>
      </c>
      <c r="I255" s="1186"/>
      <c r="J255" s="1186"/>
      <c r="K255" s="1186"/>
      <c r="L255" s="1186">
        <v>0</v>
      </c>
      <c r="M255" s="1187">
        <f>SUM(G255:K255)</f>
        <v>14812362</v>
      </c>
      <c r="N255" s="3446"/>
    </row>
    <row r="256" spans="1:16" s="2737" customFormat="1" ht="13.5" hidden="1" thickBot="1">
      <c r="A256" s="3403"/>
      <c r="B256" s="2292" t="s">
        <v>14</v>
      </c>
      <c r="C256" s="3409"/>
      <c r="D256" s="1113">
        <f>E256+L256+F256+G256+H256+I256+J256+K256</f>
        <v>0</v>
      </c>
      <c r="E256" s="748">
        <v>0</v>
      </c>
      <c r="F256" s="748">
        <v>0</v>
      </c>
      <c r="G256" s="748"/>
      <c r="H256" s="748"/>
      <c r="I256" s="748"/>
      <c r="J256" s="748"/>
      <c r="K256" s="748"/>
      <c r="L256" s="748">
        <v>0</v>
      </c>
      <c r="M256" s="1187">
        <f>SUM(F256:K256)</f>
        <v>0</v>
      </c>
      <c r="N256" s="3446"/>
    </row>
    <row r="257" spans="1:14" s="2737" customFormat="1" ht="13.5" thickBot="1">
      <c r="A257" s="3403"/>
      <c r="B257" s="1808" t="s">
        <v>17</v>
      </c>
      <c r="C257" s="3409"/>
      <c r="D257" s="1173">
        <f>+D258</f>
        <v>85117500</v>
      </c>
      <c r="E257" s="1173">
        <f t="shared" ref="E257:H257" si="152">+E258</f>
        <v>425780</v>
      </c>
      <c r="F257" s="1173">
        <f t="shared" si="152"/>
        <v>755000</v>
      </c>
      <c r="G257" s="1173">
        <f t="shared" si="152"/>
        <v>38717500</v>
      </c>
      <c r="H257" s="1173">
        <f t="shared" si="152"/>
        <v>45219220</v>
      </c>
      <c r="I257" s="1173"/>
      <c r="J257" s="1173"/>
      <c r="K257" s="1173"/>
      <c r="L257" s="1173">
        <f>+L258</f>
        <v>0</v>
      </c>
      <c r="M257" s="1174">
        <f>+M258</f>
        <v>83936720</v>
      </c>
      <c r="N257" s="3446"/>
    </row>
    <row r="258" spans="1:14" s="2737" customFormat="1" ht="13.5" thickBot="1">
      <c r="A258" s="3403"/>
      <c r="B258" s="2296" t="s">
        <v>19</v>
      </c>
      <c r="C258" s="3410"/>
      <c r="D258" s="1113">
        <f>E258+L258+F258+G258+H258+I258+J258+K258</f>
        <v>85117500</v>
      </c>
      <c r="E258" s="1186">
        <f>503625-77845</f>
        <v>425780</v>
      </c>
      <c r="F258" s="1186">
        <f>41517740+77845-40840585</f>
        <v>755000</v>
      </c>
      <c r="G258" s="1186">
        <f>26375160+12342340</f>
        <v>38717500</v>
      </c>
      <c r="H258" s="1186">
        <v>45219220</v>
      </c>
      <c r="I258" s="1186"/>
      <c r="J258" s="1186"/>
      <c r="K258" s="1186"/>
      <c r="L258" s="1186">
        <v>0</v>
      </c>
      <c r="M258" s="1187">
        <f>SUM(G258:K258)</f>
        <v>83936720</v>
      </c>
      <c r="N258" s="3446"/>
    </row>
    <row r="259" spans="1:14" s="2737" customFormat="1" ht="13.5" thickBot="1">
      <c r="A259" s="3403"/>
      <c r="B259" s="1768" t="s">
        <v>20</v>
      </c>
      <c r="C259" s="475"/>
      <c r="D259" s="1170">
        <f>+D262+D260</f>
        <v>85117500</v>
      </c>
      <c r="E259" s="1170">
        <f t="shared" ref="E259" si="153">+E262+E260</f>
        <v>0</v>
      </c>
      <c r="F259" s="1170">
        <f t="shared" ref="F259:H259" si="154">+F262+F260</f>
        <v>1180780</v>
      </c>
      <c r="G259" s="1170">
        <f t="shared" si="154"/>
        <v>38717500</v>
      </c>
      <c r="H259" s="1170">
        <f t="shared" si="154"/>
        <v>45219220</v>
      </c>
      <c r="I259" s="1170"/>
      <c r="J259" s="1170"/>
      <c r="K259" s="1170"/>
      <c r="L259" s="1170">
        <f>+L262+L260</f>
        <v>0</v>
      </c>
      <c r="M259" s="3411" t="s">
        <v>21</v>
      </c>
      <c r="N259" s="3436" t="s">
        <v>92</v>
      </c>
    </row>
    <row r="260" spans="1:14" s="2737" customFormat="1" ht="13.5" hidden="1" customHeight="1" thickBot="1">
      <c r="A260" s="3403"/>
      <c r="B260" s="1177" t="s">
        <v>22</v>
      </c>
      <c r="C260" s="3448" t="s">
        <v>180</v>
      </c>
      <c r="D260" s="1173">
        <f>+D261</f>
        <v>0</v>
      </c>
      <c r="E260" s="1173">
        <f t="shared" ref="E260:F260" si="155">+E261</f>
        <v>0</v>
      </c>
      <c r="F260" s="1173">
        <f t="shared" si="155"/>
        <v>0</v>
      </c>
      <c r="G260" s="1173"/>
      <c r="H260" s="1173"/>
      <c r="I260" s="1173"/>
      <c r="J260" s="1173"/>
      <c r="K260" s="1173"/>
      <c r="L260" s="1173">
        <f>+L261</f>
        <v>0</v>
      </c>
      <c r="M260" s="3412"/>
      <c r="N260" s="3436"/>
    </row>
    <row r="261" spans="1:14" s="2737" customFormat="1" ht="13.5" hidden="1" customHeight="1" thickBot="1">
      <c r="A261" s="3403"/>
      <c r="B261" s="1198" t="s">
        <v>14</v>
      </c>
      <c r="C261" s="3383"/>
      <c r="D261" s="1113">
        <f>E261+L261+F261+G261+H261+I261+J261+K261</f>
        <v>0</v>
      </c>
      <c r="E261" s="1189"/>
      <c r="F261" s="1189"/>
      <c r="G261" s="1189"/>
      <c r="H261" s="1189"/>
      <c r="I261" s="1189"/>
      <c r="J261" s="1189"/>
      <c r="K261" s="1189"/>
      <c r="L261" s="1189"/>
      <c r="M261" s="3412"/>
      <c r="N261" s="3436"/>
    </row>
    <row r="262" spans="1:14" s="2737" customFormat="1">
      <c r="A262" s="3403"/>
      <c r="B262" s="2614" t="s">
        <v>17</v>
      </c>
      <c r="C262" s="3383"/>
      <c r="D262" s="1190">
        <f>+D263</f>
        <v>85117500</v>
      </c>
      <c r="E262" s="1190">
        <f t="shared" ref="E262:H262" si="156">+E263</f>
        <v>0</v>
      </c>
      <c r="F262" s="1190">
        <f t="shared" si="156"/>
        <v>1180780</v>
      </c>
      <c r="G262" s="1190">
        <f t="shared" si="156"/>
        <v>38717500</v>
      </c>
      <c r="H262" s="1190">
        <f t="shared" si="156"/>
        <v>45219220</v>
      </c>
      <c r="I262" s="1190"/>
      <c r="J262" s="1190"/>
      <c r="K262" s="1190"/>
      <c r="L262" s="1190">
        <f>+L263</f>
        <v>0</v>
      </c>
      <c r="M262" s="3412"/>
      <c r="N262" s="3443"/>
    </row>
    <row r="263" spans="1:14" s="2737" customFormat="1" ht="13.5" thickBot="1">
      <c r="A263" s="3404"/>
      <c r="B263" s="738" t="s">
        <v>19</v>
      </c>
      <c r="C263" s="3449"/>
      <c r="D263" s="1679">
        <f>E263+L263+F263+G263+H263+I263+J263+K263</f>
        <v>85117500</v>
      </c>
      <c r="E263" s="372"/>
      <c r="F263" s="372">
        <f>38021365-36840585</f>
        <v>1180780</v>
      </c>
      <c r="G263" s="372">
        <f>30375160+8342340</f>
        <v>38717500</v>
      </c>
      <c r="H263" s="372">
        <v>45219220</v>
      </c>
      <c r="I263" s="372"/>
      <c r="J263" s="372"/>
      <c r="K263" s="372"/>
      <c r="L263" s="372"/>
      <c r="M263" s="3413"/>
      <c r="N263" s="3416"/>
    </row>
    <row r="264" spans="1:14" s="2737" customFormat="1" ht="36">
      <c r="A264" s="3402" t="s">
        <v>83</v>
      </c>
      <c r="B264" s="340" t="s">
        <v>427</v>
      </c>
      <c r="C264" s="48" t="s">
        <v>72</v>
      </c>
      <c r="D264" s="2245"/>
      <c r="E264" s="2221"/>
      <c r="F264" s="2221"/>
      <c r="G264" s="2221"/>
      <c r="H264" s="2221"/>
      <c r="I264" s="2221"/>
      <c r="J264" s="2221"/>
      <c r="K264" s="34"/>
      <c r="L264" s="2221"/>
      <c r="M264" s="36"/>
      <c r="N264" s="3405" t="s">
        <v>77</v>
      </c>
    </row>
    <row r="265" spans="1:14" s="2737" customFormat="1">
      <c r="A265" s="3403"/>
      <c r="B265" s="1768" t="s">
        <v>9</v>
      </c>
      <c r="C265" s="2951"/>
      <c r="D265" s="1205">
        <f>+D266+D269</f>
        <v>40700000</v>
      </c>
      <c r="E265" s="1205">
        <f t="shared" ref="E265:H265" si="157">+E266+E269</f>
        <v>1363392</v>
      </c>
      <c r="F265" s="1205">
        <f t="shared" si="157"/>
        <v>4280014</v>
      </c>
      <c r="G265" s="1205">
        <f t="shared" si="157"/>
        <v>24500000</v>
      </c>
      <c r="H265" s="1205">
        <f t="shared" si="157"/>
        <v>10556594</v>
      </c>
      <c r="I265" s="1205"/>
      <c r="J265" s="1205"/>
      <c r="K265" s="1205"/>
      <c r="L265" s="1205">
        <f>+L266+L269</f>
        <v>0</v>
      </c>
      <c r="M265" s="1215">
        <f>+M266+M269</f>
        <v>35056594</v>
      </c>
      <c r="N265" s="3406"/>
    </row>
    <row r="266" spans="1:14" s="2737" customFormat="1">
      <c r="A266" s="3403"/>
      <c r="B266" s="2294" t="s">
        <v>22</v>
      </c>
      <c r="C266" s="3408" t="s">
        <v>75</v>
      </c>
      <c r="D266" s="1206">
        <f>+D267+D268</f>
        <v>6275110</v>
      </c>
      <c r="E266" s="1206">
        <f t="shared" ref="E266" si="158">+E267+E268</f>
        <v>221497</v>
      </c>
      <c r="F266" s="1206">
        <f>+F267+F268</f>
        <v>795019</v>
      </c>
      <c r="G266" s="1206">
        <f>+G267+G268</f>
        <v>3675105</v>
      </c>
      <c r="H266" s="1206">
        <f>+H267+H268</f>
        <v>1583489</v>
      </c>
      <c r="I266" s="1206"/>
      <c r="J266" s="1206"/>
      <c r="K266" s="1206"/>
      <c r="L266" s="1206">
        <f>+L267+L268</f>
        <v>0</v>
      </c>
      <c r="M266" s="2748">
        <f>+M267</f>
        <v>5258594</v>
      </c>
      <c r="N266" s="3406"/>
    </row>
    <row r="267" spans="1:14" s="2737" customFormat="1">
      <c r="A267" s="3403"/>
      <c r="B267" s="2295" t="s">
        <v>11</v>
      </c>
      <c r="C267" s="3409"/>
      <c r="D267" s="1113">
        <f>E267+L267+F267+G267+H267+I267+J267+K267</f>
        <v>6275110</v>
      </c>
      <c r="E267" s="1147">
        <f>144271+77226</f>
        <v>221497</v>
      </c>
      <c r="F267" s="1186">
        <f>495014+300005</f>
        <v>795019</v>
      </c>
      <c r="G267" s="1186">
        <f>3300000+675000-299895</f>
        <v>3675105</v>
      </c>
      <c r="H267" s="1186">
        <v>1583489</v>
      </c>
      <c r="I267" s="1186"/>
      <c r="J267" s="1186"/>
      <c r="K267" s="1186"/>
      <c r="L267" s="1186">
        <v>0</v>
      </c>
      <c r="M267" s="1187">
        <f>SUM(G267:K267)</f>
        <v>5258594</v>
      </c>
      <c r="N267" s="3406"/>
    </row>
    <row r="268" spans="1:14" s="2737" customFormat="1" hidden="1">
      <c r="A268" s="3403"/>
      <c r="B268" s="2292" t="s">
        <v>14</v>
      </c>
      <c r="C268" s="3409"/>
      <c r="D268" s="1113">
        <f>E268+L268+F268+G268+H268+I268+J268+K268</f>
        <v>0</v>
      </c>
      <c r="E268" s="2753">
        <v>0</v>
      </c>
      <c r="F268" s="748">
        <v>0</v>
      </c>
      <c r="G268" s="748"/>
      <c r="H268" s="748"/>
      <c r="I268" s="748"/>
      <c r="J268" s="748"/>
      <c r="K268" s="748"/>
      <c r="L268" s="748">
        <v>0</v>
      </c>
      <c r="M268" s="3214">
        <f>SUM(F268:K268)</f>
        <v>0</v>
      </c>
      <c r="N268" s="3406"/>
    </row>
    <row r="269" spans="1:14" s="2737" customFormat="1">
      <c r="A269" s="3403"/>
      <c r="B269" s="2614" t="s">
        <v>17</v>
      </c>
      <c r="C269" s="3409"/>
      <c r="D269" s="1173">
        <f>+D270</f>
        <v>34424890</v>
      </c>
      <c r="E269" s="1173">
        <f t="shared" ref="E269:H269" si="159">+E270</f>
        <v>1141895</v>
      </c>
      <c r="F269" s="1173">
        <f t="shared" si="159"/>
        <v>3484995</v>
      </c>
      <c r="G269" s="1173">
        <f t="shared" si="159"/>
        <v>20824895</v>
      </c>
      <c r="H269" s="1173">
        <f t="shared" si="159"/>
        <v>8973105</v>
      </c>
      <c r="I269" s="1173"/>
      <c r="J269" s="1173"/>
      <c r="K269" s="1173"/>
      <c r="L269" s="1173">
        <f>+L270</f>
        <v>0</v>
      </c>
      <c r="M269" s="2748">
        <f>+M270</f>
        <v>29798000</v>
      </c>
      <c r="N269" s="3406"/>
    </row>
    <row r="270" spans="1:14" s="2737" customFormat="1">
      <c r="A270" s="3403"/>
      <c r="B270" s="2296" t="s">
        <v>19</v>
      </c>
      <c r="C270" s="3410"/>
      <c r="D270" s="1113">
        <f>E270+L270+F270+G270+H270+I270+J270+K270</f>
        <v>34424890</v>
      </c>
      <c r="E270" s="1147">
        <f>730122+411773</f>
        <v>1141895</v>
      </c>
      <c r="F270" s="1186">
        <f>1785000+1699995</f>
        <v>3484995</v>
      </c>
      <c r="G270" s="1186">
        <f>18700000+3825000-1700105</f>
        <v>20824895</v>
      </c>
      <c r="H270" s="1186">
        <v>8973105</v>
      </c>
      <c r="I270" s="1186"/>
      <c r="J270" s="1186"/>
      <c r="K270" s="1186"/>
      <c r="L270" s="1186">
        <v>0</v>
      </c>
      <c r="M270" s="1187">
        <f>SUM(G270:K270)</f>
        <v>29798000</v>
      </c>
      <c r="N270" s="3407"/>
    </row>
    <row r="271" spans="1:14" s="2737" customFormat="1">
      <c r="A271" s="3403"/>
      <c r="B271" s="1768" t="s">
        <v>20</v>
      </c>
      <c r="C271" s="475"/>
      <c r="D271" s="1170">
        <f>+D274+D272</f>
        <v>34424890</v>
      </c>
      <c r="E271" s="1170">
        <f t="shared" ref="E271:H271" si="160">+E274+E272</f>
        <v>0</v>
      </c>
      <c r="F271" s="1170">
        <f t="shared" si="160"/>
        <v>0</v>
      </c>
      <c r="G271" s="1170">
        <f t="shared" si="160"/>
        <v>25451785</v>
      </c>
      <c r="H271" s="1170">
        <f t="shared" si="160"/>
        <v>8973105</v>
      </c>
      <c r="I271" s="1170"/>
      <c r="J271" s="1170"/>
      <c r="K271" s="1170"/>
      <c r="L271" s="1170">
        <f>+L274+L272</f>
        <v>0</v>
      </c>
      <c r="M271" s="3429" t="s">
        <v>21</v>
      </c>
      <c r="N271" s="3414" t="s">
        <v>92</v>
      </c>
    </row>
    <row r="272" spans="1:14" s="2737" customFormat="1" ht="12.75" hidden="1" customHeight="1">
      <c r="A272" s="3403"/>
      <c r="B272" s="1188" t="s">
        <v>22</v>
      </c>
      <c r="C272" s="3448" t="s">
        <v>180</v>
      </c>
      <c r="D272" s="1173">
        <f>+D273</f>
        <v>0</v>
      </c>
      <c r="E272" s="1173">
        <f t="shared" ref="E272:F272" si="161">+E273</f>
        <v>0</v>
      </c>
      <c r="F272" s="1173">
        <f t="shared" si="161"/>
        <v>0</v>
      </c>
      <c r="G272" s="1173"/>
      <c r="H272" s="1173"/>
      <c r="I272" s="1173"/>
      <c r="J272" s="1173"/>
      <c r="K272" s="1173"/>
      <c r="L272" s="1173">
        <f>+L273</f>
        <v>0</v>
      </c>
      <c r="M272" s="3427"/>
      <c r="N272" s="3415"/>
    </row>
    <row r="273" spans="1:14" s="2737" customFormat="1" ht="12.75" hidden="1" customHeight="1">
      <c r="A273" s="3403"/>
      <c r="B273" s="1198" t="s">
        <v>14</v>
      </c>
      <c r="C273" s="3383"/>
      <c r="D273" s="1113">
        <f>E273+L273+F273+G273+H273+I273+J273+K273</f>
        <v>0</v>
      </c>
      <c r="E273" s="1189"/>
      <c r="F273" s="1189"/>
      <c r="G273" s="1189"/>
      <c r="H273" s="1189"/>
      <c r="I273" s="1189"/>
      <c r="J273" s="1189"/>
      <c r="K273" s="1189"/>
      <c r="L273" s="1189"/>
      <c r="M273" s="3427"/>
      <c r="N273" s="3415"/>
    </row>
    <row r="274" spans="1:14" s="2737" customFormat="1">
      <c r="A274" s="3403"/>
      <c r="B274" s="2614" t="s">
        <v>17</v>
      </c>
      <c r="C274" s="3383"/>
      <c r="D274" s="1190">
        <f>+D275</f>
        <v>34424890</v>
      </c>
      <c r="E274" s="1190">
        <f t="shared" ref="E274:H274" si="162">+E275</f>
        <v>0</v>
      </c>
      <c r="F274" s="1190">
        <f t="shared" si="162"/>
        <v>0</v>
      </c>
      <c r="G274" s="1190">
        <f t="shared" si="162"/>
        <v>25451785</v>
      </c>
      <c r="H274" s="1190">
        <f t="shared" si="162"/>
        <v>8973105</v>
      </c>
      <c r="I274" s="1190"/>
      <c r="J274" s="1190"/>
      <c r="K274" s="1190"/>
      <c r="L274" s="1190">
        <f>+L275</f>
        <v>0</v>
      </c>
      <c r="M274" s="3427"/>
      <c r="N274" s="3415"/>
    </row>
    <row r="275" spans="1:14" s="2737" customFormat="1" ht="13.5" thickBot="1">
      <c r="A275" s="3404"/>
      <c r="B275" s="738" t="s">
        <v>19</v>
      </c>
      <c r="C275" s="3449"/>
      <c r="D275" s="1679">
        <f>E275+L275+F275+G275+H275+I275+J275+K275</f>
        <v>34424890</v>
      </c>
      <c r="E275" s="1679">
        <v>0</v>
      </c>
      <c r="F275" s="372">
        <f>1785000+1141895-2926895</f>
        <v>0</v>
      </c>
      <c r="G275" s="372">
        <f>18700000+3825000+2926895-110</f>
        <v>25451785</v>
      </c>
      <c r="H275" s="372">
        <v>8973105</v>
      </c>
      <c r="I275" s="372"/>
      <c r="J275" s="372"/>
      <c r="K275" s="372"/>
      <c r="L275" s="1679">
        <v>0</v>
      </c>
      <c r="M275" s="3428"/>
      <c r="N275" s="3416"/>
    </row>
    <row r="276" spans="1:14" s="2737" customFormat="1" ht="24">
      <c r="A276" s="3402" t="s">
        <v>84</v>
      </c>
      <c r="B276" s="340" t="s">
        <v>423</v>
      </c>
      <c r="C276" s="48" t="s">
        <v>72</v>
      </c>
      <c r="D276" s="2245"/>
      <c r="E276" s="2221"/>
      <c r="F276" s="2221"/>
      <c r="G276" s="2221"/>
      <c r="H276" s="2221"/>
      <c r="I276" s="2221"/>
      <c r="J276" s="2221"/>
      <c r="K276" s="34"/>
      <c r="L276" s="2221"/>
      <c r="M276" s="36"/>
      <c r="N276" s="3405" t="s">
        <v>77</v>
      </c>
    </row>
    <row r="277" spans="1:14" s="2737" customFormat="1">
      <c r="A277" s="3403"/>
      <c r="B277" s="1768" t="s">
        <v>9</v>
      </c>
      <c r="C277" s="2951"/>
      <c r="D277" s="1205">
        <f>+D278+D281</f>
        <v>17800000</v>
      </c>
      <c r="E277" s="1205">
        <f t="shared" ref="E277:G277" si="163">+E278+E281</f>
        <v>0</v>
      </c>
      <c r="F277" s="1205">
        <f t="shared" si="163"/>
        <v>2290650</v>
      </c>
      <c r="G277" s="1205">
        <f t="shared" si="163"/>
        <v>15509350</v>
      </c>
      <c r="H277" s="1205"/>
      <c r="I277" s="1205"/>
      <c r="J277" s="1205"/>
      <c r="K277" s="1205"/>
      <c r="L277" s="1205">
        <f>+L278+L281</f>
        <v>0</v>
      </c>
      <c r="M277" s="1215">
        <f>+M278+M281</f>
        <v>15509350</v>
      </c>
      <c r="N277" s="3406"/>
    </row>
    <row r="278" spans="1:14" s="2737" customFormat="1">
      <c r="A278" s="3403"/>
      <c r="B278" s="2294" t="s">
        <v>22</v>
      </c>
      <c r="C278" s="3408" t="s">
        <v>75</v>
      </c>
      <c r="D278" s="1206">
        <f>+D279+D280</f>
        <v>2755000</v>
      </c>
      <c r="E278" s="1206">
        <f t="shared" ref="E278" si="164">+E279+E280</f>
        <v>0</v>
      </c>
      <c r="F278" s="1206">
        <f>+F279+F280</f>
        <v>428598</v>
      </c>
      <c r="G278" s="1206">
        <f>+G279+G280</f>
        <v>2326402</v>
      </c>
      <c r="H278" s="1206"/>
      <c r="I278" s="1206"/>
      <c r="J278" s="1206"/>
      <c r="K278" s="1206"/>
      <c r="L278" s="1206">
        <f>+L279+L280</f>
        <v>0</v>
      </c>
      <c r="M278" s="2748">
        <f>+M279</f>
        <v>2326402</v>
      </c>
      <c r="N278" s="3406"/>
    </row>
    <row r="279" spans="1:14" s="2737" customFormat="1">
      <c r="A279" s="3403"/>
      <c r="B279" s="2295" t="s">
        <v>11</v>
      </c>
      <c r="C279" s="3409"/>
      <c r="D279" s="1113">
        <f>E279+L279+F279+G279+H279+I279+J279+K279</f>
        <v>2755000</v>
      </c>
      <c r="E279" s="1147"/>
      <c r="F279" s="1186">
        <v>428598</v>
      </c>
      <c r="G279" s="1186">
        <v>2326402</v>
      </c>
      <c r="H279" s="1186"/>
      <c r="I279" s="1186"/>
      <c r="J279" s="1186"/>
      <c r="K279" s="1186"/>
      <c r="L279" s="1186"/>
      <c r="M279" s="1187">
        <f>SUM(G279:K279)</f>
        <v>2326402</v>
      </c>
      <c r="N279" s="3406"/>
    </row>
    <row r="280" spans="1:14" s="2737" customFormat="1" hidden="1">
      <c r="A280" s="3403"/>
      <c r="B280" s="2292" t="s">
        <v>14</v>
      </c>
      <c r="C280" s="3409"/>
      <c r="D280" s="1113">
        <f>E280+L280+F280+G280+H280+I280+J280+K280</f>
        <v>0</v>
      </c>
      <c r="E280" s="2753">
        <v>0</v>
      </c>
      <c r="F280" s="748">
        <v>0</v>
      </c>
      <c r="G280" s="748"/>
      <c r="H280" s="748"/>
      <c r="I280" s="748"/>
      <c r="J280" s="748"/>
      <c r="K280" s="748"/>
      <c r="L280" s="748">
        <v>0</v>
      </c>
      <c r="M280" s="1187">
        <f>SUM(F280:K280)</f>
        <v>0</v>
      </c>
      <c r="N280" s="3406"/>
    </row>
    <row r="281" spans="1:14" s="2737" customFormat="1">
      <c r="A281" s="3403"/>
      <c r="B281" s="1808" t="s">
        <v>17</v>
      </c>
      <c r="C281" s="3409"/>
      <c r="D281" s="1173">
        <f>+D282</f>
        <v>15045000</v>
      </c>
      <c r="E281" s="1173">
        <f t="shared" ref="E281:G281" si="165">+E282</f>
        <v>0</v>
      </c>
      <c r="F281" s="1173">
        <f t="shared" si="165"/>
        <v>1862052</v>
      </c>
      <c r="G281" s="1173">
        <f t="shared" si="165"/>
        <v>13182948</v>
      </c>
      <c r="H281" s="1173"/>
      <c r="I281" s="1173"/>
      <c r="J281" s="1173"/>
      <c r="K281" s="1173"/>
      <c r="L281" s="1173">
        <f>+L282</f>
        <v>0</v>
      </c>
      <c r="M281" s="1174">
        <f>+M282</f>
        <v>13182948</v>
      </c>
      <c r="N281" s="3406"/>
    </row>
    <row r="282" spans="1:14" s="2737" customFormat="1">
      <c r="A282" s="3403"/>
      <c r="B282" s="2296" t="s">
        <v>19</v>
      </c>
      <c r="C282" s="3410"/>
      <c r="D282" s="1113">
        <f>E282+L282+F282+G282+H282+I282+J282+K282</f>
        <v>15045000</v>
      </c>
      <c r="E282" s="1147"/>
      <c r="F282" s="1186">
        <v>1862052</v>
      </c>
      <c r="G282" s="1186">
        <v>13182948</v>
      </c>
      <c r="H282" s="1186"/>
      <c r="I282" s="1186"/>
      <c r="J282" s="1186"/>
      <c r="K282" s="1186"/>
      <c r="L282" s="1186"/>
      <c r="M282" s="1187">
        <f>SUM(G282:K282)</f>
        <v>13182948</v>
      </c>
      <c r="N282" s="3407"/>
    </row>
    <row r="283" spans="1:14" s="2737" customFormat="1">
      <c r="A283" s="3403"/>
      <c r="B283" s="1768" t="s">
        <v>20</v>
      </c>
      <c r="C283" s="475"/>
      <c r="D283" s="1170">
        <f>+D286+D284</f>
        <v>15045000</v>
      </c>
      <c r="E283" s="1170">
        <f t="shared" ref="E283:G283" si="166">+E286+E284</f>
        <v>0</v>
      </c>
      <c r="F283" s="1170">
        <f t="shared" si="166"/>
        <v>0</v>
      </c>
      <c r="G283" s="1170">
        <f t="shared" si="166"/>
        <v>15045000</v>
      </c>
      <c r="H283" s="1170"/>
      <c r="I283" s="1170"/>
      <c r="J283" s="1170"/>
      <c r="K283" s="1170"/>
      <c r="L283" s="1170">
        <f>+L286+L284</f>
        <v>0</v>
      </c>
      <c r="M283" s="3411" t="s">
        <v>21</v>
      </c>
      <c r="N283" s="3414" t="s">
        <v>92</v>
      </c>
    </row>
    <row r="284" spans="1:14" s="2737" customFormat="1" ht="12.75" hidden="1" customHeight="1">
      <c r="A284" s="3403"/>
      <c r="B284" s="1177" t="s">
        <v>22</v>
      </c>
      <c r="C284" s="3448" t="s">
        <v>180</v>
      </c>
      <c r="D284" s="1173">
        <f>+D285</f>
        <v>0</v>
      </c>
      <c r="E284" s="1173">
        <f t="shared" ref="E284:G284" si="167">+E285</f>
        <v>0</v>
      </c>
      <c r="F284" s="1173">
        <f t="shared" si="167"/>
        <v>0</v>
      </c>
      <c r="G284" s="1173">
        <f t="shared" si="167"/>
        <v>0</v>
      </c>
      <c r="H284" s="1173"/>
      <c r="I284" s="1173"/>
      <c r="J284" s="1173"/>
      <c r="K284" s="1173"/>
      <c r="L284" s="1173">
        <f>+L285</f>
        <v>0</v>
      </c>
      <c r="M284" s="3412"/>
      <c r="N284" s="3415"/>
    </row>
    <row r="285" spans="1:14" s="2737" customFormat="1" ht="12.75" hidden="1" customHeight="1">
      <c r="A285" s="3403"/>
      <c r="B285" s="1198" t="s">
        <v>14</v>
      </c>
      <c r="C285" s="3383"/>
      <c r="D285" s="1113">
        <f>E285+L285+F285+G285+H285+I285+J285+K285</f>
        <v>0</v>
      </c>
      <c r="E285" s="1189"/>
      <c r="F285" s="1189"/>
      <c r="G285" s="1189"/>
      <c r="H285" s="1189"/>
      <c r="I285" s="1189"/>
      <c r="J285" s="1189"/>
      <c r="K285" s="1189"/>
      <c r="L285" s="1189"/>
      <c r="M285" s="3412"/>
      <c r="N285" s="3415"/>
    </row>
    <row r="286" spans="1:14" s="2737" customFormat="1">
      <c r="A286" s="3403"/>
      <c r="B286" s="2614" t="s">
        <v>17</v>
      </c>
      <c r="C286" s="3383"/>
      <c r="D286" s="1190">
        <f>+D287</f>
        <v>15045000</v>
      </c>
      <c r="E286" s="1190">
        <f t="shared" ref="E286:G286" si="168">+E287</f>
        <v>0</v>
      </c>
      <c r="F286" s="1190">
        <f t="shared" si="168"/>
        <v>0</v>
      </c>
      <c r="G286" s="1190">
        <f t="shared" si="168"/>
        <v>15045000</v>
      </c>
      <c r="H286" s="1190"/>
      <c r="I286" s="1190"/>
      <c r="J286" s="1190"/>
      <c r="K286" s="1190"/>
      <c r="L286" s="1190">
        <f>+L287</f>
        <v>0</v>
      </c>
      <c r="M286" s="3412"/>
      <c r="N286" s="3415"/>
    </row>
    <row r="287" spans="1:14" s="2737" customFormat="1" ht="13.5" thickBot="1">
      <c r="A287" s="3404"/>
      <c r="B287" s="738" t="s">
        <v>19</v>
      </c>
      <c r="C287" s="3449"/>
      <c r="D287" s="1679">
        <f>E287+L287+F287+G287+H287+I287+J287+K287</f>
        <v>15045000</v>
      </c>
      <c r="E287" s="1679">
        <v>0</v>
      </c>
      <c r="F287" s="372">
        <f>1862052-1862052</f>
        <v>0</v>
      </c>
      <c r="G287" s="372">
        <f>13182948+1862052</f>
        <v>15045000</v>
      </c>
      <c r="H287" s="372"/>
      <c r="I287" s="372"/>
      <c r="J287" s="372"/>
      <c r="K287" s="372"/>
      <c r="L287" s="1679">
        <v>0</v>
      </c>
      <c r="M287" s="3413"/>
      <c r="N287" s="3416"/>
    </row>
    <row r="288" spans="1:14" s="2737" customFormat="1" ht="24">
      <c r="A288" s="3402" t="s">
        <v>85</v>
      </c>
      <c r="B288" s="340" t="s">
        <v>536</v>
      </c>
      <c r="C288" s="48" t="s">
        <v>72</v>
      </c>
      <c r="D288" s="2245"/>
      <c r="E288" s="2221"/>
      <c r="F288" s="2221"/>
      <c r="G288" s="2221"/>
      <c r="H288" s="2221"/>
      <c r="I288" s="2221"/>
      <c r="J288" s="2221"/>
      <c r="K288" s="34"/>
      <c r="L288" s="2221"/>
      <c r="M288" s="36"/>
      <c r="N288" s="3405" t="s">
        <v>77</v>
      </c>
    </row>
    <row r="289" spans="1:14" s="2737" customFormat="1">
      <c r="A289" s="3403"/>
      <c r="B289" s="375" t="s">
        <v>9</v>
      </c>
      <c r="C289" s="2293"/>
      <c r="D289" s="1205">
        <f>+D290+D293</f>
        <v>55000000</v>
      </c>
      <c r="E289" s="1205">
        <f t="shared" ref="E289:G289" si="169">+E290+E293</f>
        <v>0</v>
      </c>
      <c r="F289" s="1205">
        <f t="shared" si="169"/>
        <v>0</v>
      </c>
      <c r="G289" s="1205">
        <f t="shared" si="169"/>
        <v>7000000</v>
      </c>
      <c r="H289" s="1205">
        <f t="shared" ref="H289:I289" si="170">+H290+H293</f>
        <v>31000000</v>
      </c>
      <c r="I289" s="1205">
        <f t="shared" si="170"/>
        <v>17000000</v>
      </c>
      <c r="J289" s="1205"/>
      <c r="K289" s="1205"/>
      <c r="L289" s="1205">
        <f>+L290+L293</f>
        <v>0</v>
      </c>
      <c r="M289" s="1215">
        <f>+M290+M293</f>
        <v>55000000</v>
      </c>
      <c r="N289" s="3406"/>
    </row>
    <row r="290" spans="1:14" s="2737" customFormat="1">
      <c r="A290" s="3403"/>
      <c r="B290" s="498" t="s">
        <v>22</v>
      </c>
      <c r="C290" s="3408" t="s">
        <v>75</v>
      </c>
      <c r="D290" s="1206">
        <f>+D291+D292</f>
        <v>8250000</v>
      </c>
      <c r="E290" s="1206">
        <f t="shared" ref="E290" si="171">+E291+E292</f>
        <v>0</v>
      </c>
      <c r="F290" s="1206">
        <f>+F291+F292</f>
        <v>0</v>
      </c>
      <c r="G290" s="1206">
        <f>+G291+G292</f>
        <v>1050000</v>
      </c>
      <c r="H290" s="1206">
        <f>+H291+H292</f>
        <v>4650000</v>
      </c>
      <c r="I290" s="1206">
        <f>+I291+I292</f>
        <v>2550000</v>
      </c>
      <c r="J290" s="1206"/>
      <c r="K290" s="1206"/>
      <c r="L290" s="1206">
        <f>+L291+L292</f>
        <v>0</v>
      </c>
      <c r="M290" s="2748">
        <f>+M291</f>
        <v>8250000</v>
      </c>
      <c r="N290" s="3406"/>
    </row>
    <row r="291" spans="1:14" s="2737" customFormat="1">
      <c r="A291" s="3403"/>
      <c r="B291" s="549" t="s">
        <v>11</v>
      </c>
      <c r="C291" s="3409"/>
      <c r="D291" s="1113">
        <f>E291+L291+F291+G291+H291+I291+J291+K291</f>
        <v>8250000</v>
      </c>
      <c r="E291" s="1147"/>
      <c r="F291" s="1186"/>
      <c r="G291" s="1186">
        <v>1050000</v>
      </c>
      <c r="H291" s="1186">
        <v>4650000</v>
      </c>
      <c r="I291" s="1186">
        <v>2550000</v>
      </c>
      <c r="J291" s="1186"/>
      <c r="K291" s="1186"/>
      <c r="L291" s="1186"/>
      <c r="M291" s="2733">
        <f>SUM(G291:K291)</f>
        <v>8250000</v>
      </c>
      <c r="N291" s="3406"/>
    </row>
    <row r="292" spans="1:14" s="2737" customFormat="1" hidden="1">
      <c r="A292" s="3403"/>
      <c r="B292" s="2292" t="s">
        <v>14</v>
      </c>
      <c r="C292" s="3409"/>
      <c r="D292" s="1113">
        <f>E292+L292+F292+G292+H292+I292+J292+K292</f>
        <v>0</v>
      </c>
      <c r="E292" s="2753">
        <v>0</v>
      </c>
      <c r="F292" s="748">
        <v>0</v>
      </c>
      <c r="G292" s="748"/>
      <c r="H292" s="748"/>
      <c r="I292" s="748"/>
      <c r="J292" s="748"/>
      <c r="K292" s="748"/>
      <c r="L292" s="748">
        <v>0</v>
      </c>
      <c r="M292" s="1187">
        <f>SUM(F292:K292)</f>
        <v>0</v>
      </c>
      <c r="N292" s="3406"/>
    </row>
    <row r="293" spans="1:14" s="2737" customFormat="1">
      <c r="A293" s="3403"/>
      <c r="B293" s="735" t="s">
        <v>17</v>
      </c>
      <c r="C293" s="3409"/>
      <c r="D293" s="1173">
        <f>+D294</f>
        <v>46750000</v>
      </c>
      <c r="E293" s="1173">
        <f t="shared" ref="E293:I293" si="172">+E294</f>
        <v>0</v>
      </c>
      <c r="F293" s="1173">
        <f t="shared" si="172"/>
        <v>0</v>
      </c>
      <c r="G293" s="1173">
        <f t="shared" si="172"/>
        <v>5950000</v>
      </c>
      <c r="H293" s="1173">
        <f t="shared" si="172"/>
        <v>26350000</v>
      </c>
      <c r="I293" s="1173">
        <f t="shared" si="172"/>
        <v>14450000</v>
      </c>
      <c r="J293" s="1173"/>
      <c r="K293" s="1173"/>
      <c r="L293" s="1173">
        <f>+L294</f>
        <v>0</v>
      </c>
      <c r="M293" s="1174">
        <f>+M294</f>
        <v>46750000</v>
      </c>
      <c r="N293" s="3406"/>
    </row>
    <row r="294" spans="1:14" s="2737" customFormat="1">
      <c r="A294" s="3403"/>
      <c r="B294" s="2296" t="s">
        <v>19</v>
      </c>
      <c r="C294" s="3410"/>
      <c r="D294" s="1113">
        <f>E294+L294+F294+G294+H294+I294+J294+K294</f>
        <v>46750000</v>
      </c>
      <c r="E294" s="1147"/>
      <c r="F294" s="1186"/>
      <c r="G294" s="1186">
        <v>5950000</v>
      </c>
      <c r="H294" s="1186">
        <v>26350000</v>
      </c>
      <c r="I294" s="1186">
        <v>14450000</v>
      </c>
      <c r="J294" s="1186"/>
      <c r="K294" s="1186"/>
      <c r="L294" s="1186"/>
      <c r="M294" s="2733">
        <f>SUM(G294:K294)</f>
        <v>46750000</v>
      </c>
      <c r="N294" s="3407"/>
    </row>
    <row r="295" spans="1:14" s="2737" customFormat="1">
      <c r="A295" s="3403"/>
      <c r="B295" s="375" t="s">
        <v>20</v>
      </c>
      <c r="C295" s="2675"/>
      <c r="D295" s="1170">
        <f>+D298+D296</f>
        <v>46750000</v>
      </c>
      <c r="E295" s="1170">
        <f t="shared" ref="E295:I295" si="173">+E298+E296</f>
        <v>0</v>
      </c>
      <c r="F295" s="1170">
        <f t="shared" si="173"/>
        <v>0</v>
      </c>
      <c r="G295" s="1170">
        <f t="shared" si="173"/>
        <v>2950000</v>
      </c>
      <c r="H295" s="1170">
        <f t="shared" si="173"/>
        <v>16350000</v>
      </c>
      <c r="I295" s="1170">
        <f t="shared" si="173"/>
        <v>27450000</v>
      </c>
      <c r="J295" s="1170"/>
      <c r="K295" s="1170"/>
      <c r="L295" s="1170">
        <f>+L298+L296</f>
        <v>0</v>
      </c>
      <c r="M295" s="3411" t="s">
        <v>21</v>
      </c>
      <c r="N295" s="3414" t="s">
        <v>92</v>
      </c>
    </row>
    <row r="296" spans="1:14" s="2737" customFormat="1" ht="12.75" hidden="1" customHeight="1">
      <c r="A296" s="3403"/>
      <c r="B296" s="1177" t="s">
        <v>22</v>
      </c>
      <c r="C296" s="3408" t="s">
        <v>180</v>
      </c>
      <c r="D296" s="1173">
        <f>+D297</f>
        <v>0</v>
      </c>
      <c r="E296" s="1173">
        <f t="shared" ref="E296:G296" si="174">+E297</f>
        <v>0</v>
      </c>
      <c r="F296" s="1173">
        <f t="shared" si="174"/>
        <v>0</v>
      </c>
      <c r="G296" s="1173">
        <f t="shared" si="174"/>
        <v>0</v>
      </c>
      <c r="H296" s="1173"/>
      <c r="I296" s="1173"/>
      <c r="J296" s="1173"/>
      <c r="K296" s="1173"/>
      <c r="L296" s="1173">
        <f>+L297</f>
        <v>0</v>
      </c>
      <c r="M296" s="3412"/>
      <c r="N296" s="3415"/>
    </row>
    <row r="297" spans="1:14" s="2737" customFormat="1" ht="12.75" hidden="1" customHeight="1">
      <c r="A297" s="3403"/>
      <c r="B297" s="1198" t="s">
        <v>14</v>
      </c>
      <c r="C297" s="3409"/>
      <c r="D297" s="1113">
        <f>E297+L297+F297+G297+H297+I297+J297+K297</f>
        <v>0</v>
      </c>
      <c r="E297" s="1189"/>
      <c r="F297" s="1189"/>
      <c r="G297" s="1189"/>
      <c r="H297" s="1189"/>
      <c r="I297" s="1189"/>
      <c r="J297" s="1189"/>
      <c r="K297" s="1189"/>
      <c r="L297" s="1189"/>
      <c r="M297" s="3412"/>
      <c r="N297" s="3415"/>
    </row>
    <row r="298" spans="1:14" s="2737" customFormat="1">
      <c r="A298" s="3403"/>
      <c r="B298" s="500" t="s">
        <v>17</v>
      </c>
      <c r="C298" s="3409"/>
      <c r="D298" s="1190">
        <f>+D299</f>
        <v>46750000</v>
      </c>
      <c r="E298" s="1190">
        <f t="shared" ref="E298:I298" si="175">+E299</f>
        <v>0</v>
      </c>
      <c r="F298" s="1190">
        <f t="shared" si="175"/>
        <v>0</v>
      </c>
      <c r="G298" s="1190">
        <f t="shared" si="175"/>
        <v>2950000</v>
      </c>
      <c r="H298" s="1190">
        <f t="shared" si="175"/>
        <v>16350000</v>
      </c>
      <c r="I298" s="1190">
        <f t="shared" si="175"/>
        <v>27450000</v>
      </c>
      <c r="J298" s="1190"/>
      <c r="K298" s="1190"/>
      <c r="L298" s="1190">
        <f>+L299</f>
        <v>0</v>
      </c>
      <c r="M298" s="3412"/>
      <c r="N298" s="3415"/>
    </row>
    <row r="299" spans="1:14" s="2737" customFormat="1" ht="13.5" thickBot="1">
      <c r="A299" s="3404"/>
      <c r="B299" s="738" t="s">
        <v>19</v>
      </c>
      <c r="C299" s="3417"/>
      <c r="D299" s="1257">
        <f>E299+L299+F299+G299+H299+I299+J299+K299</f>
        <v>46750000</v>
      </c>
      <c r="E299" s="1257">
        <v>0</v>
      </c>
      <c r="F299" s="372">
        <f>1862052-1862052</f>
        <v>0</v>
      </c>
      <c r="G299" s="372">
        <v>2950000</v>
      </c>
      <c r="H299" s="372">
        <v>16350000</v>
      </c>
      <c r="I299" s="372">
        <v>27450000</v>
      </c>
      <c r="J299" s="372"/>
      <c r="K299" s="372"/>
      <c r="L299" s="1257">
        <v>0</v>
      </c>
      <c r="M299" s="3413"/>
      <c r="N299" s="3416"/>
    </row>
    <row r="300" spans="1:14" s="2737" customFormat="1" ht="24">
      <c r="A300" s="3402" t="s">
        <v>86</v>
      </c>
      <c r="B300" s="340" t="s">
        <v>537</v>
      </c>
      <c r="C300" s="48" t="s">
        <v>72</v>
      </c>
      <c r="D300" s="2245"/>
      <c r="E300" s="2221"/>
      <c r="F300" s="2221"/>
      <c r="G300" s="2221"/>
      <c r="H300" s="2221"/>
      <c r="I300" s="2221"/>
      <c r="J300" s="2221"/>
      <c r="K300" s="34"/>
      <c r="L300" s="2221"/>
      <c r="M300" s="36"/>
      <c r="N300" s="3405" t="s">
        <v>77</v>
      </c>
    </row>
    <row r="301" spans="1:14" s="2737" customFormat="1">
      <c r="A301" s="3403"/>
      <c r="B301" s="375" t="s">
        <v>9</v>
      </c>
      <c r="C301" s="2293"/>
      <c r="D301" s="1205">
        <f>+D302+D305</f>
        <v>25000000</v>
      </c>
      <c r="E301" s="1205">
        <f t="shared" ref="E301:I301" si="176">+E302+E305</f>
        <v>0</v>
      </c>
      <c r="F301" s="1205">
        <f t="shared" si="176"/>
        <v>0</v>
      </c>
      <c r="G301" s="1205">
        <f>+G302+G305</f>
        <v>6000000</v>
      </c>
      <c r="H301" s="1205">
        <f t="shared" si="176"/>
        <v>19000000</v>
      </c>
      <c r="I301" s="1205">
        <f t="shared" si="176"/>
        <v>0</v>
      </c>
      <c r="J301" s="1205"/>
      <c r="K301" s="1205"/>
      <c r="L301" s="1205">
        <f>+L302+L305</f>
        <v>0</v>
      </c>
      <c r="M301" s="1215">
        <f>+M302+M305</f>
        <v>25000000</v>
      </c>
      <c r="N301" s="3406"/>
    </row>
    <row r="302" spans="1:14" s="2737" customFormat="1">
      <c r="A302" s="3403"/>
      <c r="B302" s="498" t="s">
        <v>22</v>
      </c>
      <c r="C302" s="3408" t="s">
        <v>75</v>
      </c>
      <c r="D302" s="1206">
        <f>+D303+D304</f>
        <v>3750000</v>
      </c>
      <c r="E302" s="1206">
        <f t="shared" ref="E302" si="177">+E303+E304</f>
        <v>0</v>
      </c>
      <c r="F302" s="1206">
        <f>+F303+F304</f>
        <v>0</v>
      </c>
      <c r="G302" s="1206">
        <f>+G303+G304</f>
        <v>900000</v>
      </c>
      <c r="H302" s="1206">
        <f>+H303+H304</f>
        <v>2850000</v>
      </c>
      <c r="I302" s="1206">
        <f>+I303+I304</f>
        <v>0</v>
      </c>
      <c r="J302" s="1206"/>
      <c r="K302" s="1206"/>
      <c r="L302" s="1206">
        <f>+L303+L304</f>
        <v>0</v>
      </c>
      <c r="M302" s="2748">
        <f>+M303</f>
        <v>3750000</v>
      </c>
      <c r="N302" s="3406"/>
    </row>
    <row r="303" spans="1:14" s="2737" customFormat="1">
      <c r="A303" s="3403"/>
      <c r="B303" s="549" t="s">
        <v>11</v>
      </c>
      <c r="C303" s="3409"/>
      <c r="D303" s="1113">
        <f>E303+L303+F303+G303+H303+I303+J303+K303</f>
        <v>3750000</v>
      </c>
      <c r="E303" s="1147"/>
      <c r="F303" s="1186"/>
      <c r="G303" s="1186">
        <v>900000</v>
      </c>
      <c r="H303" s="1186">
        <v>2850000</v>
      </c>
      <c r="I303" s="1186">
        <v>0</v>
      </c>
      <c r="J303" s="1186"/>
      <c r="K303" s="1186"/>
      <c r="L303" s="1186"/>
      <c r="M303" s="2733">
        <f>SUM(G303:K303)</f>
        <v>3750000</v>
      </c>
      <c r="N303" s="3406"/>
    </row>
    <row r="304" spans="1:14" s="2737" customFormat="1" hidden="1">
      <c r="A304" s="3403"/>
      <c r="B304" s="2292" t="s">
        <v>14</v>
      </c>
      <c r="C304" s="3409"/>
      <c r="D304" s="1113">
        <f>E304+L304+F304+G304+H304+I304+J304+K304</f>
        <v>0</v>
      </c>
      <c r="E304" s="2753">
        <v>0</v>
      </c>
      <c r="F304" s="748">
        <v>0</v>
      </c>
      <c r="G304" s="748"/>
      <c r="H304" s="748"/>
      <c r="I304" s="748"/>
      <c r="J304" s="748"/>
      <c r="K304" s="748"/>
      <c r="L304" s="748">
        <v>0</v>
      </c>
      <c r="M304" s="1187">
        <f>SUM(F304:K304)</f>
        <v>0</v>
      </c>
      <c r="N304" s="3406"/>
    </row>
    <row r="305" spans="1:15" s="2737" customFormat="1">
      <c r="A305" s="3403"/>
      <c r="B305" s="735" t="s">
        <v>17</v>
      </c>
      <c r="C305" s="3409"/>
      <c r="D305" s="1173">
        <f>+D306</f>
        <v>21250000</v>
      </c>
      <c r="E305" s="1173">
        <f t="shared" ref="E305:I305" si="178">+E306</f>
        <v>0</v>
      </c>
      <c r="F305" s="1173">
        <f t="shared" si="178"/>
        <v>0</v>
      </c>
      <c r="G305" s="1173">
        <f t="shared" si="178"/>
        <v>5100000</v>
      </c>
      <c r="H305" s="1173">
        <f t="shared" si="178"/>
        <v>16150000</v>
      </c>
      <c r="I305" s="1173">
        <f t="shared" si="178"/>
        <v>0</v>
      </c>
      <c r="J305" s="1173"/>
      <c r="K305" s="1173"/>
      <c r="L305" s="1173">
        <f>+L306</f>
        <v>0</v>
      </c>
      <c r="M305" s="1174">
        <f>+M306</f>
        <v>21250000</v>
      </c>
      <c r="N305" s="3406"/>
    </row>
    <row r="306" spans="1:15" s="2737" customFormat="1">
      <c r="A306" s="3403"/>
      <c r="B306" s="2296" t="s">
        <v>19</v>
      </c>
      <c r="C306" s="3410"/>
      <c r="D306" s="1113">
        <f>E306+L306+F306+G306+H306+I306+J306+K306</f>
        <v>21250000</v>
      </c>
      <c r="E306" s="1147"/>
      <c r="F306" s="1186"/>
      <c r="G306" s="1186">
        <v>5100000</v>
      </c>
      <c r="H306" s="1186">
        <v>16150000</v>
      </c>
      <c r="I306" s="1186">
        <v>0</v>
      </c>
      <c r="J306" s="1186"/>
      <c r="K306" s="1186"/>
      <c r="L306" s="1186"/>
      <c r="M306" s="2733">
        <f>SUM(G306:K306)</f>
        <v>21250000</v>
      </c>
      <c r="N306" s="3407"/>
    </row>
    <row r="307" spans="1:15" s="2737" customFormat="1">
      <c r="A307" s="3403"/>
      <c r="B307" s="375" t="s">
        <v>20</v>
      </c>
      <c r="C307" s="2675"/>
      <c r="D307" s="1170">
        <f>+D310+D308</f>
        <v>21250000</v>
      </c>
      <c r="E307" s="1170">
        <f t="shared" ref="E307:I307" si="179">+E310+E308</f>
        <v>0</v>
      </c>
      <c r="F307" s="1170">
        <f t="shared" si="179"/>
        <v>0</v>
      </c>
      <c r="G307" s="1170">
        <f t="shared" si="179"/>
        <v>3500000</v>
      </c>
      <c r="H307" s="1170">
        <f t="shared" si="179"/>
        <v>11250000</v>
      </c>
      <c r="I307" s="1170">
        <f t="shared" si="179"/>
        <v>6500000</v>
      </c>
      <c r="J307" s="1170"/>
      <c r="K307" s="1170"/>
      <c r="L307" s="1170">
        <f>+L310+L308</f>
        <v>0</v>
      </c>
      <c r="M307" s="3411" t="s">
        <v>21</v>
      </c>
      <c r="N307" s="3414" t="s">
        <v>92</v>
      </c>
    </row>
    <row r="308" spans="1:15" s="2737" customFormat="1" ht="12.75" hidden="1" customHeight="1">
      <c r="A308" s="3403"/>
      <c r="B308" s="1177" t="s">
        <v>22</v>
      </c>
      <c r="C308" s="3408" t="s">
        <v>180</v>
      </c>
      <c r="D308" s="1173">
        <f>+D309</f>
        <v>0</v>
      </c>
      <c r="E308" s="1173">
        <f t="shared" ref="E308:G308" si="180">+E309</f>
        <v>0</v>
      </c>
      <c r="F308" s="1173">
        <f t="shared" si="180"/>
        <v>0</v>
      </c>
      <c r="G308" s="1173">
        <f t="shared" si="180"/>
        <v>0</v>
      </c>
      <c r="H308" s="1173"/>
      <c r="I308" s="1173"/>
      <c r="J308" s="1173"/>
      <c r="K308" s="1173"/>
      <c r="L308" s="1173">
        <f>+L309</f>
        <v>0</v>
      </c>
      <c r="M308" s="3412"/>
      <c r="N308" s="3415"/>
    </row>
    <row r="309" spans="1:15" s="2737" customFormat="1" ht="12.75" hidden="1" customHeight="1">
      <c r="A309" s="3403"/>
      <c r="B309" s="1198" t="s">
        <v>14</v>
      </c>
      <c r="C309" s="3409"/>
      <c r="D309" s="1113">
        <f>E309+L309+F309+G309+H309+I309+J309+K309</f>
        <v>0</v>
      </c>
      <c r="E309" s="1189"/>
      <c r="F309" s="1189"/>
      <c r="G309" s="1189"/>
      <c r="H309" s="1189"/>
      <c r="I309" s="1189"/>
      <c r="J309" s="1189"/>
      <c r="K309" s="1189"/>
      <c r="L309" s="1189"/>
      <c r="M309" s="3412"/>
      <c r="N309" s="3415"/>
    </row>
    <row r="310" spans="1:15" s="2737" customFormat="1">
      <c r="A310" s="3403"/>
      <c r="B310" s="500" t="s">
        <v>17</v>
      </c>
      <c r="C310" s="3409"/>
      <c r="D310" s="1190">
        <f>+D311</f>
        <v>21250000</v>
      </c>
      <c r="E310" s="1190">
        <f t="shared" ref="E310:I310" si="181">+E311</f>
        <v>0</v>
      </c>
      <c r="F310" s="1190">
        <f t="shared" si="181"/>
        <v>0</v>
      </c>
      <c r="G310" s="1190">
        <f t="shared" si="181"/>
        <v>3500000</v>
      </c>
      <c r="H310" s="1190">
        <f t="shared" si="181"/>
        <v>11250000</v>
      </c>
      <c r="I310" s="1190">
        <f t="shared" si="181"/>
        <v>6500000</v>
      </c>
      <c r="J310" s="1190"/>
      <c r="K310" s="1190"/>
      <c r="L310" s="1190">
        <f>+L311</f>
        <v>0</v>
      </c>
      <c r="M310" s="3412"/>
      <c r="N310" s="3415"/>
    </row>
    <row r="311" spans="1:15" s="2737" customFormat="1" ht="13.5" thickBot="1">
      <c r="A311" s="3404"/>
      <c r="B311" s="738" t="s">
        <v>19</v>
      </c>
      <c r="C311" s="3417"/>
      <c r="D311" s="1257">
        <f>E311+L311+F311+G311+H311+I311+J311+K311</f>
        <v>21250000</v>
      </c>
      <c r="E311" s="1257">
        <v>0</v>
      </c>
      <c r="F311" s="372">
        <f>1862052-1862052</f>
        <v>0</v>
      </c>
      <c r="G311" s="372">
        <v>3500000</v>
      </c>
      <c r="H311" s="372">
        <v>11250000</v>
      </c>
      <c r="I311" s="372">
        <v>6500000</v>
      </c>
      <c r="J311" s="372"/>
      <c r="K311" s="372"/>
      <c r="L311" s="1257">
        <v>0</v>
      </c>
      <c r="M311" s="3413"/>
      <c r="N311" s="3416"/>
    </row>
    <row r="312" spans="1:15" ht="24.75" customHeight="1">
      <c r="A312" s="3402" t="s">
        <v>87</v>
      </c>
      <c r="B312" s="237" t="s">
        <v>532</v>
      </c>
      <c r="C312" s="48" t="s">
        <v>72</v>
      </c>
      <c r="D312" s="2245"/>
      <c r="E312" s="2221"/>
      <c r="F312" s="2221"/>
      <c r="G312" s="2221"/>
      <c r="H312" s="2221"/>
      <c r="I312" s="2221"/>
      <c r="J312" s="2221"/>
      <c r="K312" s="34"/>
      <c r="L312" s="2221"/>
      <c r="M312" s="36"/>
      <c r="N312" s="3405" t="s">
        <v>77</v>
      </c>
      <c r="O312" s="201" t="s">
        <v>254</v>
      </c>
    </row>
    <row r="313" spans="1:15" ht="12" customHeight="1">
      <c r="A313" s="3403"/>
      <c r="B313" s="1168" t="s">
        <v>9</v>
      </c>
      <c r="C313" s="1191"/>
      <c r="D313" s="2297">
        <f t="shared" ref="D313" si="182">+D314+D317</f>
        <v>8557270</v>
      </c>
      <c r="E313" s="1114">
        <f>+E314+E317</f>
        <v>322280</v>
      </c>
      <c r="F313" s="1114">
        <f>+F314+F317</f>
        <v>0</v>
      </c>
      <c r="G313" s="1114">
        <f>+G314+G317</f>
        <v>7814990</v>
      </c>
      <c r="H313" s="1114">
        <f>+H314+H317</f>
        <v>420000</v>
      </c>
      <c r="I313" s="1114"/>
      <c r="J313" s="1114"/>
      <c r="K313" s="1114"/>
      <c r="L313" s="1114">
        <f>+L314+L317</f>
        <v>0</v>
      </c>
      <c r="M313" s="1116">
        <f>M314+M317</f>
        <v>8234990</v>
      </c>
      <c r="N313" s="3406"/>
      <c r="O313" s="362"/>
    </row>
    <row r="314" spans="1:15" ht="13.5" customHeight="1">
      <c r="A314" s="3403"/>
      <c r="B314" s="1177" t="s">
        <v>22</v>
      </c>
      <c r="C314" s="3448" t="s">
        <v>75</v>
      </c>
      <c r="D314" s="1117">
        <f>+D315+D316</f>
        <v>8283332</v>
      </c>
      <c r="E314" s="2298">
        <f t="shared" ref="E314:H314" si="183">+E315</f>
        <v>48342</v>
      </c>
      <c r="F314" s="2298">
        <f t="shared" si="183"/>
        <v>0</v>
      </c>
      <c r="G314" s="2298">
        <f t="shared" si="183"/>
        <v>7814990</v>
      </c>
      <c r="H314" s="2298">
        <f t="shared" si="183"/>
        <v>420000</v>
      </c>
      <c r="I314" s="1184"/>
      <c r="J314" s="1184"/>
      <c r="K314" s="1184"/>
      <c r="L314" s="2298">
        <f>+L315</f>
        <v>0</v>
      </c>
      <c r="M314" s="1174">
        <f>M315</f>
        <v>8234990</v>
      </c>
      <c r="N314" s="3406"/>
      <c r="O314" s="362"/>
    </row>
    <row r="315" spans="1:15" ht="12" customHeight="1">
      <c r="A315" s="3403"/>
      <c r="B315" s="1247" t="s">
        <v>11</v>
      </c>
      <c r="C315" s="3450"/>
      <c r="D315" s="1113">
        <f>E315+L315+F315+G315+H315+I315+J315+K315</f>
        <v>8283332</v>
      </c>
      <c r="E315" s="1186">
        <f>3200000-1940000+1520081+249090-73261-57720-385500-592500-1597849-273999</f>
        <v>48342</v>
      </c>
      <c r="F315" s="1186">
        <f>4984499+500000+710922+57720+385500+1597849-126001-28598-20000-246901-7814990</f>
        <v>0</v>
      </c>
      <c r="G315" s="1186">
        <v>7814990</v>
      </c>
      <c r="H315" s="1186">
        <v>420000</v>
      </c>
      <c r="I315" s="1186"/>
      <c r="J315" s="1186"/>
      <c r="K315" s="1186"/>
      <c r="L315" s="1186">
        <v>0</v>
      </c>
      <c r="M315" s="2733">
        <f>SUM(G315:K315)</f>
        <v>8234990</v>
      </c>
      <c r="N315" s="3406"/>
    </row>
    <row r="316" spans="1:15" hidden="1">
      <c r="A316" s="3403"/>
      <c r="B316" s="2291" t="s">
        <v>14</v>
      </c>
      <c r="C316" s="3450"/>
      <c r="D316" s="1113">
        <f>E316+L316+F316+G316+H316+I316+J316+K316</f>
        <v>0</v>
      </c>
      <c r="E316" s="1202"/>
      <c r="F316" s="1202"/>
      <c r="G316" s="1202"/>
      <c r="H316" s="1202"/>
      <c r="I316" s="176"/>
      <c r="J316" s="176"/>
      <c r="K316" s="176"/>
      <c r="L316" s="1202"/>
      <c r="M316" s="2738"/>
      <c r="N316" s="3406"/>
    </row>
    <row r="317" spans="1:15" ht="13.5" customHeight="1">
      <c r="A317" s="3403"/>
      <c r="B317" s="1204" t="s">
        <v>17</v>
      </c>
      <c r="C317" s="3450"/>
      <c r="D317" s="1173">
        <f>+D318</f>
        <v>273938</v>
      </c>
      <c r="E317" s="2298">
        <f t="shared" ref="E317:H317" si="184">+E318</f>
        <v>273938</v>
      </c>
      <c r="F317" s="2298">
        <f t="shared" si="184"/>
        <v>0</v>
      </c>
      <c r="G317" s="1465">
        <f t="shared" si="184"/>
        <v>0</v>
      </c>
      <c r="H317" s="1465">
        <f t="shared" si="184"/>
        <v>0</v>
      </c>
      <c r="I317" s="1173"/>
      <c r="J317" s="1173"/>
      <c r="K317" s="1173"/>
      <c r="L317" s="2298">
        <f>+L318</f>
        <v>0</v>
      </c>
      <c r="M317" s="1174">
        <f>M318</f>
        <v>0</v>
      </c>
      <c r="N317" s="3406"/>
    </row>
    <row r="318" spans="1:15">
      <c r="A318" s="3403"/>
      <c r="B318" s="739" t="s">
        <v>19</v>
      </c>
      <c r="C318" s="3461"/>
      <c r="D318" s="1203">
        <f>E318+L318+F318+G318+H318+I318+J318+K318</f>
        <v>273938</v>
      </c>
      <c r="E318" s="1186">
        <f>1617722-288485-415148-640151</f>
        <v>273938</v>
      </c>
      <c r="F318" s="1186">
        <f>640151-162052-478099</f>
        <v>0</v>
      </c>
      <c r="G318" s="2299">
        <f>1900090-569500-416501-914089</f>
        <v>0</v>
      </c>
      <c r="H318" s="2299">
        <f>1900090-569500-416501-914089</f>
        <v>0</v>
      </c>
      <c r="I318" s="1186"/>
      <c r="J318" s="1186"/>
      <c r="K318" s="1186"/>
      <c r="L318" s="1186">
        <v>0</v>
      </c>
      <c r="M318" s="2733">
        <f>SUM(G318:K318)</f>
        <v>0</v>
      </c>
      <c r="N318" s="3407"/>
    </row>
    <row r="319" spans="1:15" ht="12" customHeight="1">
      <c r="A319" s="3430"/>
      <c r="B319" s="1168" t="s">
        <v>20</v>
      </c>
      <c r="C319" s="75"/>
      <c r="D319" s="82">
        <f>+D322+D320</f>
        <v>273938</v>
      </c>
      <c r="E319" s="82">
        <f t="shared" ref="E319" si="185">+E322+E320</f>
        <v>0</v>
      </c>
      <c r="F319" s="82">
        <f t="shared" ref="F319:G319" si="186">+F322+F320</f>
        <v>0</v>
      </c>
      <c r="G319" s="82">
        <f t="shared" si="186"/>
        <v>273938</v>
      </c>
      <c r="H319" s="82"/>
      <c r="I319" s="82"/>
      <c r="J319" s="82"/>
      <c r="K319" s="82"/>
      <c r="L319" s="2754">
        <f>+L322+L320</f>
        <v>0</v>
      </c>
      <c r="M319" s="3535" t="s">
        <v>21</v>
      </c>
      <c r="N319" s="3462" t="s">
        <v>92</v>
      </c>
    </row>
    <row r="320" spans="1:15" ht="13.5" hidden="1" customHeight="1">
      <c r="A320" s="3430"/>
      <c r="B320" s="1177" t="s">
        <v>22</v>
      </c>
      <c r="C320" s="3448" t="s">
        <v>180</v>
      </c>
      <c r="D320" s="43">
        <f>+D321</f>
        <v>0</v>
      </c>
      <c r="E320" s="43">
        <f t="shared" ref="E320" si="187">+E321</f>
        <v>0</v>
      </c>
      <c r="F320" s="43"/>
      <c r="G320" s="43"/>
      <c r="H320" s="43"/>
      <c r="I320" s="43"/>
      <c r="J320" s="43"/>
      <c r="K320" s="43"/>
      <c r="L320" s="224"/>
      <c r="M320" s="3536"/>
      <c r="N320" s="3463"/>
    </row>
    <row r="321" spans="1:15" ht="12.75" hidden="1" customHeight="1">
      <c r="A321" s="3430"/>
      <c r="B321" s="2291" t="s">
        <v>14</v>
      </c>
      <c r="C321" s="3383"/>
      <c r="D321" s="1113">
        <f>E321+L321+F321+G321+H321+I321+J321+K321</f>
        <v>0</v>
      </c>
      <c r="E321" s="1119">
        <v>0</v>
      </c>
      <c r="F321" s="1119"/>
      <c r="G321" s="1119"/>
      <c r="H321" s="1119"/>
      <c r="I321" s="1119"/>
      <c r="J321" s="1119"/>
      <c r="K321" s="1119"/>
      <c r="L321" s="2752"/>
      <c r="M321" s="3536"/>
      <c r="N321" s="3463"/>
    </row>
    <row r="322" spans="1:15" ht="12" customHeight="1">
      <c r="A322" s="3430"/>
      <c r="B322" s="1204" t="s">
        <v>17</v>
      </c>
      <c r="C322" s="3383"/>
      <c r="D322" s="1173">
        <f t="shared" ref="D322:G322" si="188">+D323</f>
        <v>273938</v>
      </c>
      <c r="E322" s="1120">
        <f t="shared" si="188"/>
        <v>0</v>
      </c>
      <c r="F322" s="1120">
        <f t="shared" si="188"/>
        <v>0</v>
      </c>
      <c r="G322" s="1120">
        <f t="shared" si="188"/>
        <v>273938</v>
      </c>
      <c r="H322" s="1120"/>
      <c r="I322" s="1120"/>
      <c r="J322" s="1120"/>
      <c r="K322" s="1120"/>
      <c r="L322" s="1465">
        <f>+L323</f>
        <v>0</v>
      </c>
      <c r="M322" s="3536"/>
      <c r="N322" s="3463"/>
    </row>
    <row r="323" spans="1:15" ht="13.5" customHeight="1" thickBot="1">
      <c r="A323" s="3431"/>
      <c r="B323" s="621" t="s">
        <v>19</v>
      </c>
      <c r="C323" s="3449"/>
      <c r="D323" s="719">
        <f>E323+L323+F323+G323+H323+I323+J323+K323</f>
        <v>273938</v>
      </c>
      <c r="E323" s="719">
        <v>0</v>
      </c>
      <c r="F323" s="47">
        <f>914089-162052-752037</f>
        <v>0</v>
      </c>
      <c r="G323" s="47">
        <v>273938</v>
      </c>
      <c r="H323" s="373"/>
      <c r="I323" s="373"/>
      <c r="J323" s="373"/>
      <c r="K323" s="373"/>
      <c r="L323" s="1565">
        <f>1900090-569500-416501-914089</f>
        <v>0</v>
      </c>
      <c r="M323" s="3537"/>
      <c r="N323" s="3464"/>
    </row>
    <row r="324" spans="1:15" ht="29.25" hidden="1" customHeight="1">
      <c r="A324" s="3402"/>
      <c r="B324" s="61" t="s">
        <v>338</v>
      </c>
      <c r="C324" s="48" t="s">
        <v>72</v>
      </c>
      <c r="D324" s="619"/>
      <c r="E324" s="341"/>
      <c r="F324" s="341"/>
      <c r="G324" s="341"/>
      <c r="H324" s="341"/>
      <c r="I324" s="35"/>
      <c r="J324" s="35"/>
      <c r="K324" s="35"/>
      <c r="L324" s="341"/>
      <c r="M324" s="36"/>
      <c r="N324" s="3443" t="s">
        <v>92</v>
      </c>
      <c r="O324" s="201" t="s">
        <v>254</v>
      </c>
    </row>
    <row r="325" spans="1:15" ht="13.5" hidden="1" customHeight="1">
      <c r="A325" s="3403"/>
      <c r="B325" s="496" t="s">
        <v>9</v>
      </c>
      <c r="C325" s="560"/>
      <c r="D325" s="536">
        <f t="shared" ref="D325" si="189">+D326+D329</f>
        <v>0</v>
      </c>
      <c r="E325" s="546">
        <v>0</v>
      </c>
      <c r="F325" s="537"/>
      <c r="G325" s="537"/>
      <c r="H325" s="537"/>
      <c r="I325" s="537"/>
      <c r="J325" s="537"/>
      <c r="K325" s="537"/>
      <c r="L325" s="537">
        <f>+L326+L329</f>
        <v>0</v>
      </c>
      <c r="M325" s="730">
        <f>M326+M329</f>
        <v>0</v>
      </c>
      <c r="N325" s="3415"/>
      <c r="O325" s="362"/>
    </row>
    <row r="326" spans="1:15" ht="14.25" hidden="1" customHeight="1">
      <c r="A326" s="3403"/>
      <c r="B326" s="931" t="s">
        <v>22</v>
      </c>
      <c r="C326" s="3400" t="s">
        <v>89</v>
      </c>
      <c r="D326" s="670">
        <f t="shared" ref="D326" si="190">+D327+D328</f>
        <v>0</v>
      </c>
      <c r="E326" s="510">
        <v>0</v>
      </c>
      <c r="F326" s="670"/>
      <c r="G326" s="670"/>
      <c r="H326" s="670"/>
      <c r="I326" s="670"/>
      <c r="J326" s="670"/>
      <c r="K326" s="670"/>
      <c r="L326" s="670">
        <f>+L327+L328</f>
        <v>0</v>
      </c>
      <c r="M326" s="476">
        <f>+M327+M328</f>
        <v>0</v>
      </c>
      <c r="N326" s="3415"/>
      <c r="O326" s="362"/>
    </row>
    <row r="327" spans="1:15" ht="12.75" hidden="1" customHeight="1">
      <c r="A327" s="3403"/>
      <c r="B327" s="932" t="s">
        <v>11</v>
      </c>
      <c r="C327" s="3450"/>
      <c r="D327" s="724">
        <f>SUM(E327:K327)</f>
        <v>0</v>
      </c>
      <c r="E327" s="504"/>
      <c r="F327" s="542"/>
      <c r="G327" s="542"/>
      <c r="H327" s="542"/>
      <c r="I327" s="542"/>
      <c r="J327" s="542"/>
      <c r="K327" s="542"/>
      <c r="L327" s="542"/>
      <c r="M327" s="2755"/>
      <c r="N327" s="3415"/>
    </row>
    <row r="328" spans="1:15" ht="11.25" hidden="1" customHeight="1">
      <c r="A328" s="3403"/>
      <c r="B328" s="440" t="s">
        <v>96</v>
      </c>
      <c r="C328" s="3450"/>
      <c r="D328" s="211">
        <f>E328+L328+F328+G328+H328+I328+J328+K328</f>
        <v>0</v>
      </c>
      <c r="E328" s="504">
        <v>0</v>
      </c>
      <c r="F328" s="542"/>
      <c r="G328" s="542"/>
      <c r="H328" s="543"/>
      <c r="I328" s="542"/>
      <c r="J328" s="542"/>
      <c r="K328" s="542"/>
      <c r="L328" s="543">
        <f>5400000-5400000</f>
        <v>0</v>
      </c>
      <c r="M328" s="2733">
        <f>SUM(F328:K328)</f>
        <v>0</v>
      </c>
      <c r="N328" s="3415"/>
    </row>
    <row r="329" spans="1:15" ht="11.25" hidden="1" customHeight="1">
      <c r="A329" s="3403"/>
      <c r="B329" s="933" t="s">
        <v>17</v>
      </c>
      <c r="C329" s="3450"/>
      <c r="D329" s="477">
        <f t="shared" ref="D329" si="191">+D330</f>
        <v>0</v>
      </c>
      <c r="E329" s="740">
        <v>0</v>
      </c>
      <c r="F329" s="731"/>
      <c r="G329" s="731"/>
      <c r="H329" s="731"/>
      <c r="I329" s="731"/>
      <c r="J329" s="731"/>
      <c r="K329" s="731"/>
      <c r="L329" s="731">
        <f>+L330</f>
        <v>0</v>
      </c>
      <c r="M329" s="476">
        <f>M330</f>
        <v>0</v>
      </c>
      <c r="N329" s="3415"/>
    </row>
    <row r="330" spans="1:15" ht="13.5" hidden="1" customHeight="1">
      <c r="A330" s="3403"/>
      <c r="B330" s="934" t="s">
        <v>19</v>
      </c>
      <c r="C330" s="3461"/>
      <c r="D330" s="211">
        <f>E330+L330+F330+G330+H330+I330+J330+K330</f>
        <v>0</v>
      </c>
      <c r="E330" s="504">
        <v>0</v>
      </c>
      <c r="F330" s="542"/>
      <c r="G330" s="541"/>
      <c r="H330" s="542"/>
      <c r="I330" s="541"/>
      <c r="J330" s="541"/>
      <c r="K330" s="541"/>
      <c r="L330" s="542">
        <f>30600000-30600000</f>
        <v>0</v>
      </c>
      <c r="M330" s="2733">
        <f>SUM(F330:K330)</f>
        <v>0</v>
      </c>
      <c r="N330" s="3415"/>
    </row>
    <row r="331" spans="1:15" ht="13.5" hidden="1" customHeight="1">
      <c r="A331" s="3430"/>
      <c r="B331" s="935" t="s">
        <v>20</v>
      </c>
      <c r="C331" s="75"/>
      <c r="D331" s="82">
        <f>+D334+D332</f>
        <v>0</v>
      </c>
      <c r="E331" s="2754">
        <v>0</v>
      </c>
      <c r="F331" s="82"/>
      <c r="G331" s="82"/>
      <c r="H331" s="82"/>
      <c r="I331" s="82"/>
      <c r="J331" s="82"/>
      <c r="K331" s="82"/>
      <c r="L331" s="82">
        <f t="shared" ref="L331" si="192">+L334+L332</f>
        <v>0</v>
      </c>
      <c r="M331" s="3468" t="s">
        <v>21</v>
      </c>
      <c r="N331" s="3415"/>
    </row>
    <row r="332" spans="1:15" ht="13.5" hidden="1" customHeight="1">
      <c r="A332" s="3430"/>
      <c r="B332" s="737" t="s">
        <v>22</v>
      </c>
      <c r="C332" s="3400" t="s">
        <v>253</v>
      </c>
      <c r="D332" s="618">
        <f>D333</f>
        <v>0</v>
      </c>
      <c r="E332" s="2756">
        <v>0</v>
      </c>
      <c r="F332" s="618"/>
      <c r="G332" s="618"/>
      <c r="H332" s="618"/>
      <c r="I332" s="618"/>
      <c r="J332" s="618"/>
      <c r="K332" s="618"/>
      <c r="L332" s="618">
        <f t="shared" ref="L332" si="193">L333</f>
        <v>0</v>
      </c>
      <c r="M332" s="3427"/>
      <c r="N332" s="3415"/>
    </row>
    <row r="333" spans="1:15" ht="13.5" hidden="1" customHeight="1">
      <c r="A333" s="3430"/>
      <c r="B333" s="440" t="s">
        <v>96</v>
      </c>
      <c r="C333" s="3383"/>
      <c r="D333" s="211">
        <f>E333+L333+F333+G333+H333+I333+J333+K333</f>
        <v>0</v>
      </c>
      <c r="E333" s="504">
        <v>0</v>
      </c>
      <c r="F333" s="618"/>
      <c r="G333" s="936"/>
      <c r="H333" s="936"/>
      <c r="I333" s="618"/>
      <c r="J333" s="618"/>
      <c r="K333" s="618"/>
      <c r="L333" s="936">
        <v>0</v>
      </c>
      <c r="M333" s="3427"/>
      <c r="N333" s="3415"/>
    </row>
    <row r="334" spans="1:15" ht="12" hidden="1" customHeight="1">
      <c r="A334" s="3430"/>
      <c r="B334" s="505" t="s">
        <v>17</v>
      </c>
      <c r="C334" s="3383"/>
      <c r="D334" s="477">
        <f>+D335</f>
        <v>0</v>
      </c>
      <c r="E334" s="740">
        <v>0</v>
      </c>
      <c r="F334" s="731"/>
      <c r="G334" s="731"/>
      <c r="H334" s="731"/>
      <c r="I334" s="731"/>
      <c r="J334" s="731"/>
      <c r="K334" s="731"/>
      <c r="L334" s="731">
        <f t="shared" ref="L334" si="194">+L335</f>
        <v>0</v>
      </c>
      <c r="M334" s="3427"/>
      <c r="N334" s="3415"/>
    </row>
    <row r="335" spans="1:15" ht="13.5" hidden="1" customHeight="1" thickBot="1">
      <c r="A335" s="3431"/>
      <c r="B335" s="738" t="s">
        <v>19</v>
      </c>
      <c r="C335" s="3449"/>
      <c r="D335" s="211">
        <f>E335+L335+F335+G335+H335+I335+J335+K335</f>
        <v>0</v>
      </c>
      <c r="E335" s="507">
        <v>0</v>
      </c>
      <c r="F335" s="47"/>
      <c r="G335" s="47"/>
      <c r="H335" s="47"/>
      <c r="I335" s="47"/>
      <c r="J335" s="47"/>
      <c r="K335" s="47"/>
      <c r="L335" s="47">
        <f>30600000-30600000</f>
        <v>0</v>
      </c>
      <c r="M335" s="3428"/>
      <c r="N335" s="3416"/>
    </row>
    <row r="336" spans="1:15" ht="24.75" customHeight="1">
      <c r="A336" s="3402" t="s">
        <v>88</v>
      </c>
      <c r="B336" s="61" t="s">
        <v>412</v>
      </c>
      <c r="C336" s="48" t="s">
        <v>72</v>
      </c>
      <c r="D336" s="2228"/>
      <c r="E336" s="2229"/>
      <c r="F336" s="2229"/>
      <c r="G336" s="2229"/>
      <c r="H336" s="2229"/>
      <c r="I336" s="2229"/>
      <c r="J336" s="2229"/>
      <c r="K336" s="2230"/>
      <c r="L336" s="2229"/>
      <c r="M336" s="36"/>
      <c r="N336" s="3443" t="s">
        <v>92</v>
      </c>
    </row>
    <row r="337" spans="1:16" ht="13.5" customHeight="1">
      <c r="A337" s="3403"/>
      <c r="B337" s="749" t="s">
        <v>9</v>
      </c>
      <c r="C337" s="389"/>
      <c r="D337" s="548">
        <f t="shared" ref="D337" si="195">+D338+D342</f>
        <v>203900000</v>
      </c>
      <c r="E337" s="1566">
        <f>+E338+E342</f>
        <v>142545000</v>
      </c>
      <c r="F337" s="1566">
        <f>+F338+F342</f>
        <v>61355000</v>
      </c>
      <c r="G337" s="1567">
        <f>+G338+G342</f>
        <v>0</v>
      </c>
      <c r="H337" s="1567">
        <f>+H338+H342</f>
        <v>0</v>
      </c>
      <c r="I337" s="1566"/>
      <c r="J337" s="1566"/>
      <c r="K337" s="1566"/>
      <c r="L337" s="1566">
        <f>+L338+L342</f>
        <v>0</v>
      </c>
      <c r="M337" s="1552">
        <f>+M338+M342</f>
        <v>0</v>
      </c>
      <c r="N337" s="3415"/>
      <c r="P337" s="362"/>
    </row>
    <row r="338" spans="1:16" ht="13.5" customHeight="1">
      <c r="A338" s="3403"/>
      <c r="B338" s="737" t="s">
        <v>22</v>
      </c>
      <c r="C338" s="3400" t="s">
        <v>89</v>
      </c>
      <c r="D338" s="1568">
        <f>+D339+D341+D340</f>
        <v>30585000</v>
      </c>
      <c r="E338" s="1568">
        <f t="shared" ref="E338" si="196">+E339+E341+E340</f>
        <v>21381750</v>
      </c>
      <c r="F338" s="1568">
        <f t="shared" ref="F338" si="197">+F339+F341+F340</f>
        <v>9203250</v>
      </c>
      <c r="G338" s="1569">
        <f>+G339+G341+G340</f>
        <v>0</v>
      </c>
      <c r="H338" s="1569">
        <f>+H339+H341+H340</f>
        <v>0</v>
      </c>
      <c r="I338" s="1568"/>
      <c r="J338" s="1568"/>
      <c r="K338" s="1568"/>
      <c r="L338" s="1568">
        <f>+L339+L341+L340</f>
        <v>0</v>
      </c>
      <c r="M338" s="476">
        <f>+M339+M341+M340</f>
        <v>0</v>
      </c>
      <c r="N338" s="3415"/>
      <c r="P338" s="362"/>
    </row>
    <row r="339" spans="1:16">
      <c r="A339" s="3403"/>
      <c r="B339" s="1563" t="s">
        <v>11</v>
      </c>
      <c r="C339" s="3450"/>
      <c r="D339" s="724">
        <f>E339+L339+F339+G339+H339+I339+J339+K339</f>
        <v>30585000</v>
      </c>
      <c r="E339" s="541">
        <v>21381750</v>
      </c>
      <c r="F339" s="1562">
        <f>27609750-18406500</f>
        <v>9203250</v>
      </c>
      <c r="G339" s="734">
        <v>0</v>
      </c>
      <c r="H339" s="1555">
        <v>0</v>
      </c>
      <c r="I339" s="541"/>
      <c r="J339" s="541"/>
      <c r="K339" s="541"/>
      <c r="L339" s="541">
        <v>0</v>
      </c>
      <c r="M339" s="2733">
        <f>SUM(G339:K339)</f>
        <v>0</v>
      </c>
      <c r="N339" s="3415"/>
    </row>
    <row r="340" spans="1:16" ht="12.75" hidden="1" customHeight="1">
      <c r="A340" s="3403"/>
      <c r="B340" s="440" t="s">
        <v>96</v>
      </c>
      <c r="C340" s="3450"/>
      <c r="D340" s="724">
        <f>E340+L340+F340+G340+H340+I340+J340+K340</f>
        <v>0</v>
      </c>
      <c r="E340" s="742">
        <f>15546856-2076856-13470000</f>
        <v>0</v>
      </c>
      <c r="F340" s="1570">
        <f>8419285+6619715-15039000</f>
        <v>0</v>
      </c>
      <c r="G340" s="981">
        <v>0</v>
      </c>
      <c r="H340" s="1218">
        <f>2076000-2076000</f>
        <v>0</v>
      </c>
      <c r="I340" s="742"/>
      <c r="J340" s="742"/>
      <c r="K340" s="742"/>
      <c r="L340" s="742">
        <f>15546856-2076856-13470000</f>
        <v>0</v>
      </c>
      <c r="M340" s="2733">
        <f>SUM(F340:K340)</f>
        <v>0</v>
      </c>
      <c r="N340" s="3415"/>
    </row>
    <row r="341" spans="1:16" ht="13.5" hidden="1" customHeight="1">
      <c r="A341" s="3403"/>
      <c r="B341" s="76" t="s">
        <v>14</v>
      </c>
      <c r="C341" s="3450"/>
      <c r="D341" s="724">
        <f>SUM(E341:H341)</f>
        <v>0</v>
      </c>
      <c r="E341" s="742">
        <v>0</v>
      </c>
      <c r="F341" s="742">
        <v>0</v>
      </c>
      <c r="G341" s="981"/>
      <c r="H341" s="981"/>
      <c r="I341" s="742"/>
      <c r="J341" s="742"/>
      <c r="K341" s="742"/>
      <c r="L341" s="742">
        <v>0</v>
      </c>
      <c r="M341" s="2738"/>
      <c r="N341" s="3415"/>
    </row>
    <row r="342" spans="1:16" ht="13.5" customHeight="1">
      <c r="A342" s="3403"/>
      <c r="B342" s="1564" t="s">
        <v>17</v>
      </c>
      <c r="C342" s="3450"/>
      <c r="D342" s="477">
        <f>+D343</f>
        <v>173315000</v>
      </c>
      <c r="E342" s="1556">
        <f t="shared" ref="E342:M342" si="198">+E343</f>
        <v>121163250</v>
      </c>
      <c r="F342" s="1556">
        <f t="shared" si="198"/>
        <v>52151750</v>
      </c>
      <c r="G342" s="1571">
        <f t="shared" si="198"/>
        <v>0</v>
      </c>
      <c r="H342" s="1571">
        <f t="shared" si="198"/>
        <v>0</v>
      </c>
      <c r="I342" s="1556"/>
      <c r="J342" s="1556"/>
      <c r="K342" s="1556"/>
      <c r="L342" s="1556">
        <f>+L343</f>
        <v>0</v>
      </c>
      <c r="M342" s="476">
        <f t="shared" si="198"/>
        <v>0</v>
      </c>
      <c r="N342" s="3415"/>
    </row>
    <row r="343" spans="1:16">
      <c r="A343" s="3403"/>
      <c r="B343" s="506" t="s">
        <v>19</v>
      </c>
      <c r="C343" s="3461"/>
      <c r="D343" s="724">
        <f>E343+L343+F343+G343+H343+I343+J343+K343</f>
        <v>173315000</v>
      </c>
      <c r="E343" s="742">
        <f>112200000-35870000+44833250</f>
        <v>121163250</v>
      </c>
      <c r="F343" s="742">
        <f>96900000-11679000+71234250-104303500</f>
        <v>52151750</v>
      </c>
      <c r="G343" s="981">
        <v>0</v>
      </c>
      <c r="H343" s="981">
        <f>11764000-11764000</f>
        <v>0</v>
      </c>
      <c r="I343" s="742"/>
      <c r="J343" s="742"/>
      <c r="K343" s="742"/>
      <c r="L343" s="742">
        <v>0</v>
      </c>
      <c r="M343" s="2733">
        <f>SUM(G343:K343)</f>
        <v>0</v>
      </c>
      <c r="N343" s="3415"/>
    </row>
    <row r="344" spans="1:16" ht="13.5" customHeight="1">
      <c r="A344" s="3430"/>
      <c r="B344" s="749" t="s">
        <v>20</v>
      </c>
      <c r="C344" s="389"/>
      <c r="D344" s="536">
        <f>+D345+D348</f>
        <v>173315000</v>
      </c>
      <c r="E344" s="1573">
        <f t="shared" ref="E344" si="199">+E345+E348</f>
        <v>121163250</v>
      </c>
      <c r="F344" s="1573">
        <f t="shared" ref="F344:H344" si="200">+F345+F348</f>
        <v>52151750</v>
      </c>
      <c r="G344" s="1572">
        <f t="shared" si="200"/>
        <v>0</v>
      </c>
      <c r="H344" s="1572">
        <f t="shared" si="200"/>
        <v>0</v>
      </c>
      <c r="I344" s="1573"/>
      <c r="J344" s="1573"/>
      <c r="K344" s="1573"/>
      <c r="L344" s="1573">
        <f>+L345+L348</f>
        <v>0</v>
      </c>
      <c r="M344" s="2757"/>
      <c r="N344" s="3415"/>
    </row>
    <row r="345" spans="1:16" hidden="1">
      <c r="A345" s="3430"/>
      <c r="B345" s="737" t="s">
        <v>22</v>
      </c>
      <c r="C345" s="3526" t="s">
        <v>322</v>
      </c>
      <c r="D345" s="43">
        <f>+D347+D346</f>
        <v>0</v>
      </c>
      <c r="E345" s="43">
        <f t="shared" ref="E345" si="201">+E347+E346</f>
        <v>0</v>
      </c>
      <c r="F345" s="43">
        <f t="shared" ref="F345" si="202">+F347+F346</f>
        <v>0</v>
      </c>
      <c r="G345" s="224">
        <f>+G347+G346</f>
        <v>0</v>
      </c>
      <c r="H345" s="224">
        <f>+H347+H346</f>
        <v>0</v>
      </c>
      <c r="I345" s="43"/>
      <c r="J345" s="43"/>
      <c r="K345" s="43"/>
      <c r="L345" s="43">
        <f>+L347+L346</f>
        <v>0</v>
      </c>
      <c r="M345" s="2975"/>
      <c r="N345" s="3415"/>
    </row>
    <row r="346" spans="1:16" ht="13.5" hidden="1" customHeight="1">
      <c r="A346" s="3430"/>
      <c r="B346" s="440" t="s">
        <v>96</v>
      </c>
      <c r="C346" s="3527"/>
      <c r="D346" s="724">
        <f>E346+L346+F346+G346+H346+I346+J346+K346</f>
        <v>0</v>
      </c>
      <c r="E346" s="1574">
        <f>8419285-8419285</f>
        <v>0</v>
      </c>
      <c r="F346" s="1574">
        <f>8419285-8419285</f>
        <v>0</v>
      </c>
      <c r="G346" s="1575">
        <v>0</v>
      </c>
      <c r="H346" s="224">
        <v>0</v>
      </c>
      <c r="I346" s="43"/>
      <c r="J346" s="43"/>
      <c r="K346" s="43"/>
      <c r="L346" s="1574">
        <f>8419285-8419285</f>
        <v>0</v>
      </c>
      <c r="M346" s="2975"/>
      <c r="N346" s="3415"/>
    </row>
    <row r="347" spans="1:16" ht="12.75" hidden="1" customHeight="1">
      <c r="A347" s="3430"/>
      <c r="B347" s="76" t="s">
        <v>14</v>
      </c>
      <c r="C347" s="3466"/>
      <c r="D347" s="724">
        <f>SUM(E347:H347)</f>
        <v>0</v>
      </c>
      <c r="E347" s="1576"/>
      <c r="F347" s="1576"/>
      <c r="G347" s="1577"/>
      <c r="H347" s="1577"/>
      <c r="I347" s="1576"/>
      <c r="J347" s="1576"/>
      <c r="K347" s="1576"/>
      <c r="L347" s="1576"/>
      <c r="M347" s="2975"/>
      <c r="N347" s="3415"/>
    </row>
    <row r="348" spans="1:16" ht="14.25" customHeight="1">
      <c r="A348" s="3430"/>
      <c r="B348" s="1564" t="s">
        <v>17</v>
      </c>
      <c r="C348" s="3466"/>
      <c r="D348" s="477">
        <f t="shared" ref="D348:H348" si="203">+D349</f>
        <v>173315000</v>
      </c>
      <c r="E348" s="1556">
        <f t="shared" si="203"/>
        <v>121163250</v>
      </c>
      <c r="F348" s="1556">
        <f t="shared" si="203"/>
        <v>52151750</v>
      </c>
      <c r="G348" s="1571">
        <f t="shared" si="203"/>
        <v>0</v>
      </c>
      <c r="H348" s="1571">
        <f t="shared" si="203"/>
        <v>0</v>
      </c>
      <c r="I348" s="1556"/>
      <c r="J348" s="1556"/>
      <c r="K348" s="1556"/>
      <c r="L348" s="1556">
        <f>+L349</f>
        <v>0</v>
      </c>
      <c r="M348" s="2975"/>
      <c r="N348" s="3415"/>
    </row>
    <row r="349" spans="1:16" ht="12.75" customHeight="1" thickBot="1">
      <c r="A349" s="3431"/>
      <c r="B349" s="738" t="s">
        <v>19</v>
      </c>
      <c r="C349" s="3467"/>
      <c r="D349" s="1484">
        <f>E349+L349+F349+G349+H349+I349+J349+K349</f>
        <v>173315000</v>
      </c>
      <c r="E349" s="47">
        <f>112200000-35870000+44833250</f>
        <v>121163250</v>
      </c>
      <c r="F349" s="47">
        <f>96900000-11679000+71234250-104303500</f>
        <v>52151750</v>
      </c>
      <c r="G349" s="1565">
        <v>0</v>
      </c>
      <c r="H349" s="1565">
        <f>11764000-11764000</f>
        <v>0</v>
      </c>
      <c r="I349" s="47"/>
      <c r="J349" s="47"/>
      <c r="K349" s="47"/>
      <c r="L349" s="47">
        <v>0</v>
      </c>
      <c r="M349" s="2976"/>
      <c r="N349" s="3416"/>
    </row>
    <row r="350" spans="1:16" ht="28.5" customHeight="1">
      <c r="A350" s="3402" t="s">
        <v>90</v>
      </c>
      <c r="B350" s="61" t="s">
        <v>533</v>
      </c>
      <c r="C350" s="48" t="s">
        <v>99</v>
      </c>
      <c r="D350" s="942"/>
      <c r="E350" s="2221"/>
      <c r="F350" s="2221"/>
      <c r="G350" s="2221"/>
      <c r="H350" s="2221"/>
      <c r="I350" s="2221"/>
      <c r="J350" s="2221"/>
      <c r="K350" s="34"/>
      <c r="L350" s="2221"/>
      <c r="M350" s="36"/>
      <c r="N350" s="3443" t="s">
        <v>92</v>
      </c>
    </row>
    <row r="351" spans="1:16" ht="12.75" customHeight="1">
      <c r="A351" s="3403"/>
      <c r="B351" s="749" t="s">
        <v>9</v>
      </c>
      <c r="C351" s="1169"/>
      <c r="D351" s="733">
        <f>+D352+D355</f>
        <v>122710000</v>
      </c>
      <c r="E351" s="2758">
        <f t="shared" ref="E351:F351" si="204">+E352+E355</f>
        <v>0</v>
      </c>
      <c r="F351" s="733">
        <f t="shared" si="204"/>
        <v>122710000</v>
      </c>
      <c r="G351" s="733"/>
      <c r="H351" s="733"/>
      <c r="I351" s="733"/>
      <c r="J351" s="733"/>
      <c r="K351" s="733"/>
      <c r="L351" s="2758">
        <f>+L352+L355</f>
        <v>0</v>
      </c>
      <c r="M351" s="1552">
        <f>M352+M355</f>
        <v>0</v>
      </c>
      <c r="N351" s="3415"/>
    </row>
    <row r="352" spans="1:16" ht="12.75" customHeight="1">
      <c r="A352" s="3403"/>
      <c r="B352" s="737" t="s">
        <v>22</v>
      </c>
      <c r="C352" s="3400" t="s">
        <v>89</v>
      </c>
      <c r="D352" s="64">
        <f>+D353+D354</f>
        <v>18406500</v>
      </c>
      <c r="E352" s="1481">
        <f t="shared" ref="E352:F352" si="205">+E353+E354</f>
        <v>0</v>
      </c>
      <c r="F352" s="64">
        <f t="shared" si="205"/>
        <v>18406500</v>
      </c>
      <c r="G352" s="64"/>
      <c r="H352" s="64"/>
      <c r="I352" s="64"/>
      <c r="J352" s="64"/>
      <c r="K352" s="64"/>
      <c r="L352" s="1481">
        <f>+L353+L354</f>
        <v>0</v>
      </c>
      <c r="M352" s="476">
        <f>+M353+M354</f>
        <v>0</v>
      </c>
      <c r="N352" s="3415"/>
    </row>
    <row r="353" spans="1:16" ht="12.75" customHeight="1">
      <c r="A353" s="3403"/>
      <c r="B353" s="2615" t="s">
        <v>11</v>
      </c>
      <c r="C353" s="3450"/>
      <c r="D353" s="724">
        <f>E353+L353+F353+G353+H353+I353+J353+K353</f>
        <v>6135500</v>
      </c>
      <c r="E353" s="2759">
        <v>0</v>
      </c>
      <c r="F353" s="724">
        <f>18406500-5013000-5874000-1384000</f>
        <v>6135500</v>
      </c>
      <c r="G353" s="734"/>
      <c r="H353" s="734"/>
      <c r="I353" s="734"/>
      <c r="J353" s="734"/>
      <c r="K353" s="734"/>
      <c r="L353" s="2759">
        <v>0</v>
      </c>
      <c r="M353" s="2733">
        <f>SUM(G353:K353)</f>
        <v>0</v>
      </c>
      <c r="N353" s="3415"/>
    </row>
    <row r="354" spans="1:16" ht="12.75" customHeight="1">
      <c r="A354" s="3403"/>
      <c r="B354" s="2616" t="s">
        <v>16</v>
      </c>
      <c r="C354" s="3450"/>
      <c r="D354" s="724">
        <f>E354+L354+F354+G354+H354+I354+J354+K354</f>
        <v>12271000</v>
      </c>
      <c r="E354" s="2759">
        <v>0</v>
      </c>
      <c r="F354" s="724">
        <f>5013000+5874000+1384000</f>
        <v>12271000</v>
      </c>
      <c r="G354" s="541"/>
      <c r="H354" s="541"/>
      <c r="I354" s="541"/>
      <c r="J354" s="541"/>
      <c r="K354" s="541"/>
      <c r="L354" s="2759">
        <v>0</v>
      </c>
      <c r="M354" s="2733">
        <f>SUM(G354:K354)</f>
        <v>0</v>
      </c>
      <c r="N354" s="3415"/>
    </row>
    <row r="355" spans="1:16" ht="12.75" customHeight="1">
      <c r="A355" s="3403"/>
      <c r="B355" s="1808" t="s">
        <v>17</v>
      </c>
      <c r="C355" s="3450"/>
      <c r="D355" s="477">
        <f>+D356</f>
        <v>104303500</v>
      </c>
      <c r="E355" s="736">
        <f t="shared" ref="E355:F355" si="206">+E356</f>
        <v>0</v>
      </c>
      <c r="F355" s="477">
        <f t="shared" si="206"/>
        <v>104303500</v>
      </c>
      <c r="G355" s="477"/>
      <c r="H355" s="477"/>
      <c r="I355" s="477"/>
      <c r="J355" s="477"/>
      <c r="K355" s="477"/>
      <c r="L355" s="736">
        <f>+L356</f>
        <v>0</v>
      </c>
      <c r="M355" s="476">
        <f>M356</f>
        <v>0</v>
      </c>
      <c r="N355" s="3415"/>
    </row>
    <row r="356" spans="1:16" ht="12.75" customHeight="1">
      <c r="A356" s="3403"/>
      <c r="B356" s="1845" t="s">
        <v>19</v>
      </c>
      <c r="C356" s="3450"/>
      <c r="D356" s="724">
        <f>E356+L356+F356+G356+H356+I356+J356+K356</f>
        <v>104303500</v>
      </c>
      <c r="E356" s="2760">
        <v>0</v>
      </c>
      <c r="F356" s="1560">
        <v>104303500</v>
      </c>
      <c r="G356" s="541"/>
      <c r="H356" s="541"/>
      <c r="I356" s="541"/>
      <c r="J356" s="541"/>
      <c r="K356" s="541"/>
      <c r="L356" s="2760">
        <v>0</v>
      </c>
      <c r="M356" s="2733">
        <f>SUM(G356:K356)</f>
        <v>0</v>
      </c>
      <c r="N356" s="3444"/>
    </row>
    <row r="357" spans="1:16" ht="12.75" customHeight="1">
      <c r="A357" s="3430"/>
      <c r="B357" s="1785" t="s">
        <v>20</v>
      </c>
      <c r="C357" s="1169"/>
      <c r="D357" s="536">
        <f>+D360+D358</f>
        <v>116574500</v>
      </c>
      <c r="E357" s="561">
        <f t="shared" ref="E357:F357" si="207">+E360+E358</f>
        <v>0</v>
      </c>
      <c r="F357" s="536">
        <f t="shared" si="207"/>
        <v>116574500</v>
      </c>
      <c r="G357" s="536"/>
      <c r="H357" s="536"/>
      <c r="I357" s="536"/>
      <c r="J357" s="536"/>
      <c r="K357" s="536"/>
      <c r="L357" s="561">
        <f>+L360+L358</f>
        <v>0</v>
      </c>
      <c r="M357" s="3432" t="s">
        <v>21</v>
      </c>
      <c r="N357" s="3414" t="s">
        <v>428</v>
      </c>
    </row>
    <row r="358" spans="1:16" ht="12.75" customHeight="1">
      <c r="A358" s="3430"/>
      <c r="B358" s="737" t="s">
        <v>22</v>
      </c>
      <c r="C358" s="3400" t="s">
        <v>322</v>
      </c>
      <c r="D358" s="1846">
        <f>D359</f>
        <v>12271000</v>
      </c>
      <c r="E358" s="2761">
        <f t="shared" ref="E358:F358" si="208">E359</f>
        <v>0</v>
      </c>
      <c r="F358" s="1846">
        <f t="shared" si="208"/>
        <v>12271000</v>
      </c>
      <c r="G358" s="1846"/>
      <c r="H358" s="1846"/>
      <c r="I358" s="1846"/>
      <c r="J358" s="1846"/>
      <c r="K358" s="1846"/>
      <c r="L358" s="2761">
        <f>L359</f>
        <v>0</v>
      </c>
      <c r="M358" s="3412"/>
      <c r="N358" s="3415"/>
    </row>
    <row r="359" spans="1:16" ht="12.75" customHeight="1">
      <c r="A359" s="3430"/>
      <c r="B359" s="440" t="s">
        <v>16</v>
      </c>
      <c r="C359" s="3383"/>
      <c r="D359" s="1685">
        <f>E359+L359+F359+G359+H359+I359+J359+K359</f>
        <v>12271000</v>
      </c>
      <c r="E359" s="2760">
        <v>0</v>
      </c>
      <c r="F359" s="1685">
        <f>5013000+5874000+1384000</f>
        <v>12271000</v>
      </c>
      <c r="G359" s="1846"/>
      <c r="H359" s="1846"/>
      <c r="I359" s="1846"/>
      <c r="J359" s="1846"/>
      <c r="K359" s="1846"/>
      <c r="L359" s="2760">
        <v>0</v>
      </c>
      <c r="M359" s="3412"/>
      <c r="N359" s="3415"/>
    </row>
    <row r="360" spans="1:16" ht="12.75" customHeight="1">
      <c r="A360" s="3430"/>
      <c r="B360" s="1808" t="s">
        <v>17</v>
      </c>
      <c r="C360" s="3383"/>
      <c r="D360" s="1578">
        <f>+D361</f>
        <v>104303500</v>
      </c>
      <c r="E360" s="1580">
        <f t="shared" ref="E360:F360" si="209">+E361</f>
        <v>0</v>
      </c>
      <c r="F360" s="1578">
        <f t="shared" si="209"/>
        <v>104303500</v>
      </c>
      <c r="G360" s="670"/>
      <c r="H360" s="670"/>
      <c r="I360" s="670"/>
      <c r="J360" s="670"/>
      <c r="K360" s="670"/>
      <c r="L360" s="1580">
        <f>+L361</f>
        <v>0</v>
      </c>
      <c r="M360" s="3412"/>
      <c r="N360" s="3415"/>
    </row>
    <row r="361" spans="1:16" ht="12.75" customHeight="1" thickBot="1">
      <c r="A361" s="3431"/>
      <c r="B361" s="297" t="s">
        <v>19</v>
      </c>
      <c r="C361" s="3449"/>
      <c r="D361" s="1679">
        <f>E361+L361+F361+G361+H361+I361+J361+K361</f>
        <v>104303500</v>
      </c>
      <c r="E361" s="1429">
        <v>0</v>
      </c>
      <c r="F361" s="1405">
        <v>104303500</v>
      </c>
      <c r="G361" s="372"/>
      <c r="H361" s="372"/>
      <c r="I361" s="372"/>
      <c r="J361" s="372"/>
      <c r="K361" s="372"/>
      <c r="L361" s="1429">
        <v>0</v>
      </c>
      <c r="M361" s="3413"/>
      <c r="N361" s="3416"/>
    </row>
    <row r="362" spans="1:16" ht="20.25" customHeight="1">
      <c r="A362" s="3538" t="s">
        <v>185</v>
      </c>
      <c r="B362" s="92" t="s">
        <v>443</v>
      </c>
      <c r="C362" s="663"/>
      <c r="D362" s="93"/>
      <c r="E362" s="94"/>
      <c r="F362" s="94"/>
      <c r="G362" s="94"/>
      <c r="H362" s="94"/>
      <c r="I362" s="252"/>
      <c r="J362" s="253"/>
      <c r="K362" s="253"/>
      <c r="L362" s="94"/>
      <c r="M362" s="2762"/>
      <c r="N362" s="3533"/>
    </row>
    <row r="363" spans="1:16" s="2764" customFormat="1" ht="14.25" customHeight="1">
      <c r="A363" s="3539"/>
      <c r="B363" s="749" t="s">
        <v>9</v>
      </c>
      <c r="C363" s="75"/>
      <c r="D363" s="95">
        <f>+D364+D367</f>
        <v>51740293</v>
      </c>
      <c r="E363" s="95">
        <f t="shared" ref="E363:M363" si="210">+E364+E367</f>
        <v>8046430</v>
      </c>
      <c r="F363" s="95">
        <f t="shared" si="210"/>
        <v>5921652</v>
      </c>
      <c r="G363" s="95">
        <f t="shared" si="210"/>
        <v>29615655</v>
      </c>
      <c r="H363" s="95">
        <f t="shared" si="210"/>
        <v>8156556</v>
      </c>
      <c r="I363" s="95">
        <f t="shared" si="210"/>
        <v>0</v>
      </c>
      <c r="J363" s="95">
        <f t="shared" si="210"/>
        <v>0</v>
      </c>
      <c r="K363" s="95">
        <f t="shared" si="210"/>
        <v>0</v>
      </c>
      <c r="L363" s="95">
        <f>+L364+L367</f>
        <v>0</v>
      </c>
      <c r="M363" s="729">
        <f t="shared" si="210"/>
        <v>37772211</v>
      </c>
      <c r="N363" s="3534"/>
      <c r="O363" s="362">
        <f>E363+F363+G363+H363+I363+J363+K363-D363</f>
        <v>0</v>
      </c>
      <c r="P363" s="2763"/>
    </row>
    <row r="364" spans="1:16" s="664" customFormat="1" ht="13.5" customHeight="1">
      <c r="A364" s="3539"/>
      <c r="B364" s="96" t="s">
        <v>10</v>
      </c>
      <c r="C364" s="97"/>
      <c r="D364" s="750">
        <f>+D365+D366</f>
        <v>26885626</v>
      </c>
      <c r="E364" s="750">
        <f>+E365+E366</f>
        <v>1632241</v>
      </c>
      <c r="F364" s="750">
        <f t="shared" ref="F364:K364" si="211">+F365</f>
        <v>4188676</v>
      </c>
      <c r="G364" s="750">
        <f t="shared" si="211"/>
        <v>16508714</v>
      </c>
      <c r="H364" s="750">
        <f t="shared" si="211"/>
        <v>4555995</v>
      </c>
      <c r="I364" s="750">
        <f t="shared" si="211"/>
        <v>0</v>
      </c>
      <c r="J364" s="750">
        <f t="shared" si="211"/>
        <v>0</v>
      </c>
      <c r="K364" s="750">
        <f t="shared" si="211"/>
        <v>0</v>
      </c>
      <c r="L364" s="750">
        <f>+L365</f>
        <v>0</v>
      </c>
      <c r="M364" s="476">
        <f>+M365</f>
        <v>21064709</v>
      </c>
      <c r="N364" s="3534"/>
      <c r="P364" s="2763"/>
    </row>
    <row r="365" spans="1:16" s="2764" customFormat="1" ht="11.25" customHeight="1">
      <c r="A365" s="3539"/>
      <c r="B365" s="29" t="s">
        <v>11</v>
      </c>
      <c r="C365" s="30"/>
      <c r="D365" s="751">
        <f>++D380+D437++D389+D401+D410+D419+D428+D452</f>
        <v>26828623</v>
      </c>
      <c r="E365" s="751">
        <f>+E380+E437++E389+E401+E410+E419+E428+E452</f>
        <v>1575238</v>
      </c>
      <c r="F365" s="751">
        <f t="shared" ref="F365:K365" si="212">+F380+F437++F389+F401+F410+F419+F428+F452</f>
        <v>4188676</v>
      </c>
      <c r="G365" s="751">
        <f t="shared" si="212"/>
        <v>16508714</v>
      </c>
      <c r="H365" s="751">
        <f t="shared" si="212"/>
        <v>4555995</v>
      </c>
      <c r="I365" s="751">
        <f t="shared" si="212"/>
        <v>0</v>
      </c>
      <c r="J365" s="751">
        <f t="shared" si="212"/>
        <v>0</v>
      </c>
      <c r="K365" s="751">
        <f t="shared" si="212"/>
        <v>0</v>
      </c>
      <c r="L365" s="751">
        <f>+L380+L437++L389+L401+L410+L419+L428+L452</f>
        <v>0</v>
      </c>
      <c r="M365" s="2733">
        <f>SUM(G365:K365)</f>
        <v>21064709</v>
      </c>
      <c r="N365" s="3534"/>
      <c r="O365" s="2763"/>
      <c r="P365" s="2763"/>
    </row>
    <row r="366" spans="1:16" s="2764" customFormat="1" ht="11.25" customHeight="1">
      <c r="A366" s="3539"/>
      <c r="B366" s="29" t="s">
        <v>14</v>
      </c>
      <c r="C366" s="30"/>
      <c r="D366" s="751">
        <f>+D390</f>
        <v>57003</v>
      </c>
      <c r="E366" s="751">
        <f t="shared" ref="E366:K366" si="213">+E390</f>
        <v>57003</v>
      </c>
      <c r="F366" s="751">
        <f t="shared" si="213"/>
        <v>0</v>
      </c>
      <c r="G366" s="751">
        <f t="shared" si="213"/>
        <v>0</v>
      </c>
      <c r="H366" s="751">
        <f t="shared" si="213"/>
        <v>0</v>
      </c>
      <c r="I366" s="751">
        <f t="shared" si="213"/>
        <v>0</v>
      </c>
      <c r="J366" s="751">
        <f t="shared" si="213"/>
        <v>0</v>
      </c>
      <c r="K366" s="751">
        <f t="shared" si="213"/>
        <v>0</v>
      </c>
      <c r="L366" s="751">
        <f>+L390</f>
        <v>0</v>
      </c>
      <c r="M366" s="2733">
        <f>SUM(G366:K366)</f>
        <v>0</v>
      </c>
      <c r="N366" s="3534"/>
      <c r="O366" s="2763"/>
      <c r="P366" s="2763"/>
    </row>
    <row r="367" spans="1:16" s="664" customFormat="1" ht="13.5" customHeight="1">
      <c r="A367" s="3539"/>
      <c r="B367" s="752" t="s">
        <v>91</v>
      </c>
      <c r="C367" s="753"/>
      <c r="D367" s="754">
        <f>+D368+D369</f>
        <v>24854667</v>
      </c>
      <c r="E367" s="754">
        <f>+E368+E369</f>
        <v>6414189</v>
      </c>
      <c r="F367" s="754">
        <f t="shared" ref="F367:K367" si="214">+F368+F369</f>
        <v>1732976</v>
      </c>
      <c r="G367" s="754">
        <f t="shared" si="214"/>
        <v>13106941</v>
      </c>
      <c r="H367" s="754">
        <f t="shared" si="214"/>
        <v>3600561</v>
      </c>
      <c r="I367" s="754">
        <f t="shared" si="214"/>
        <v>0</v>
      </c>
      <c r="J367" s="754">
        <f t="shared" si="214"/>
        <v>0</v>
      </c>
      <c r="K367" s="754">
        <f t="shared" si="214"/>
        <v>0</v>
      </c>
      <c r="L367" s="754">
        <f>+L368+L369</f>
        <v>0</v>
      </c>
      <c r="M367" s="476">
        <f>+M368+M369</f>
        <v>16707502</v>
      </c>
      <c r="N367" s="3534"/>
      <c r="P367" s="2763"/>
    </row>
    <row r="368" spans="1:16" s="2764" customFormat="1" ht="12.75" hidden="1" customHeight="1">
      <c r="A368" s="3539"/>
      <c r="B368" s="29" t="s">
        <v>18</v>
      </c>
      <c r="C368" s="30"/>
      <c r="D368" s="751"/>
      <c r="E368" s="751"/>
      <c r="F368" s="751"/>
      <c r="G368" s="751"/>
      <c r="H368" s="751"/>
      <c r="I368" s="751"/>
      <c r="J368" s="751">
        <f>J442+J457</f>
        <v>0</v>
      </c>
      <c r="K368" s="751">
        <f>K442+K457</f>
        <v>0</v>
      </c>
      <c r="L368" s="751"/>
      <c r="M368" s="2733">
        <f>SUM(F368:K368)</f>
        <v>0</v>
      </c>
      <c r="N368" s="3534"/>
      <c r="O368" s="2763"/>
      <c r="P368" s="2763"/>
    </row>
    <row r="369" spans="1:16" s="2764" customFormat="1" ht="12.75" customHeight="1">
      <c r="A369" s="3539"/>
      <c r="B369" s="29" t="s">
        <v>19</v>
      </c>
      <c r="C369" s="30"/>
      <c r="D369" s="1905">
        <f>D382+D392+D421+D430+D442+D457</f>
        <v>24854667</v>
      </c>
      <c r="E369" s="1905">
        <f>E382+E392+E421+E430+E442+E457</f>
        <v>6414189</v>
      </c>
      <c r="F369" s="1905">
        <f>F382+F392+F421+F430+F442+F457</f>
        <v>1732976</v>
      </c>
      <c r="G369" s="1905">
        <f t="shared" ref="G369:K369" si="215">G382+G392+G421+G430+G442+G457</f>
        <v>13106941</v>
      </c>
      <c r="H369" s="1905">
        <f t="shared" si="215"/>
        <v>3600561</v>
      </c>
      <c r="I369" s="1905">
        <f t="shared" si="215"/>
        <v>0</v>
      </c>
      <c r="J369" s="1905">
        <f t="shared" si="215"/>
        <v>0</v>
      </c>
      <c r="K369" s="1905">
        <f t="shared" si="215"/>
        <v>0</v>
      </c>
      <c r="L369" s="1905">
        <f>L382+L392+L421+L430+L442+L457</f>
        <v>0</v>
      </c>
      <c r="M369" s="2733">
        <f>SUM(G369:K369)</f>
        <v>16707502</v>
      </c>
      <c r="N369" s="2972"/>
      <c r="O369" s="2763"/>
      <c r="P369" s="2763"/>
    </row>
    <row r="370" spans="1:16" s="2764" customFormat="1" ht="12" customHeight="1">
      <c r="A370" s="3539"/>
      <c r="B370" s="492" t="s">
        <v>20</v>
      </c>
      <c r="C370" s="560"/>
      <c r="D370" s="733">
        <f>+D373+D371</f>
        <v>24911670</v>
      </c>
      <c r="E370" s="733">
        <f t="shared" ref="E370:K370" si="216">+E373+E371</f>
        <v>102737</v>
      </c>
      <c r="F370" s="733">
        <f t="shared" si="216"/>
        <v>6469478</v>
      </c>
      <c r="G370" s="733">
        <f t="shared" si="216"/>
        <v>7789996</v>
      </c>
      <c r="H370" s="733">
        <f t="shared" si="216"/>
        <v>8632091</v>
      </c>
      <c r="I370" s="733">
        <f t="shared" si="216"/>
        <v>1917368</v>
      </c>
      <c r="J370" s="733">
        <f t="shared" si="216"/>
        <v>0</v>
      </c>
      <c r="K370" s="733">
        <f t="shared" si="216"/>
        <v>0</v>
      </c>
      <c r="L370" s="733">
        <f>+L373+L371</f>
        <v>0</v>
      </c>
      <c r="M370" s="3529" t="s">
        <v>21</v>
      </c>
      <c r="N370" s="99"/>
      <c r="O370" s="2763"/>
    </row>
    <row r="371" spans="1:16" s="2764" customFormat="1" ht="12" customHeight="1">
      <c r="A371" s="3539"/>
      <c r="B371" s="96" t="s">
        <v>22</v>
      </c>
      <c r="C371" s="97"/>
      <c r="D371" s="750">
        <f>+D372</f>
        <v>57003</v>
      </c>
      <c r="E371" s="750">
        <v>57003</v>
      </c>
      <c r="F371" s="750"/>
      <c r="G371" s="750"/>
      <c r="H371" s="750"/>
      <c r="I371" s="750"/>
      <c r="J371" s="750"/>
      <c r="K371" s="750"/>
      <c r="L371" s="750"/>
      <c r="M371" s="3530"/>
      <c r="N371" s="99"/>
      <c r="O371" s="2763"/>
    </row>
    <row r="372" spans="1:16" s="2764" customFormat="1" ht="12" customHeight="1">
      <c r="A372" s="3539"/>
      <c r="B372" s="29" t="s">
        <v>14</v>
      </c>
      <c r="C372" s="30"/>
      <c r="D372" s="751">
        <f>+D395</f>
        <v>57003</v>
      </c>
      <c r="E372" s="751">
        <f>+E390</f>
        <v>57003</v>
      </c>
      <c r="F372" s="751">
        <f t="shared" ref="F372:J372" si="217">+F390</f>
        <v>0</v>
      </c>
      <c r="G372" s="751">
        <f t="shared" si="217"/>
        <v>0</v>
      </c>
      <c r="H372" s="751">
        <f t="shared" si="217"/>
        <v>0</v>
      </c>
      <c r="I372" s="751">
        <f t="shared" si="217"/>
        <v>0</v>
      </c>
      <c r="J372" s="751">
        <f t="shared" si="217"/>
        <v>0</v>
      </c>
      <c r="K372" s="751">
        <f t="shared" ref="K372" si="218">+K395</f>
        <v>0</v>
      </c>
      <c r="L372" s="751">
        <f>+L390</f>
        <v>0</v>
      </c>
      <c r="M372" s="3530"/>
      <c r="N372" s="99"/>
      <c r="O372" s="2763"/>
    </row>
    <row r="373" spans="1:16" s="2764" customFormat="1" ht="12.75" customHeight="1">
      <c r="A373" s="3539"/>
      <c r="B373" s="1906" t="s">
        <v>17</v>
      </c>
      <c r="C373" s="1797"/>
      <c r="D373" s="1907">
        <f t="shared" ref="D373:K373" si="219">+D374+D375</f>
        <v>24854667</v>
      </c>
      <c r="E373" s="1907">
        <f t="shared" si="219"/>
        <v>45734</v>
      </c>
      <c r="F373" s="1907">
        <f t="shared" si="219"/>
        <v>6469478</v>
      </c>
      <c r="G373" s="1907">
        <f t="shared" si="219"/>
        <v>7789996</v>
      </c>
      <c r="H373" s="1907">
        <f t="shared" si="219"/>
        <v>8632091</v>
      </c>
      <c r="I373" s="1907">
        <f t="shared" si="219"/>
        <v>1917368</v>
      </c>
      <c r="J373" s="1907">
        <f t="shared" si="219"/>
        <v>0</v>
      </c>
      <c r="K373" s="1907">
        <f t="shared" si="219"/>
        <v>0</v>
      </c>
      <c r="L373" s="1907">
        <f>+L374+L375</f>
        <v>0</v>
      </c>
      <c r="M373" s="3530"/>
      <c r="N373" s="2972"/>
      <c r="O373" s="2763"/>
    </row>
    <row r="374" spans="1:16" s="2764" customFormat="1" ht="13.5" hidden="1" customHeight="1" thickBot="1">
      <c r="A374" s="3539"/>
      <c r="B374" s="223" t="s">
        <v>18</v>
      </c>
      <c r="C374" s="680"/>
      <c r="D374" s="1908"/>
      <c r="E374" s="1908"/>
      <c r="F374" s="1908"/>
      <c r="G374" s="1908"/>
      <c r="H374" s="1908"/>
      <c r="I374" s="1908">
        <f>I448+I463</f>
        <v>0</v>
      </c>
      <c r="J374" s="1908">
        <f>J448+J463</f>
        <v>0</v>
      </c>
      <c r="K374" s="1908">
        <f>K448+K463</f>
        <v>0</v>
      </c>
      <c r="L374" s="1908"/>
      <c r="M374" s="3530"/>
      <c r="N374" s="2972"/>
      <c r="O374" s="2763">
        <f>D374-D368</f>
        <v>0</v>
      </c>
    </row>
    <row r="375" spans="1:16" ht="12" customHeight="1" thickBot="1">
      <c r="A375" s="3540"/>
      <c r="B375" s="665" t="s">
        <v>19</v>
      </c>
      <c r="C375" s="666"/>
      <c r="D375" s="100">
        <f>D385+D397+D424+D433+D448+D463</f>
        <v>24854667</v>
      </c>
      <c r="E375" s="100">
        <f t="shared" ref="E375" si="220">E385+E397+E424+E433+E448+E463</f>
        <v>45734</v>
      </c>
      <c r="F375" s="100">
        <f>F385+F397+F424+F433+F448+F463</f>
        <v>6469478</v>
      </c>
      <c r="G375" s="100">
        <f t="shared" ref="G375:K375" si="221">G385+G397+G424+G433+G448+G463</f>
        <v>7789996</v>
      </c>
      <c r="H375" s="100">
        <f t="shared" si="221"/>
        <v>8632091</v>
      </c>
      <c r="I375" s="100">
        <f t="shared" si="221"/>
        <v>1917368</v>
      </c>
      <c r="J375" s="100">
        <f t="shared" si="221"/>
        <v>0</v>
      </c>
      <c r="K375" s="100">
        <f t="shared" si="221"/>
        <v>0</v>
      </c>
      <c r="L375" s="100">
        <f>L385+L397+L424+L433+L448+L463</f>
        <v>0</v>
      </c>
      <c r="M375" s="3531"/>
      <c r="N375" s="101"/>
    </row>
    <row r="376" spans="1:16" ht="20.25" customHeight="1" thickBot="1">
      <c r="A376" s="2970"/>
      <c r="B376" s="236" t="s">
        <v>451</v>
      </c>
      <c r="C376" s="2973"/>
      <c r="D376" s="667"/>
      <c r="E376" s="2765"/>
      <c r="F376" s="668"/>
      <c r="G376" s="669"/>
      <c r="H376" s="177"/>
      <c r="I376" s="669"/>
      <c r="J376" s="669"/>
      <c r="K376" s="669"/>
      <c r="L376" s="668"/>
      <c r="M376" s="2766"/>
      <c r="N376" s="2971"/>
    </row>
    <row r="377" spans="1:16" ht="28.5" customHeight="1">
      <c r="A377" s="3402" t="s">
        <v>243</v>
      </c>
      <c r="B377" s="237" t="s">
        <v>444</v>
      </c>
      <c r="C377" s="48" t="s">
        <v>72</v>
      </c>
      <c r="D377" s="2222"/>
      <c r="E377" s="2221"/>
      <c r="F377" s="2221"/>
      <c r="G377" s="2221"/>
      <c r="H377" s="2221"/>
      <c r="I377" s="2221"/>
      <c r="J377" s="2221"/>
      <c r="K377" s="34"/>
      <c r="L377" s="2221"/>
      <c r="M377" s="2739"/>
      <c r="N377" s="3380" t="s">
        <v>77</v>
      </c>
    </row>
    <row r="378" spans="1:16">
      <c r="A378" s="3403"/>
      <c r="B378" s="492" t="s">
        <v>9</v>
      </c>
      <c r="C378" s="1169"/>
      <c r="D378" s="1192">
        <f>+D379+D381</f>
        <v>12985378</v>
      </c>
      <c r="E378" s="1192">
        <f t="shared" ref="E378" si="222">+E379+E381</f>
        <v>7451686</v>
      </c>
      <c r="F378" s="1192">
        <f>+F379+F381</f>
        <v>5533692</v>
      </c>
      <c r="G378" s="1192"/>
      <c r="H378" s="1192"/>
      <c r="I378" s="1192"/>
      <c r="J378" s="1192"/>
      <c r="K378" s="1192"/>
      <c r="L378" s="1192">
        <f>+L379+L381</f>
        <v>0</v>
      </c>
      <c r="M378" s="1171">
        <f>+M379+M381</f>
        <v>0</v>
      </c>
      <c r="N378" s="3381"/>
      <c r="O378" s="362"/>
    </row>
    <row r="379" spans="1:16">
      <c r="A379" s="3403"/>
      <c r="B379" s="470" t="s">
        <v>22</v>
      </c>
      <c r="C379" s="3448" t="s">
        <v>75</v>
      </c>
      <c r="D379" s="1193">
        <f>+D380</f>
        <v>5335378</v>
      </c>
      <c r="E379" s="1193">
        <f t="shared" ref="E379:F379" si="223">+E380</f>
        <v>1206282</v>
      </c>
      <c r="F379" s="1193">
        <f t="shared" si="223"/>
        <v>4129096</v>
      </c>
      <c r="G379" s="1193"/>
      <c r="H379" s="1193"/>
      <c r="I379" s="1193"/>
      <c r="J379" s="1193"/>
      <c r="K379" s="1193"/>
      <c r="L379" s="1193">
        <f>+L380</f>
        <v>0</v>
      </c>
      <c r="M379" s="1174">
        <f>+M380</f>
        <v>0</v>
      </c>
      <c r="N379" s="3381"/>
    </row>
    <row r="380" spans="1:16">
      <c r="A380" s="3403"/>
      <c r="B380" s="739" t="s">
        <v>11</v>
      </c>
      <c r="C380" s="3441"/>
      <c r="D380" s="1113">
        <f>E380+L380+F380+G380+H380+I380+J380+K380</f>
        <v>5335378</v>
      </c>
      <c r="E380" s="1147">
        <f>20256+1186026</f>
        <v>1206282</v>
      </c>
      <c r="F380" s="1185">
        <f>3265801+266359+611558-14622</f>
        <v>4129096</v>
      </c>
      <c r="G380" s="1185"/>
      <c r="H380" s="1185"/>
      <c r="I380" s="1185"/>
      <c r="J380" s="1185"/>
      <c r="K380" s="1185"/>
      <c r="L380" s="1185">
        <v>0</v>
      </c>
      <c r="M380" s="2733">
        <f>SUM(G380:K380)</f>
        <v>0</v>
      </c>
      <c r="N380" s="3381"/>
    </row>
    <row r="381" spans="1:16">
      <c r="A381" s="3403"/>
      <c r="B381" s="735" t="s">
        <v>17</v>
      </c>
      <c r="C381" s="3441"/>
      <c r="D381" s="1173">
        <f>+D382</f>
        <v>7650000</v>
      </c>
      <c r="E381" s="1173">
        <f t="shared" ref="E381:F381" si="224">+E382</f>
        <v>6245404</v>
      </c>
      <c r="F381" s="1173">
        <f t="shared" si="224"/>
        <v>1404596</v>
      </c>
      <c r="G381" s="1173"/>
      <c r="H381" s="1173"/>
      <c r="I381" s="1173"/>
      <c r="J381" s="1173"/>
      <c r="K381" s="1173"/>
      <c r="L381" s="1173">
        <f>+L382</f>
        <v>0</v>
      </c>
      <c r="M381" s="1174">
        <f>+M382</f>
        <v>0</v>
      </c>
      <c r="N381" s="3381"/>
    </row>
    <row r="382" spans="1:16">
      <c r="A382" s="3403"/>
      <c r="B382" s="1416" t="s">
        <v>19</v>
      </c>
      <c r="C382" s="3442"/>
      <c r="D382" s="1113">
        <f>E382+L382+F382+G382+H382+I382+J382+K382</f>
        <v>7650000</v>
      </c>
      <c r="E382" s="1185">
        <f>5576376+1196060+74622+760000-1086523-886689+611558</f>
        <v>6245404</v>
      </c>
      <c r="F382" s="1185">
        <f>1086523+929631-611558</f>
        <v>1404596</v>
      </c>
      <c r="G382" s="1185"/>
      <c r="H382" s="1185"/>
      <c r="I382" s="1185"/>
      <c r="J382" s="1185"/>
      <c r="K382" s="1185"/>
      <c r="L382" s="1185">
        <v>0</v>
      </c>
      <c r="M382" s="2733">
        <f>SUM(G382:K382)</f>
        <v>0</v>
      </c>
      <c r="N382" s="3389"/>
      <c r="O382" s="362"/>
    </row>
    <row r="383" spans="1:16">
      <c r="A383" s="3430"/>
      <c r="B383" s="492" t="s">
        <v>20</v>
      </c>
      <c r="C383" s="1169"/>
      <c r="D383" s="1170">
        <f>+D384</f>
        <v>7650000</v>
      </c>
      <c r="E383" s="1417">
        <f t="shared" ref="E383:G384" si="225">+E384</f>
        <v>0</v>
      </c>
      <c r="F383" s="1170">
        <f t="shared" si="225"/>
        <v>6245404</v>
      </c>
      <c r="G383" s="1170">
        <f t="shared" si="225"/>
        <v>1404596</v>
      </c>
      <c r="H383" s="1170"/>
      <c r="I383" s="1170"/>
      <c r="J383" s="1170"/>
      <c r="K383" s="1170"/>
      <c r="L383" s="1417">
        <f>+L384</f>
        <v>0</v>
      </c>
      <c r="M383" s="3411" t="s">
        <v>21</v>
      </c>
      <c r="N383" s="3414" t="s">
        <v>92</v>
      </c>
      <c r="O383" s="362"/>
    </row>
    <row r="384" spans="1:16" s="2737" customFormat="1" ht="12.75" customHeight="1">
      <c r="A384" s="3430"/>
      <c r="B384" s="735" t="s">
        <v>17</v>
      </c>
      <c r="C384" s="3448" t="s">
        <v>75</v>
      </c>
      <c r="D384" s="1190">
        <f>+D385</f>
        <v>7650000</v>
      </c>
      <c r="E384" s="2767">
        <v>0</v>
      </c>
      <c r="F384" s="1196">
        <f t="shared" si="225"/>
        <v>6245404</v>
      </c>
      <c r="G384" s="1196">
        <f t="shared" si="225"/>
        <v>1404596</v>
      </c>
      <c r="H384" s="1190"/>
      <c r="I384" s="1190"/>
      <c r="J384" s="1190"/>
      <c r="K384" s="1190"/>
      <c r="L384" s="2767">
        <f>+L385</f>
        <v>0</v>
      </c>
      <c r="M384" s="3412"/>
      <c r="N384" s="3415"/>
    </row>
    <row r="385" spans="1:15" ht="12" customHeight="1" thickBot="1">
      <c r="A385" s="3431"/>
      <c r="B385" s="621" t="s">
        <v>19</v>
      </c>
      <c r="C385" s="3439"/>
      <c r="D385" s="1257">
        <f>E385+L385+F385+G385+H385+I385+J385+K385</f>
        <v>7650000</v>
      </c>
      <c r="E385" s="2768">
        <v>0</v>
      </c>
      <c r="F385" s="1423">
        <f>2861124+4745934-1600000+238346</f>
        <v>6245404</v>
      </c>
      <c r="G385" s="1423">
        <f>1642942-238346</f>
        <v>1404596</v>
      </c>
      <c r="H385" s="1423"/>
      <c r="I385" s="1423"/>
      <c r="J385" s="1423"/>
      <c r="K385" s="1423"/>
      <c r="L385" s="1424">
        <v>0</v>
      </c>
      <c r="M385" s="3413"/>
      <c r="N385" s="3416"/>
    </row>
    <row r="386" spans="1:15" ht="24">
      <c r="A386" s="3402" t="s">
        <v>94</v>
      </c>
      <c r="B386" s="237" t="s">
        <v>445</v>
      </c>
      <c r="C386" s="48" t="s">
        <v>72</v>
      </c>
      <c r="D386" s="2222"/>
      <c r="E386" s="2221"/>
      <c r="F386" s="2221"/>
      <c r="G386" s="2221"/>
      <c r="H386" s="2221"/>
      <c r="I386" s="2221"/>
      <c r="J386" s="2221"/>
      <c r="K386" s="34"/>
      <c r="L386" s="2221"/>
      <c r="M386" s="2739"/>
      <c r="N386" s="3380" t="s">
        <v>77</v>
      </c>
    </row>
    <row r="387" spans="1:15">
      <c r="A387" s="3403"/>
      <c r="B387" s="492" t="s">
        <v>9</v>
      </c>
      <c r="C387" s="389"/>
      <c r="D387" s="1550">
        <f>+D388+D391</f>
        <v>17624366</v>
      </c>
      <c r="E387" s="1550">
        <f t="shared" ref="E387" si="226">+E388+E391</f>
        <v>395660</v>
      </c>
      <c r="F387" s="1550">
        <f t="shared" ref="F387:G387" si="227">+F388+F391</f>
        <v>0</v>
      </c>
      <c r="G387" s="1550">
        <f t="shared" si="227"/>
        <v>17228706</v>
      </c>
      <c r="H387" s="1550"/>
      <c r="I387" s="1550"/>
      <c r="J387" s="1550"/>
      <c r="K387" s="1550"/>
      <c r="L387" s="1551">
        <f>+L388+L391</f>
        <v>0</v>
      </c>
      <c r="M387" s="1552">
        <f>+M388+M391</f>
        <v>17228706</v>
      </c>
      <c r="N387" s="3381"/>
      <c r="O387" s="362"/>
    </row>
    <row r="388" spans="1:15">
      <c r="A388" s="3403"/>
      <c r="B388" s="470" t="s">
        <v>22</v>
      </c>
      <c r="C388" s="3400" t="s">
        <v>75</v>
      </c>
      <c r="D388" s="1553">
        <f>+D389+D390</f>
        <v>10805666</v>
      </c>
      <c r="E388" s="1553">
        <f t="shared" ref="E388" si="228">+E389+E390</f>
        <v>395660</v>
      </c>
      <c r="F388" s="1553">
        <f>+F389+F390</f>
        <v>0</v>
      </c>
      <c r="G388" s="1553">
        <f>+G389+G390</f>
        <v>10410006</v>
      </c>
      <c r="H388" s="1553"/>
      <c r="I388" s="1553"/>
      <c r="J388" s="1553"/>
      <c r="K388" s="1553"/>
      <c r="L388" s="1554">
        <v>0</v>
      </c>
      <c r="M388" s="476">
        <f>+M389</f>
        <v>10410006</v>
      </c>
      <c r="N388" s="3381"/>
    </row>
    <row r="389" spans="1:15">
      <c r="A389" s="3403"/>
      <c r="B389" s="739" t="s">
        <v>11</v>
      </c>
      <c r="C389" s="3441"/>
      <c r="D389" s="724">
        <f>E389+L389+F389+G389+H389+I389+J389+K389</f>
        <v>10748663</v>
      </c>
      <c r="E389" s="732">
        <v>338657</v>
      </c>
      <c r="F389" s="1562">
        <f>1887021+23820-1309191-151650-375000-75000</f>
        <v>0</v>
      </c>
      <c r="G389" s="1562">
        <f>601650+4147356+375000+5286000</f>
        <v>10410006</v>
      </c>
      <c r="H389" s="1562"/>
      <c r="I389" s="1562"/>
      <c r="J389" s="1562"/>
      <c r="K389" s="1562"/>
      <c r="L389" s="1218">
        <v>0</v>
      </c>
      <c r="M389" s="2733">
        <f>SUM(G389:K389)</f>
        <v>10410006</v>
      </c>
      <c r="N389" s="3381"/>
    </row>
    <row r="390" spans="1:15" ht="12" customHeight="1">
      <c r="A390" s="3403"/>
      <c r="B390" s="739" t="s">
        <v>14</v>
      </c>
      <c r="C390" s="3441"/>
      <c r="D390" s="724">
        <f>E390+L390+F390+G390+H390+I390+J390+K390</f>
        <v>57003</v>
      </c>
      <c r="E390" s="732">
        <v>57003</v>
      </c>
      <c r="F390" s="1218">
        <v>0</v>
      </c>
      <c r="G390" s="1218"/>
      <c r="H390" s="1218"/>
      <c r="I390" s="1218"/>
      <c r="J390" s="1218"/>
      <c r="K390" s="1218"/>
      <c r="L390" s="1218">
        <v>0</v>
      </c>
      <c r="M390" s="2733">
        <f>SUM(G390:K390)</f>
        <v>0</v>
      </c>
      <c r="N390" s="3381"/>
    </row>
    <row r="391" spans="1:15">
      <c r="A391" s="3403"/>
      <c r="B391" s="735" t="s">
        <v>17</v>
      </c>
      <c r="C391" s="3441"/>
      <c r="D391" s="477">
        <f>+D392</f>
        <v>6818700</v>
      </c>
      <c r="E391" s="477">
        <f t="shared" ref="E391:G391" si="229">+E392</f>
        <v>0</v>
      </c>
      <c r="F391" s="477">
        <f t="shared" si="229"/>
        <v>0</v>
      </c>
      <c r="G391" s="477">
        <f t="shared" si="229"/>
        <v>6818700</v>
      </c>
      <c r="H391" s="477"/>
      <c r="I391" s="477"/>
      <c r="J391" s="477"/>
      <c r="K391" s="477"/>
      <c r="L391" s="1554">
        <v>0</v>
      </c>
      <c r="M391" s="476">
        <f>+M392</f>
        <v>6818700</v>
      </c>
      <c r="N391" s="3381"/>
    </row>
    <row r="392" spans="1:15" ht="12" customHeight="1">
      <c r="A392" s="3403"/>
      <c r="B392" s="615" t="s">
        <v>19</v>
      </c>
      <c r="C392" s="3442"/>
      <c r="D392" s="724">
        <f>E392+L392+F392+G392+H392+I392+J392+K392</f>
        <v>6818700</v>
      </c>
      <c r="E392" s="732">
        <v>0</v>
      </c>
      <c r="F392" s="1562">
        <f>6034979+76180-2701809-859350-2125000-425000</f>
        <v>0</v>
      </c>
      <c r="G392" s="1562">
        <f>3409350+859350+2125000+425000</f>
        <v>6818700</v>
      </c>
      <c r="H392" s="1562"/>
      <c r="I392" s="1562"/>
      <c r="J392" s="1562"/>
      <c r="K392" s="1562"/>
      <c r="L392" s="1218">
        <v>0</v>
      </c>
      <c r="M392" s="2733">
        <f>SUM(G392:K392)</f>
        <v>6818700</v>
      </c>
      <c r="N392" s="3389"/>
      <c r="O392" s="362"/>
    </row>
    <row r="393" spans="1:15" ht="11.25" customHeight="1">
      <c r="A393" s="3430"/>
      <c r="B393" s="492" t="s">
        <v>20</v>
      </c>
      <c r="C393" s="389"/>
      <c r="D393" s="536">
        <f>+D394+D396</f>
        <v>6875703</v>
      </c>
      <c r="E393" s="536">
        <f t="shared" ref="E393" si="230">+E394+E396</f>
        <v>57003</v>
      </c>
      <c r="F393" s="536">
        <f t="shared" ref="F393:H393" si="231">+F394+F396</f>
        <v>0</v>
      </c>
      <c r="G393" s="536">
        <f t="shared" si="231"/>
        <v>4091220</v>
      </c>
      <c r="H393" s="536">
        <f t="shared" si="231"/>
        <v>2727480</v>
      </c>
      <c r="I393" s="536"/>
      <c r="J393" s="536"/>
      <c r="K393" s="536"/>
      <c r="L393" s="561">
        <f>+L394+L396</f>
        <v>0</v>
      </c>
      <c r="M393" s="3432" t="s">
        <v>21</v>
      </c>
      <c r="N393" s="3440" t="s">
        <v>92</v>
      </c>
    </row>
    <row r="394" spans="1:15">
      <c r="A394" s="3430"/>
      <c r="B394" s="735" t="s">
        <v>22</v>
      </c>
      <c r="C394" s="3469" t="s">
        <v>75</v>
      </c>
      <c r="D394" s="1553">
        <f>+D395</f>
        <v>57003</v>
      </c>
      <c r="E394" s="1553">
        <f t="shared" ref="E394" si="232">+E395</f>
        <v>57003</v>
      </c>
      <c r="F394" s="1554">
        <v>0</v>
      </c>
      <c r="G394" s="1554">
        <v>0</v>
      </c>
      <c r="H394" s="1554">
        <v>0</v>
      </c>
      <c r="I394" s="1554"/>
      <c r="J394" s="1554"/>
      <c r="K394" s="1554"/>
      <c r="L394" s="1554">
        <v>0</v>
      </c>
      <c r="M394" s="3412"/>
      <c r="N394" s="3415"/>
    </row>
    <row r="395" spans="1:15">
      <c r="A395" s="3430"/>
      <c r="B395" s="615" t="s">
        <v>14</v>
      </c>
      <c r="C395" s="3470"/>
      <c r="D395" s="724">
        <f>E395+L395+F395+G395+H395+I395+J395+K395</f>
        <v>57003</v>
      </c>
      <c r="E395" s="732">
        <v>57003</v>
      </c>
      <c r="F395" s="1218">
        <v>0</v>
      </c>
      <c r="G395" s="1218">
        <v>0</v>
      </c>
      <c r="H395" s="1218">
        <v>0</v>
      </c>
      <c r="I395" s="1218"/>
      <c r="J395" s="1218"/>
      <c r="K395" s="1218"/>
      <c r="L395" s="1218">
        <v>0</v>
      </c>
      <c r="M395" s="3412"/>
      <c r="N395" s="3415"/>
    </row>
    <row r="396" spans="1:15" s="2737" customFormat="1" ht="12.75" customHeight="1">
      <c r="A396" s="3430"/>
      <c r="B396" s="735" t="s">
        <v>17</v>
      </c>
      <c r="C396" s="3470"/>
      <c r="D396" s="670">
        <f>+D397</f>
        <v>6818700</v>
      </c>
      <c r="E396" s="2769">
        <f t="shared" ref="E396:H396" si="233">+E397</f>
        <v>0</v>
      </c>
      <c r="F396" s="1578">
        <f t="shared" si="233"/>
        <v>0</v>
      </c>
      <c r="G396" s="1578">
        <f t="shared" si="233"/>
        <v>4091220</v>
      </c>
      <c r="H396" s="1578">
        <f t="shared" si="233"/>
        <v>2727480</v>
      </c>
      <c r="I396" s="670"/>
      <c r="J396" s="670"/>
      <c r="K396" s="670"/>
      <c r="L396" s="1554">
        <v>0</v>
      </c>
      <c r="M396" s="3412"/>
      <c r="N396" s="3415"/>
    </row>
    <row r="397" spans="1:15" ht="12" customHeight="1" thickBot="1">
      <c r="A397" s="3431"/>
      <c r="B397" s="621" t="s">
        <v>19</v>
      </c>
      <c r="C397" s="3471"/>
      <c r="D397" s="1484">
        <f>E397+L397+F397+G397+H397+I397+J397+K397</f>
        <v>6818700</v>
      </c>
      <c r="E397" s="1484">
        <v>0</v>
      </c>
      <c r="F397" s="1423">
        <f>2555629+1141538-2197167-1500000</f>
        <v>0</v>
      </c>
      <c r="G397" s="1423">
        <f>2413992+2904708-1227480</f>
        <v>4091220</v>
      </c>
      <c r="H397" s="1423">
        <v>2727480</v>
      </c>
      <c r="I397" s="1423"/>
      <c r="J397" s="1423"/>
      <c r="K397" s="1423"/>
      <c r="L397" s="2770">
        <v>0</v>
      </c>
      <c r="M397" s="3413"/>
      <c r="N397" s="3416"/>
    </row>
    <row r="398" spans="1:15" ht="24.75" hidden="1" customHeight="1">
      <c r="A398" s="3402" t="s">
        <v>90</v>
      </c>
      <c r="B398" s="237"/>
      <c r="C398" s="48" t="s">
        <v>72</v>
      </c>
      <c r="D398" s="104"/>
      <c r="E398" s="2771"/>
      <c r="F398" s="35"/>
      <c r="G398" s="205"/>
      <c r="H398" s="34"/>
      <c r="I398" s="205"/>
      <c r="J398" s="205"/>
      <c r="K398" s="205"/>
      <c r="L398" s="35"/>
      <c r="M398" s="2739"/>
      <c r="N398" s="3380" t="s">
        <v>77</v>
      </c>
      <c r="O398" s="201" t="s">
        <v>254</v>
      </c>
    </row>
    <row r="399" spans="1:15" ht="13.5" hidden="1" thickBot="1">
      <c r="A399" s="3403"/>
      <c r="B399" s="1785" t="s">
        <v>9</v>
      </c>
      <c r="C399" s="1169"/>
      <c r="D399" s="1550">
        <f>+D400+D402</f>
        <v>0</v>
      </c>
      <c r="E399" s="1550">
        <f t="shared" ref="E399" si="234">+E400+E402</f>
        <v>0</v>
      </c>
      <c r="F399" s="1550">
        <f t="shared" ref="F399:G399" si="235">+F400+F402</f>
        <v>0</v>
      </c>
      <c r="G399" s="1550">
        <f t="shared" si="235"/>
        <v>0</v>
      </c>
      <c r="H399" s="1550"/>
      <c r="I399" s="1550"/>
      <c r="J399" s="1550"/>
      <c r="K399" s="1550"/>
      <c r="L399" s="1550">
        <f>+L400+L402</f>
        <v>0</v>
      </c>
      <c r="M399" s="1552">
        <f>+M400+M402</f>
        <v>0</v>
      </c>
      <c r="N399" s="3381"/>
    </row>
    <row r="400" spans="1:15" ht="13.5" hidden="1" thickBot="1">
      <c r="A400" s="3403"/>
      <c r="B400" s="1806" t="s">
        <v>22</v>
      </c>
      <c r="C400" s="3400" t="s">
        <v>75</v>
      </c>
      <c r="D400" s="1553">
        <f>+D401</f>
        <v>0</v>
      </c>
      <c r="E400" s="1553">
        <f t="shared" ref="E400:G400" si="236">+E401</f>
        <v>0</v>
      </c>
      <c r="F400" s="1553">
        <f t="shared" si="236"/>
        <v>0</v>
      </c>
      <c r="G400" s="1553">
        <f t="shared" si="236"/>
        <v>0</v>
      </c>
      <c r="H400" s="1553"/>
      <c r="I400" s="1553"/>
      <c r="J400" s="1553"/>
      <c r="K400" s="1553"/>
      <c r="L400" s="1553">
        <f>+L401</f>
        <v>0</v>
      </c>
      <c r="M400" s="476">
        <f>+M401</f>
        <v>0</v>
      </c>
      <c r="N400" s="3381"/>
    </row>
    <row r="401" spans="1:15" ht="13.5" hidden="1" thickBot="1">
      <c r="A401" s="3403"/>
      <c r="B401" s="1807" t="s">
        <v>11</v>
      </c>
      <c r="C401" s="3441"/>
      <c r="D401" s="724"/>
      <c r="E401" s="732"/>
      <c r="F401" s="1562">
        <f>1854503+17167-1310168-561502</f>
        <v>0</v>
      </c>
      <c r="G401" s="1562">
        <f>1550169-1550169</f>
        <v>0</v>
      </c>
      <c r="H401" s="1562"/>
      <c r="I401" s="1562"/>
      <c r="J401" s="1562"/>
      <c r="K401" s="1562"/>
      <c r="L401" s="1562"/>
      <c r="M401" s="2733">
        <f>SUM(F401:K401)</f>
        <v>0</v>
      </c>
      <c r="N401" s="3381"/>
    </row>
    <row r="402" spans="1:15" ht="13.5" hidden="1" thickBot="1">
      <c r="A402" s="3403"/>
      <c r="B402" s="1808" t="s">
        <v>17</v>
      </c>
      <c r="C402" s="3441"/>
      <c r="D402" s="477">
        <f>+D403</f>
        <v>0</v>
      </c>
      <c r="E402" s="477">
        <f t="shared" ref="E402:G402" si="237">+E403</f>
        <v>0</v>
      </c>
      <c r="F402" s="477">
        <f t="shared" si="237"/>
        <v>0</v>
      </c>
      <c r="G402" s="477">
        <f t="shared" si="237"/>
        <v>0</v>
      </c>
      <c r="H402" s="477"/>
      <c r="I402" s="477"/>
      <c r="J402" s="477"/>
      <c r="K402" s="477"/>
      <c r="L402" s="477">
        <f>+L403</f>
        <v>0</v>
      </c>
      <c r="M402" s="476">
        <f>+M403</f>
        <v>0</v>
      </c>
      <c r="N402" s="3381"/>
    </row>
    <row r="403" spans="1:15" ht="13.5" hidden="1" thickBot="1">
      <c r="A403" s="3403"/>
      <c r="B403" s="615" t="s">
        <v>19</v>
      </c>
      <c r="C403" s="3442"/>
      <c r="D403" s="724">
        <f>E403+L403+F403+G403+H403+I403+J403+K403</f>
        <v>0</v>
      </c>
      <c r="E403" s="732">
        <f>4205-4205</f>
        <v>0</v>
      </c>
      <c r="F403" s="1562">
        <f>6124035-4286825-1837210</f>
        <v>0</v>
      </c>
      <c r="G403" s="1562">
        <f>5046825-5046825</f>
        <v>0</v>
      </c>
      <c r="H403" s="1562"/>
      <c r="I403" s="1562"/>
      <c r="J403" s="1562"/>
      <c r="K403" s="1562"/>
      <c r="L403" s="1562">
        <f>5928372+953820+1843-6884035</f>
        <v>0</v>
      </c>
      <c r="M403" s="2733">
        <f>SUM(F403:K403)</f>
        <v>0</v>
      </c>
      <c r="N403" s="3389"/>
      <c r="O403" s="362"/>
    </row>
    <row r="404" spans="1:15" ht="12.75" hidden="1" customHeight="1">
      <c r="A404" s="3430"/>
      <c r="B404" s="1785" t="s">
        <v>20</v>
      </c>
      <c r="C404" s="1169"/>
      <c r="D404" s="536">
        <f>+D405</f>
        <v>0</v>
      </c>
      <c r="E404" s="536">
        <f t="shared" ref="E404:H405" si="238">+E405</f>
        <v>0</v>
      </c>
      <c r="F404" s="536">
        <f t="shared" si="238"/>
        <v>0</v>
      </c>
      <c r="G404" s="536">
        <f t="shared" si="238"/>
        <v>0</v>
      </c>
      <c r="H404" s="536">
        <f t="shared" si="238"/>
        <v>0</v>
      </c>
      <c r="I404" s="536"/>
      <c r="J404" s="536"/>
      <c r="K404" s="536"/>
      <c r="L404" s="536">
        <f>+L405</f>
        <v>0</v>
      </c>
      <c r="M404" s="3432" t="s">
        <v>21</v>
      </c>
      <c r="N404" s="3440" t="s">
        <v>92</v>
      </c>
    </row>
    <row r="405" spans="1:15" s="2737" customFormat="1" ht="12.75" hidden="1" customHeight="1">
      <c r="A405" s="3430"/>
      <c r="B405" s="1808" t="s">
        <v>17</v>
      </c>
      <c r="C405" s="3400" t="s">
        <v>75</v>
      </c>
      <c r="D405" s="670">
        <f>+D406</f>
        <v>0</v>
      </c>
      <c r="E405" s="1578">
        <f t="shared" si="238"/>
        <v>0</v>
      </c>
      <c r="F405" s="1578">
        <f t="shared" si="238"/>
        <v>0</v>
      </c>
      <c r="G405" s="1578">
        <f t="shared" si="238"/>
        <v>0</v>
      </c>
      <c r="H405" s="1578">
        <f t="shared" si="238"/>
        <v>0</v>
      </c>
      <c r="I405" s="670"/>
      <c r="J405" s="670"/>
      <c r="K405" s="670"/>
      <c r="L405" s="1578">
        <f>+L406</f>
        <v>0</v>
      </c>
      <c r="M405" s="3412"/>
      <c r="N405" s="3415"/>
    </row>
    <row r="406" spans="1:15" ht="13.5" hidden="1" customHeight="1" thickBot="1">
      <c r="A406" s="3431"/>
      <c r="B406" s="621" t="s">
        <v>19</v>
      </c>
      <c r="C406" s="3439"/>
      <c r="D406" s="1679">
        <f>E406+L406+F406+G406+H406+I406+J406+K406</f>
        <v>0</v>
      </c>
      <c r="E406" s="1679">
        <v>0</v>
      </c>
      <c r="F406" s="1423">
        <f>2978360+931520-3909880</f>
        <v>0</v>
      </c>
      <c r="G406" s="1423">
        <f>2218360+760000-2978360</f>
        <v>0</v>
      </c>
      <c r="H406" s="1423">
        <f>3909880-3909880</f>
        <v>0</v>
      </c>
      <c r="I406" s="1423"/>
      <c r="J406" s="1423"/>
      <c r="K406" s="1423"/>
      <c r="L406" s="1423">
        <f>3909880-3909880</f>
        <v>0</v>
      </c>
      <c r="M406" s="3413"/>
      <c r="N406" s="3416"/>
    </row>
    <row r="407" spans="1:15" ht="22.5" hidden="1" customHeight="1">
      <c r="A407" s="3402" t="s">
        <v>94</v>
      </c>
      <c r="B407" s="237" t="s">
        <v>415</v>
      </c>
      <c r="C407" s="48" t="s">
        <v>72</v>
      </c>
      <c r="D407" s="104"/>
      <c r="E407" s="2771"/>
      <c r="F407" s="35"/>
      <c r="G407" s="205"/>
      <c r="H407" s="34"/>
      <c r="I407" s="205"/>
      <c r="J407" s="205"/>
      <c r="K407" s="205"/>
      <c r="L407" s="35"/>
      <c r="M407" s="2739"/>
      <c r="N407" s="3380" t="s">
        <v>77</v>
      </c>
      <c r="O407" s="201" t="s">
        <v>254</v>
      </c>
    </row>
    <row r="408" spans="1:15" ht="12" hidden="1" customHeight="1">
      <c r="A408" s="3403"/>
      <c r="B408" s="492" t="s">
        <v>9</v>
      </c>
      <c r="C408" s="1191"/>
      <c r="D408" s="1192">
        <f>+D409+D411</f>
        <v>0</v>
      </c>
      <c r="E408" s="1192">
        <f t="shared" ref="E408" si="239">+E409+E411</f>
        <v>0</v>
      </c>
      <c r="F408" s="1192">
        <f t="shared" ref="F408" si="240">+F409+F411</f>
        <v>0</v>
      </c>
      <c r="G408" s="1192"/>
      <c r="H408" s="1192"/>
      <c r="I408" s="1192"/>
      <c r="J408" s="1192"/>
      <c r="K408" s="1192"/>
      <c r="L408" s="1192">
        <f>+L409+L411</f>
        <v>0</v>
      </c>
      <c r="M408" s="1171">
        <f>+M409+M411</f>
        <v>0</v>
      </c>
      <c r="N408" s="3381"/>
    </row>
    <row r="409" spans="1:15" ht="13.5" hidden="1" thickBot="1">
      <c r="A409" s="3403"/>
      <c r="B409" s="470" t="s">
        <v>22</v>
      </c>
      <c r="C409" s="3400" t="s">
        <v>75</v>
      </c>
      <c r="D409" s="1193">
        <f>+D410</f>
        <v>0</v>
      </c>
      <c r="E409" s="1193">
        <f t="shared" ref="E409:F409" si="241">+E410</f>
        <v>0</v>
      </c>
      <c r="F409" s="1193">
        <f t="shared" si="241"/>
        <v>0</v>
      </c>
      <c r="G409" s="1193"/>
      <c r="H409" s="1193"/>
      <c r="I409" s="1193"/>
      <c r="J409" s="1193"/>
      <c r="K409" s="1193"/>
      <c r="L409" s="1193">
        <f>+L410</f>
        <v>0</v>
      </c>
      <c r="M409" s="1174">
        <f>+M410</f>
        <v>0</v>
      </c>
      <c r="N409" s="3381"/>
    </row>
    <row r="410" spans="1:15" ht="13.5" hidden="1" thickBot="1">
      <c r="A410" s="3403"/>
      <c r="B410" s="739" t="s">
        <v>11</v>
      </c>
      <c r="C410" s="3441"/>
      <c r="D410" s="724">
        <f>E410+L410+F410+G410+H410+I410+J410+K410</f>
        <v>0</v>
      </c>
      <c r="E410" s="1147">
        <v>0</v>
      </c>
      <c r="F410" s="1185">
        <f>938336-938336</f>
        <v>0</v>
      </c>
      <c r="G410" s="1185"/>
      <c r="H410" s="1185"/>
      <c r="I410" s="1185"/>
      <c r="J410" s="1185"/>
      <c r="K410" s="1185"/>
      <c r="L410" s="1185">
        <v>0</v>
      </c>
      <c r="M410" s="1187">
        <f>SUM(F410:K410)</f>
        <v>0</v>
      </c>
      <c r="N410" s="3381"/>
    </row>
    <row r="411" spans="1:15" ht="13.5" hidden="1" thickBot="1">
      <c r="A411" s="3403"/>
      <c r="B411" s="735" t="s">
        <v>17</v>
      </c>
      <c r="C411" s="3441"/>
      <c r="D411" s="1173">
        <f>+D412</f>
        <v>0</v>
      </c>
      <c r="E411" s="1173">
        <f t="shared" ref="E411:F411" si="242">+E412</f>
        <v>0</v>
      </c>
      <c r="F411" s="1173">
        <f t="shared" si="242"/>
        <v>0</v>
      </c>
      <c r="G411" s="1173"/>
      <c r="H411" s="1173"/>
      <c r="I411" s="1173"/>
      <c r="J411" s="1173"/>
      <c r="K411" s="1173"/>
      <c r="L411" s="1173">
        <f>+L412</f>
        <v>0</v>
      </c>
      <c r="M411" s="1174">
        <f>+M412</f>
        <v>0</v>
      </c>
      <c r="N411" s="3381"/>
    </row>
    <row r="412" spans="1:15" ht="13.5" hidden="1" thickBot="1">
      <c r="A412" s="3403"/>
      <c r="B412" s="615" t="s">
        <v>195</v>
      </c>
      <c r="C412" s="3442"/>
      <c r="D412" s="724">
        <f>E412+L412+F412+G412+H412+I412+J412+K412</f>
        <v>0</v>
      </c>
      <c r="E412" s="1147">
        <v>0</v>
      </c>
      <c r="F412" s="1185">
        <f>3019942-3019942</f>
        <v>0</v>
      </c>
      <c r="G412" s="1185"/>
      <c r="H412" s="1185"/>
      <c r="I412" s="1185"/>
      <c r="J412" s="1185"/>
      <c r="K412" s="1185"/>
      <c r="L412" s="1185">
        <v>0</v>
      </c>
      <c r="M412" s="1187">
        <f>SUM(F412:K412)</f>
        <v>0</v>
      </c>
      <c r="N412" s="3389"/>
      <c r="O412" s="362"/>
    </row>
    <row r="413" spans="1:15" ht="12.75" hidden="1" customHeight="1">
      <c r="A413" s="3430"/>
      <c r="B413" s="492" t="s">
        <v>20</v>
      </c>
      <c r="C413" s="1191"/>
      <c r="D413" s="1170">
        <f>+D414</f>
        <v>0</v>
      </c>
      <c r="E413" s="1170">
        <f t="shared" ref="E413:G414" si="243">+E414</f>
        <v>0</v>
      </c>
      <c r="F413" s="1170">
        <f t="shared" si="243"/>
        <v>0</v>
      </c>
      <c r="G413" s="1170">
        <f t="shared" si="243"/>
        <v>0</v>
      </c>
      <c r="H413" s="1170"/>
      <c r="I413" s="1170"/>
      <c r="J413" s="1170"/>
      <c r="K413" s="1170"/>
      <c r="L413" s="1170">
        <f>+L414</f>
        <v>0</v>
      </c>
      <c r="M413" s="3432" t="s">
        <v>21</v>
      </c>
      <c r="N413" s="3440" t="s">
        <v>92</v>
      </c>
    </row>
    <row r="414" spans="1:15" s="2737" customFormat="1" ht="12.75" hidden="1" customHeight="1">
      <c r="A414" s="3430"/>
      <c r="B414" s="735" t="s">
        <v>17</v>
      </c>
      <c r="C414" s="3400" t="s">
        <v>75</v>
      </c>
      <c r="D414" s="1190">
        <f>+D415</f>
        <v>0</v>
      </c>
      <c r="E414" s="1196">
        <f t="shared" si="243"/>
        <v>0</v>
      </c>
      <c r="F414" s="1196">
        <f t="shared" si="243"/>
        <v>0</v>
      </c>
      <c r="G414" s="1196">
        <f t="shared" si="243"/>
        <v>0</v>
      </c>
      <c r="H414" s="1190"/>
      <c r="I414" s="1190"/>
      <c r="J414" s="1190"/>
      <c r="K414" s="1190"/>
      <c r="L414" s="1196">
        <f>+L415</f>
        <v>0</v>
      </c>
      <c r="M414" s="3412"/>
      <c r="N414" s="3415"/>
    </row>
    <row r="415" spans="1:15" ht="12" hidden="1" customHeight="1" thickBot="1">
      <c r="A415" s="3431"/>
      <c r="B415" s="621" t="s">
        <v>18</v>
      </c>
      <c r="C415" s="3439"/>
      <c r="D415" s="719">
        <f>E415+L415+F415+G415+H415+I415+J415+K415</f>
        <v>0</v>
      </c>
      <c r="E415" s="719">
        <v>0</v>
      </c>
      <c r="F415" s="373">
        <f>1025310+1308918-2334228</f>
        <v>0</v>
      </c>
      <c r="G415" s="373">
        <v>0</v>
      </c>
      <c r="H415" s="373"/>
      <c r="I415" s="373"/>
      <c r="J415" s="373"/>
      <c r="K415" s="373"/>
      <c r="L415" s="373">
        <f>2334228-2334228</f>
        <v>0</v>
      </c>
      <c r="M415" s="3413"/>
      <c r="N415" s="3416"/>
    </row>
    <row r="416" spans="1:15" ht="23.25" customHeight="1" thickBot="1">
      <c r="A416" s="3451" t="s">
        <v>244</v>
      </c>
      <c r="B416" s="237" t="s">
        <v>446</v>
      </c>
      <c r="C416" s="48" t="s">
        <v>72</v>
      </c>
      <c r="D416" s="2222"/>
      <c r="E416" s="2220"/>
      <c r="F416" s="2221"/>
      <c r="G416" s="2221"/>
      <c r="H416" s="2221"/>
      <c r="I416" s="2221"/>
      <c r="J416" s="2221"/>
      <c r="K416" s="34"/>
      <c r="L416" s="2221"/>
      <c r="M416" s="2739"/>
      <c r="N416" s="3380" t="s">
        <v>77</v>
      </c>
      <c r="O416" s="201" t="s">
        <v>254</v>
      </c>
    </row>
    <row r="417" spans="1:15" ht="13.5" thickBot="1">
      <c r="A417" s="3451"/>
      <c r="B417" s="17" t="s">
        <v>9</v>
      </c>
      <c r="C417" s="18"/>
      <c r="D417" s="1911">
        <f>+D418+D420</f>
        <v>11037981</v>
      </c>
      <c r="E417" s="2772">
        <f t="shared" ref="E417" si="244">+E418+E420</f>
        <v>0</v>
      </c>
      <c r="F417" s="1911">
        <f>+F418+F420</f>
        <v>0</v>
      </c>
      <c r="G417" s="1911">
        <f>+G418+G420</f>
        <v>6622789</v>
      </c>
      <c r="H417" s="1911">
        <f>+H418+H420</f>
        <v>4415192</v>
      </c>
      <c r="I417" s="1911"/>
      <c r="J417" s="1911"/>
      <c r="K417" s="1550"/>
      <c r="L417" s="2772">
        <f>+L418+L420</f>
        <v>0</v>
      </c>
      <c r="M417" s="2773">
        <f>+M418+M420</f>
        <v>11037981</v>
      </c>
      <c r="N417" s="3381"/>
      <c r="O417" s="362"/>
    </row>
    <row r="418" spans="1:15" ht="13.5" customHeight="1" thickBot="1">
      <c r="A418" s="3451"/>
      <c r="B418" s="145" t="s">
        <v>22</v>
      </c>
      <c r="C418" s="3574" t="s">
        <v>75</v>
      </c>
      <c r="D418" s="1912">
        <f>+D419</f>
        <v>5773368</v>
      </c>
      <c r="E418" s="2774">
        <f t="shared" ref="E418:H418" si="245">+E419</f>
        <v>0</v>
      </c>
      <c r="F418" s="1912">
        <f t="shared" si="245"/>
        <v>0</v>
      </c>
      <c r="G418" s="1912">
        <f t="shared" si="245"/>
        <v>3311394</v>
      </c>
      <c r="H418" s="1912">
        <f t="shared" si="245"/>
        <v>2461974</v>
      </c>
      <c r="I418" s="1912"/>
      <c r="J418" s="1912"/>
      <c r="K418" s="1553"/>
      <c r="L418" s="2774">
        <f>+L419</f>
        <v>0</v>
      </c>
      <c r="M418" s="476">
        <f>+M419</f>
        <v>5773368</v>
      </c>
      <c r="N418" s="3381"/>
    </row>
    <row r="419" spans="1:15" ht="13.5" thickBot="1">
      <c r="A419" s="3451"/>
      <c r="B419" s="344" t="s">
        <v>11</v>
      </c>
      <c r="C419" s="3441"/>
      <c r="D419" s="211">
        <f>E419+L419+F419+G419+H419+I419+J419+K419</f>
        <v>5773368</v>
      </c>
      <c r="E419" s="2775">
        <v>0</v>
      </c>
      <c r="F419" s="1913">
        <f>621874-435312-186562</f>
        <v>0</v>
      </c>
      <c r="G419" s="1913">
        <f>1058866+787322+1465206</f>
        <v>3311394</v>
      </c>
      <c r="H419" s="1913">
        <v>2461974</v>
      </c>
      <c r="I419" s="1913"/>
      <c r="J419" s="1913"/>
      <c r="K419" s="1562"/>
      <c r="L419" s="2775">
        <v>0</v>
      </c>
      <c r="M419" s="2733">
        <f>SUM(G419:K419)</f>
        <v>5773368</v>
      </c>
      <c r="N419" s="3381"/>
    </row>
    <row r="420" spans="1:15" ht="13.5" thickBot="1">
      <c r="A420" s="3451"/>
      <c r="B420" s="365" t="s">
        <v>17</v>
      </c>
      <c r="C420" s="3441"/>
      <c r="D420" s="1914">
        <f>+D421</f>
        <v>5264613</v>
      </c>
      <c r="E420" s="2776">
        <f t="shared" ref="E420:H420" si="246">+E421</f>
        <v>0</v>
      </c>
      <c r="F420" s="1914">
        <f t="shared" si="246"/>
        <v>0</v>
      </c>
      <c r="G420" s="1914">
        <f t="shared" si="246"/>
        <v>3311395</v>
      </c>
      <c r="H420" s="1914">
        <f t="shared" si="246"/>
        <v>1953218</v>
      </c>
      <c r="I420" s="1914"/>
      <c r="J420" s="1914"/>
      <c r="K420" s="477"/>
      <c r="L420" s="2776">
        <f>+L421</f>
        <v>0</v>
      </c>
      <c r="M420" s="476">
        <f>+M421</f>
        <v>5264613</v>
      </c>
      <c r="N420" s="3381"/>
    </row>
    <row r="421" spans="1:15" ht="11.25" customHeight="1" thickBot="1">
      <c r="A421" s="3451"/>
      <c r="B421" s="1915" t="s">
        <v>19</v>
      </c>
      <c r="C421" s="3442"/>
      <c r="D421" s="211">
        <f>E421+L421+F421+G421+H421+I421+J421+K421</f>
        <v>5264613</v>
      </c>
      <c r="E421" s="2775">
        <v>0</v>
      </c>
      <c r="F421" s="1913">
        <f>1988846-1392192-596654</f>
        <v>0</v>
      </c>
      <c r="G421" s="1913">
        <f>3386414+2522163-2597182</f>
        <v>3311395</v>
      </c>
      <c r="H421" s="1913">
        <v>1953218</v>
      </c>
      <c r="I421" s="1913"/>
      <c r="J421" s="1913"/>
      <c r="K421" s="1562"/>
      <c r="L421" s="2775">
        <v>0</v>
      </c>
      <c r="M421" s="2733">
        <f>SUM(G421:K421)</f>
        <v>5264613</v>
      </c>
      <c r="N421" s="3389"/>
      <c r="O421" s="362"/>
    </row>
    <row r="422" spans="1:15" ht="13.5" thickBot="1">
      <c r="A422" s="3452"/>
      <c r="B422" s="17" t="s">
        <v>20</v>
      </c>
      <c r="C422" s="18"/>
      <c r="D422" s="1916">
        <f>+D423</f>
        <v>5264613</v>
      </c>
      <c r="E422" s="2777">
        <f t="shared" ref="E422:I423" si="247">+E423</f>
        <v>0</v>
      </c>
      <c r="F422" s="1916">
        <f t="shared" si="247"/>
        <v>0</v>
      </c>
      <c r="G422" s="1916">
        <f t="shared" si="247"/>
        <v>1052923</v>
      </c>
      <c r="H422" s="1916">
        <f t="shared" si="247"/>
        <v>3158768</v>
      </c>
      <c r="I422" s="1916">
        <f t="shared" si="247"/>
        <v>1052922</v>
      </c>
      <c r="J422" s="1916"/>
      <c r="K422" s="536"/>
      <c r="L422" s="2777">
        <f>+L423</f>
        <v>0</v>
      </c>
      <c r="M422" s="3575" t="s">
        <v>21</v>
      </c>
      <c r="N422" s="3435" t="s">
        <v>92</v>
      </c>
    </row>
    <row r="423" spans="1:15" s="2737" customFormat="1" ht="13.5" thickBot="1">
      <c r="A423" s="3452"/>
      <c r="B423" s="365" t="s">
        <v>17</v>
      </c>
      <c r="C423" s="3437" t="s">
        <v>75</v>
      </c>
      <c r="D423" s="1917">
        <f>+D424</f>
        <v>5264613</v>
      </c>
      <c r="E423" s="2778">
        <f t="shared" si="247"/>
        <v>0</v>
      </c>
      <c r="F423" s="1918">
        <f t="shared" si="247"/>
        <v>0</v>
      </c>
      <c r="G423" s="1918">
        <f t="shared" si="247"/>
        <v>1052923</v>
      </c>
      <c r="H423" s="1918">
        <f t="shared" si="247"/>
        <v>3158768</v>
      </c>
      <c r="I423" s="1918">
        <f t="shared" si="247"/>
        <v>1052922</v>
      </c>
      <c r="J423" s="1917"/>
      <c r="K423" s="670"/>
      <c r="L423" s="2778">
        <f>+L424</f>
        <v>0</v>
      </c>
      <c r="M423" s="3576"/>
      <c r="N423" s="3436"/>
    </row>
    <row r="424" spans="1:15" ht="12" customHeight="1" thickBot="1">
      <c r="A424" s="3452"/>
      <c r="B424" s="45" t="s">
        <v>19</v>
      </c>
      <c r="C424" s="3438"/>
      <c r="D424" s="1679">
        <f>E424+L424+F424+G424+H424+I424+J424+K424</f>
        <v>5264613</v>
      </c>
      <c r="E424" s="1424">
        <v>0</v>
      </c>
      <c r="F424" s="1423">
        <v>0</v>
      </c>
      <c r="G424" s="1423">
        <f>3657763-2604840</f>
        <v>1052923</v>
      </c>
      <c r="H424" s="1423">
        <f>1717497+1129971+311300</f>
        <v>3158768</v>
      </c>
      <c r="I424" s="1423">
        <v>1052922</v>
      </c>
      <c r="J424" s="1423"/>
      <c r="K424" s="1423"/>
      <c r="L424" s="1424">
        <v>0</v>
      </c>
      <c r="M424" s="3576"/>
      <c r="N424" s="3436"/>
    </row>
    <row r="425" spans="1:15" ht="24.75" thickBot="1">
      <c r="A425" s="3451" t="s">
        <v>181</v>
      </c>
      <c r="B425" s="237" t="s">
        <v>447</v>
      </c>
      <c r="C425" s="48" t="s">
        <v>72</v>
      </c>
      <c r="D425" s="2222"/>
      <c r="E425" s="2220"/>
      <c r="F425" s="2221"/>
      <c r="G425" s="2221"/>
      <c r="H425" s="2221"/>
      <c r="I425" s="2221"/>
      <c r="J425" s="2221"/>
      <c r="K425" s="34"/>
      <c r="L425" s="2220"/>
      <c r="M425" s="2739"/>
      <c r="N425" s="3433" t="s">
        <v>77</v>
      </c>
      <c r="O425" s="201" t="s">
        <v>254</v>
      </c>
    </row>
    <row r="426" spans="1:15" ht="10.5" customHeight="1" thickBot="1">
      <c r="A426" s="3451"/>
      <c r="B426" s="492" t="s">
        <v>9</v>
      </c>
      <c r="C426" s="1169"/>
      <c r="D426" s="1192">
        <f>+D427+D429</f>
        <v>9147981</v>
      </c>
      <c r="E426" s="1192">
        <f t="shared" ref="E426" si="248">+E427+E429</f>
        <v>0</v>
      </c>
      <c r="F426" s="1192">
        <f t="shared" ref="F426:H426" si="249">+F427+F429</f>
        <v>0</v>
      </c>
      <c r="G426" s="1192">
        <f t="shared" si="249"/>
        <v>5488789</v>
      </c>
      <c r="H426" s="1192">
        <f t="shared" si="249"/>
        <v>3659192</v>
      </c>
      <c r="I426" s="1192"/>
      <c r="J426" s="1192"/>
      <c r="K426" s="1192"/>
      <c r="L426" s="1197">
        <f>+L427+L429</f>
        <v>0</v>
      </c>
      <c r="M426" s="1221">
        <f>+M427+M429</f>
        <v>9147981</v>
      </c>
      <c r="N426" s="3433"/>
    </row>
    <row r="427" spans="1:15" ht="13.5" thickBot="1">
      <c r="A427" s="3451"/>
      <c r="B427" s="470" t="s">
        <v>22</v>
      </c>
      <c r="C427" s="3448" t="s">
        <v>75</v>
      </c>
      <c r="D427" s="1193">
        <f>+D428</f>
        <v>4825749</v>
      </c>
      <c r="E427" s="1193">
        <f t="shared" ref="E427:H427" si="250">+E428</f>
        <v>0</v>
      </c>
      <c r="F427" s="1193">
        <f t="shared" si="250"/>
        <v>0</v>
      </c>
      <c r="G427" s="1193">
        <f t="shared" si="250"/>
        <v>2744394</v>
      </c>
      <c r="H427" s="1193">
        <f t="shared" si="250"/>
        <v>2081355</v>
      </c>
      <c r="I427" s="1193"/>
      <c r="J427" s="1193"/>
      <c r="K427" s="1193"/>
      <c r="L427" s="1195">
        <f>+L428</f>
        <v>0</v>
      </c>
      <c r="M427" s="1174">
        <f>+M428</f>
        <v>4825749</v>
      </c>
      <c r="N427" s="3433"/>
    </row>
    <row r="428" spans="1:15" ht="11.25" customHeight="1" thickBot="1">
      <c r="A428" s="3451"/>
      <c r="B428" s="739" t="s">
        <v>11</v>
      </c>
      <c r="C428" s="3441"/>
      <c r="D428" s="1113">
        <f>E428+L428+F428+G428+H428+I428+J428+K428</f>
        <v>4825749</v>
      </c>
      <c r="E428" s="1185">
        <f>47545-47545</f>
        <v>0</v>
      </c>
      <c r="F428" s="1185">
        <f>455300-318710-136590</f>
        <v>0</v>
      </c>
      <c r="G428" s="1185">
        <f>775241+670720+1298433</f>
        <v>2744394</v>
      </c>
      <c r="H428" s="1185">
        <v>2081355</v>
      </c>
      <c r="I428" s="1185"/>
      <c r="J428" s="1185"/>
      <c r="K428" s="1185"/>
      <c r="L428" s="1130">
        <v>0</v>
      </c>
      <c r="M428" s="2733">
        <f>SUM(G428:K428)</f>
        <v>4825749</v>
      </c>
      <c r="N428" s="3433"/>
    </row>
    <row r="429" spans="1:15" ht="13.5" thickBot="1">
      <c r="A429" s="3451"/>
      <c r="B429" s="735" t="s">
        <v>17</v>
      </c>
      <c r="C429" s="3441"/>
      <c r="D429" s="1173">
        <f>+D430</f>
        <v>4322232</v>
      </c>
      <c r="E429" s="1173">
        <f t="shared" ref="E429:H429" si="251">+E430</f>
        <v>0</v>
      </c>
      <c r="F429" s="1173">
        <f t="shared" si="251"/>
        <v>0</v>
      </c>
      <c r="G429" s="1173">
        <f t="shared" si="251"/>
        <v>2744395</v>
      </c>
      <c r="H429" s="1173">
        <f t="shared" si="251"/>
        <v>1577837</v>
      </c>
      <c r="I429" s="1173"/>
      <c r="J429" s="1173"/>
      <c r="K429" s="1173"/>
      <c r="L429" s="1415">
        <f>+L430</f>
        <v>0</v>
      </c>
      <c r="M429" s="1174">
        <f>+M430</f>
        <v>4322232</v>
      </c>
      <c r="N429" s="3433"/>
    </row>
    <row r="430" spans="1:15" ht="13.5" thickBot="1">
      <c r="A430" s="3451"/>
      <c r="B430" s="1416" t="s">
        <v>19</v>
      </c>
      <c r="C430" s="3442"/>
      <c r="D430" s="1113">
        <f>E430+L430+F430+G430+H430+I430+J430+K430</f>
        <v>4322232</v>
      </c>
      <c r="E430" s="1147">
        <v>0</v>
      </c>
      <c r="F430" s="1185">
        <f>1456120-1019284-436836</f>
        <v>0</v>
      </c>
      <c r="G430" s="1185">
        <f>2479339+2149255-1884199</f>
        <v>2744395</v>
      </c>
      <c r="H430" s="1185">
        <v>1577837</v>
      </c>
      <c r="I430" s="1185"/>
      <c r="J430" s="1185"/>
      <c r="K430" s="1185"/>
      <c r="L430" s="1130">
        <v>0</v>
      </c>
      <c r="M430" s="2733">
        <f>SUM(G430:K430)</f>
        <v>4322232</v>
      </c>
      <c r="N430" s="3434"/>
      <c r="O430" s="362"/>
    </row>
    <row r="431" spans="1:15" ht="12" customHeight="1" thickBot="1">
      <c r="A431" s="3452"/>
      <c r="B431" s="492" t="s">
        <v>20</v>
      </c>
      <c r="C431" s="1169"/>
      <c r="D431" s="1170">
        <f>+D432</f>
        <v>4322232</v>
      </c>
      <c r="E431" s="1170">
        <f t="shared" ref="E431:I432" si="252">+E432</f>
        <v>0</v>
      </c>
      <c r="F431" s="1170">
        <f t="shared" si="252"/>
        <v>0</v>
      </c>
      <c r="G431" s="1170">
        <f t="shared" si="252"/>
        <v>864447</v>
      </c>
      <c r="H431" s="1170">
        <f t="shared" si="252"/>
        <v>2593339</v>
      </c>
      <c r="I431" s="1170">
        <f t="shared" si="252"/>
        <v>864446</v>
      </c>
      <c r="J431" s="1170"/>
      <c r="K431" s="1170"/>
      <c r="L431" s="1417">
        <f>+L432</f>
        <v>0</v>
      </c>
      <c r="M431" s="3411" t="s">
        <v>21</v>
      </c>
      <c r="N431" s="3414" t="s">
        <v>92</v>
      </c>
    </row>
    <row r="432" spans="1:15" s="2737" customFormat="1" ht="12.75" customHeight="1" thickBot="1">
      <c r="A432" s="3452"/>
      <c r="B432" s="735" t="s">
        <v>17</v>
      </c>
      <c r="C432" s="3448" t="s">
        <v>75</v>
      </c>
      <c r="D432" s="1190">
        <f>+D433</f>
        <v>4322232</v>
      </c>
      <c r="E432" s="1196">
        <f t="shared" si="252"/>
        <v>0</v>
      </c>
      <c r="F432" s="1196">
        <f t="shared" si="252"/>
        <v>0</v>
      </c>
      <c r="G432" s="1196">
        <f t="shared" si="252"/>
        <v>864447</v>
      </c>
      <c r="H432" s="1196">
        <f t="shared" si="252"/>
        <v>2593339</v>
      </c>
      <c r="I432" s="1196">
        <f t="shared" si="252"/>
        <v>864446</v>
      </c>
      <c r="J432" s="1190"/>
      <c r="K432" s="1190"/>
      <c r="L432" s="2767">
        <f>+L433</f>
        <v>0</v>
      </c>
      <c r="M432" s="3412"/>
      <c r="N432" s="3415"/>
    </row>
    <row r="433" spans="1:15" ht="12" customHeight="1" thickBot="1">
      <c r="A433" s="3452"/>
      <c r="B433" s="621" t="s">
        <v>19</v>
      </c>
      <c r="C433" s="3439"/>
      <c r="D433" s="1257">
        <f>E433+L433+F433+G433+H433+I433+J433+K433</f>
        <v>4322232</v>
      </c>
      <c r="E433" s="1257">
        <v>0</v>
      </c>
      <c r="F433" s="1423">
        <v>0</v>
      </c>
      <c r="G433" s="1423">
        <f>2671398-1806951</f>
        <v>864447</v>
      </c>
      <c r="H433" s="1423">
        <f>1264061+1129971+199307</f>
        <v>2593339</v>
      </c>
      <c r="I433" s="1423">
        <v>864446</v>
      </c>
      <c r="J433" s="1423"/>
      <c r="K433" s="1423"/>
      <c r="L433" s="1424">
        <v>0</v>
      </c>
      <c r="M433" s="3413"/>
      <c r="N433" s="3416"/>
    </row>
    <row r="434" spans="1:15" ht="27.75" customHeight="1">
      <c r="A434" s="3545" t="s">
        <v>182</v>
      </c>
      <c r="B434" s="237" t="s">
        <v>448</v>
      </c>
      <c r="C434" s="48" t="s">
        <v>99</v>
      </c>
      <c r="D434" s="341"/>
      <c r="E434" s="2220"/>
      <c r="F434" s="2221"/>
      <c r="G434" s="2221"/>
      <c r="H434" s="2221"/>
      <c r="I434" s="2221"/>
      <c r="J434" s="2221"/>
      <c r="K434" s="34"/>
      <c r="L434" s="2221"/>
      <c r="M434" s="2739"/>
      <c r="N434" s="3380" t="s">
        <v>257</v>
      </c>
    </row>
    <row r="435" spans="1:15" ht="15.75" customHeight="1">
      <c r="A435" s="3546"/>
      <c r="B435" s="492" t="s">
        <v>9</v>
      </c>
      <c r="C435" s="389"/>
      <c r="D435" s="1550">
        <f>+D436+D441</f>
        <v>454666</v>
      </c>
      <c r="E435" s="1550">
        <f t="shared" ref="E435" si="253">+E436+E441</f>
        <v>179350</v>
      </c>
      <c r="F435" s="1550">
        <f>+F436+F441</f>
        <v>167936</v>
      </c>
      <c r="G435" s="1550">
        <f>+G436+G441</f>
        <v>107380</v>
      </c>
      <c r="H435" s="1551">
        <v>0</v>
      </c>
      <c r="I435" s="1551">
        <v>0</v>
      </c>
      <c r="J435" s="1551">
        <v>0</v>
      </c>
      <c r="K435" s="1551">
        <v>0</v>
      </c>
      <c r="L435" s="1550">
        <f>+L436+L441</f>
        <v>0</v>
      </c>
      <c r="M435" s="1552">
        <f>+M436+M441</f>
        <v>107380</v>
      </c>
      <c r="N435" s="3381"/>
    </row>
    <row r="436" spans="1:15" ht="12.75" customHeight="1">
      <c r="A436" s="3546"/>
      <c r="B436" s="470" t="s">
        <v>22</v>
      </c>
      <c r="C436" s="3400" t="s">
        <v>342</v>
      </c>
      <c r="D436" s="1553">
        <f>+D437</f>
        <v>70277</v>
      </c>
      <c r="E436" s="1553">
        <f t="shared" ref="E436" si="254">+E437</f>
        <v>27311</v>
      </c>
      <c r="F436" s="1553">
        <f>+F437</f>
        <v>25755</v>
      </c>
      <c r="G436" s="1553">
        <f>+G437</f>
        <v>17211</v>
      </c>
      <c r="H436" s="1554">
        <v>0</v>
      </c>
      <c r="I436" s="1554">
        <v>0</v>
      </c>
      <c r="J436" s="1554">
        <v>0</v>
      </c>
      <c r="K436" s="1554">
        <v>0</v>
      </c>
      <c r="L436" s="1553">
        <f>+L437</f>
        <v>0</v>
      </c>
      <c r="M436" s="476">
        <f>M437</f>
        <v>17211</v>
      </c>
      <c r="N436" s="3381"/>
    </row>
    <row r="437" spans="1:15" ht="12.75" customHeight="1">
      <c r="A437" s="3546"/>
      <c r="B437" s="739" t="s">
        <v>11</v>
      </c>
      <c r="C437" s="3441"/>
      <c r="D437" s="724">
        <f>E437+L437+F437+G437+H437+I437+J437+K437</f>
        <v>70277</v>
      </c>
      <c r="E437" s="732">
        <f>+E439+E440</f>
        <v>27311</v>
      </c>
      <c r="F437" s="1562">
        <f>+F439+F440</f>
        <v>25755</v>
      </c>
      <c r="G437" s="1562">
        <f>+G439+G440</f>
        <v>17211</v>
      </c>
      <c r="H437" s="1555">
        <v>0</v>
      </c>
      <c r="I437" s="1555">
        <v>0</v>
      </c>
      <c r="J437" s="1555">
        <v>0</v>
      </c>
      <c r="K437" s="1555">
        <v>0</v>
      </c>
      <c r="L437" s="1562">
        <f>+L439+L440</f>
        <v>0</v>
      </c>
      <c r="M437" s="2733">
        <f>SUM(G437:K437)</f>
        <v>17211</v>
      </c>
      <c r="N437" s="3381"/>
    </row>
    <row r="438" spans="1:15" ht="12.75" hidden="1" customHeight="1">
      <c r="A438" s="3546"/>
      <c r="B438" s="739" t="s">
        <v>139</v>
      </c>
      <c r="C438" s="3441"/>
      <c r="D438" s="724"/>
      <c r="E438" s="504"/>
      <c r="F438" s="1562"/>
      <c r="G438" s="1562"/>
      <c r="H438" s="1555"/>
      <c r="I438" s="1555"/>
      <c r="J438" s="1555"/>
      <c r="K438" s="1555"/>
      <c r="L438" s="1562"/>
      <c r="M438" s="2733"/>
      <c r="N438" s="3381"/>
    </row>
    <row r="439" spans="1:15" ht="18" hidden="1" customHeight="1">
      <c r="A439" s="3546"/>
      <c r="B439" s="739" t="s">
        <v>100</v>
      </c>
      <c r="C439" s="3441"/>
      <c r="D439" s="724">
        <f>SUM(E439:G439)</f>
        <v>54138</v>
      </c>
      <c r="E439" s="1562">
        <f>3466+15069</f>
        <v>18535</v>
      </c>
      <c r="F439" s="1562">
        <f>12993+600-951+20219-12550</f>
        <v>20311</v>
      </c>
      <c r="G439" s="1562">
        <f>2242+500+12550</f>
        <v>15292</v>
      </c>
      <c r="H439" s="1555"/>
      <c r="I439" s="1555"/>
      <c r="J439" s="1555"/>
      <c r="K439" s="1555"/>
      <c r="L439" s="1562">
        <v>0</v>
      </c>
      <c r="M439" s="2733">
        <f>SUM(F439:G439)</f>
        <v>35603</v>
      </c>
      <c r="N439" s="3381"/>
    </row>
    <row r="440" spans="1:15" ht="18" hidden="1" customHeight="1">
      <c r="A440" s="3546"/>
      <c r="B440" s="739" t="s">
        <v>245</v>
      </c>
      <c r="C440" s="3441"/>
      <c r="D440" s="724">
        <f>SUM(E440:G440)</f>
        <v>16139</v>
      </c>
      <c r="E440" s="1562">
        <f>3291+791+4694</f>
        <v>8776</v>
      </c>
      <c r="F440" s="1562">
        <f>4315+951+178</f>
        <v>5444</v>
      </c>
      <c r="G440" s="1562">
        <f>995+924</f>
        <v>1919</v>
      </c>
      <c r="H440" s="1555"/>
      <c r="I440" s="1555"/>
      <c r="J440" s="1555"/>
      <c r="K440" s="1555"/>
      <c r="L440" s="1562">
        <v>0</v>
      </c>
      <c r="M440" s="2733">
        <f>SUM(F440:G440)</f>
        <v>7363</v>
      </c>
      <c r="N440" s="3381"/>
    </row>
    <row r="441" spans="1:15" ht="12.75" customHeight="1">
      <c r="A441" s="3546"/>
      <c r="B441" s="735" t="s">
        <v>17</v>
      </c>
      <c r="C441" s="3441"/>
      <c r="D441" s="477">
        <f>+D442</f>
        <v>384389</v>
      </c>
      <c r="E441" s="477">
        <f t="shared" ref="E441" si="255">+E442</f>
        <v>152039</v>
      </c>
      <c r="F441" s="477">
        <f>+F442</f>
        <v>142181</v>
      </c>
      <c r="G441" s="477">
        <f>+G442</f>
        <v>90169</v>
      </c>
      <c r="H441" s="736">
        <v>0</v>
      </c>
      <c r="I441" s="736">
        <v>0</v>
      </c>
      <c r="J441" s="736">
        <v>0</v>
      </c>
      <c r="K441" s="736">
        <v>0</v>
      </c>
      <c r="L441" s="477">
        <f>+L442</f>
        <v>0</v>
      </c>
      <c r="M441" s="476">
        <f>+M442</f>
        <v>90169</v>
      </c>
      <c r="N441" s="3381"/>
    </row>
    <row r="442" spans="1:15" ht="12.75" customHeight="1">
      <c r="A442" s="3546"/>
      <c r="B442" s="1807" t="s">
        <v>19</v>
      </c>
      <c r="C442" s="3442"/>
      <c r="D442" s="724">
        <f>E442+L442+F442+G442+H442+I442+J442+K442</f>
        <v>384389</v>
      </c>
      <c r="E442" s="732">
        <f>+E444+E445</f>
        <v>152039</v>
      </c>
      <c r="F442" s="1562">
        <f>+F444+F445</f>
        <v>142181</v>
      </c>
      <c r="G442" s="1562">
        <f>+G444+G445</f>
        <v>90169</v>
      </c>
      <c r="H442" s="1555">
        <v>0</v>
      </c>
      <c r="I442" s="1555">
        <v>0</v>
      </c>
      <c r="J442" s="1555">
        <v>0</v>
      </c>
      <c r="K442" s="1555">
        <v>0</v>
      </c>
      <c r="L442" s="1562">
        <f>+L444+L445</f>
        <v>0</v>
      </c>
      <c r="M442" s="2733">
        <f>SUM(G442:K442)</f>
        <v>90169</v>
      </c>
      <c r="N442" s="3389"/>
    </row>
    <row r="443" spans="1:15" ht="12.75" hidden="1" customHeight="1">
      <c r="A443" s="3546"/>
      <c r="B443" s="1583" t="s">
        <v>139</v>
      </c>
      <c r="C443" s="2966"/>
      <c r="D443" s="724"/>
      <c r="E443" s="504"/>
      <c r="F443" s="1562"/>
      <c r="G443" s="1562"/>
      <c r="H443" s="1555"/>
      <c r="I443" s="1555"/>
      <c r="J443" s="1555"/>
      <c r="K443" s="1555"/>
      <c r="L443" s="1562"/>
      <c r="M443" s="2779"/>
      <c r="N443" s="2617"/>
    </row>
    <row r="444" spans="1:15" ht="21" hidden="1" customHeight="1">
      <c r="A444" s="3546"/>
      <c r="B444" s="739" t="s">
        <v>100</v>
      </c>
      <c r="C444" s="1579"/>
      <c r="D444" s="724">
        <f>+L444+F444+G444+E444</f>
        <v>292933</v>
      </c>
      <c r="E444" s="1562">
        <f>17695+84613</f>
        <v>102308</v>
      </c>
      <c r="F444" s="1562">
        <f>73627-5379+109673-66586</f>
        <v>111335</v>
      </c>
      <c r="G444" s="1562">
        <f>12704+66586</f>
        <v>79290</v>
      </c>
      <c r="H444" s="1555"/>
      <c r="I444" s="1555"/>
      <c r="J444" s="1555"/>
      <c r="K444" s="1555"/>
      <c r="L444" s="1562">
        <v>0</v>
      </c>
      <c r="M444" s="2733">
        <f>SUM(F444:G444)</f>
        <v>190625</v>
      </c>
      <c r="N444" s="2617"/>
    </row>
    <row r="445" spans="1:15" ht="14.25" hidden="1" customHeight="1">
      <c r="A445" s="3546"/>
      <c r="B445" s="739" t="s">
        <v>245</v>
      </c>
      <c r="C445" s="1579"/>
      <c r="D445" s="724">
        <f>+L445+F445+G445+E445</f>
        <v>91456</v>
      </c>
      <c r="E445" s="1562">
        <f>18646+4485+26600</f>
        <v>49731</v>
      </c>
      <c r="F445" s="1562">
        <f>24450+5379+1017</f>
        <v>30846</v>
      </c>
      <c r="G445" s="1562">
        <f>5644+5235</f>
        <v>10879</v>
      </c>
      <c r="H445" s="1555"/>
      <c r="I445" s="1555"/>
      <c r="J445" s="1555"/>
      <c r="K445" s="1555"/>
      <c r="L445" s="1562"/>
      <c r="M445" s="2733">
        <f>SUM(F445:G445)</f>
        <v>41725</v>
      </c>
      <c r="N445" s="2617"/>
    </row>
    <row r="446" spans="1:15" ht="15.75" customHeight="1">
      <c r="A446" s="3546"/>
      <c r="B446" s="492" t="s">
        <v>20</v>
      </c>
      <c r="C446" s="389"/>
      <c r="D446" s="536">
        <f>SUM(E446:K446)</f>
        <v>384389</v>
      </c>
      <c r="E446" s="536">
        <f t="shared" ref="E446:H447" si="256">+E447</f>
        <v>45734</v>
      </c>
      <c r="F446" s="536">
        <f t="shared" si="256"/>
        <v>129745</v>
      </c>
      <c r="G446" s="536">
        <f t="shared" si="256"/>
        <v>208910</v>
      </c>
      <c r="H446" s="561">
        <f t="shared" si="256"/>
        <v>0</v>
      </c>
      <c r="I446" s="561">
        <v>0</v>
      </c>
      <c r="J446" s="561">
        <v>0</v>
      </c>
      <c r="K446" s="561">
        <v>0</v>
      </c>
      <c r="L446" s="536">
        <f>+L447</f>
        <v>0</v>
      </c>
      <c r="M446" s="3432" t="s">
        <v>21</v>
      </c>
      <c r="N446" s="2617"/>
    </row>
    <row r="447" spans="1:15" ht="12.75" customHeight="1">
      <c r="A447" s="3546"/>
      <c r="B447" s="735" t="s">
        <v>17</v>
      </c>
      <c r="C447" s="3400" t="s">
        <v>101</v>
      </c>
      <c r="D447" s="670">
        <f>+D448</f>
        <v>384389</v>
      </c>
      <c r="E447" s="1578">
        <f t="shared" si="256"/>
        <v>45734</v>
      </c>
      <c r="F447" s="1578">
        <f t="shared" si="256"/>
        <v>129745</v>
      </c>
      <c r="G447" s="1578">
        <f t="shared" si="256"/>
        <v>208910</v>
      </c>
      <c r="H447" s="1580">
        <f t="shared" si="256"/>
        <v>0</v>
      </c>
      <c r="I447" s="510">
        <v>0</v>
      </c>
      <c r="J447" s="510">
        <v>0</v>
      </c>
      <c r="K447" s="510">
        <v>0</v>
      </c>
      <c r="L447" s="1578">
        <f>+L448</f>
        <v>0</v>
      </c>
      <c r="M447" s="3412"/>
      <c r="N447" s="2960" t="s">
        <v>100</v>
      </c>
    </row>
    <row r="448" spans="1:15" ht="12" customHeight="1" thickBot="1">
      <c r="A448" s="3547"/>
      <c r="B448" s="621" t="s">
        <v>19</v>
      </c>
      <c r="C448" s="3439"/>
      <c r="D448" s="1484">
        <f>E448+L448+F448+G448+H448+I448+J448+K448</f>
        <v>384389</v>
      </c>
      <c r="E448" s="1423">
        <f>20632+7848+17417-163</f>
        <v>45734</v>
      </c>
      <c r="F448" s="1423">
        <f>133982+66898+38178-74283-35030</f>
        <v>129745</v>
      </c>
      <c r="G448" s="1423">
        <f>229775-109440-20901+74446+35030</f>
        <v>208910</v>
      </c>
      <c r="H448" s="1424">
        <f>34694-34694</f>
        <v>0</v>
      </c>
      <c r="I448" s="1424">
        <v>0</v>
      </c>
      <c r="J448" s="1424">
        <v>0</v>
      </c>
      <c r="K448" s="1424">
        <v>0</v>
      </c>
      <c r="L448" s="1423">
        <v>0</v>
      </c>
      <c r="M448" s="3413"/>
      <c r="N448" s="2618"/>
      <c r="O448" s="362">
        <f>D448-D442</f>
        <v>0</v>
      </c>
    </row>
    <row r="449" spans="1:15" ht="27.75" customHeight="1">
      <c r="A449" s="2968"/>
      <c r="B449" s="237" t="s">
        <v>449</v>
      </c>
      <c r="C449" s="48" t="s">
        <v>99</v>
      </c>
      <c r="D449" s="2222"/>
      <c r="E449" s="2220"/>
      <c r="F449" s="2221"/>
      <c r="G449" s="2221"/>
      <c r="H449" s="2221"/>
      <c r="I449" s="2221"/>
      <c r="J449" s="2221"/>
      <c r="K449" s="34"/>
      <c r="L449" s="2221"/>
      <c r="M449" s="2739"/>
      <c r="N449" s="2960"/>
    </row>
    <row r="450" spans="1:15" ht="15.75" customHeight="1">
      <c r="A450" s="2968"/>
      <c r="B450" s="492" t="s">
        <v>9</v>
      </c>
      <c r="C450" s="560"/>
      <c r="D450" s="1550">
        <f>+D451+D456</f>
        <v>489921</v>
      </c>
      <c r="E450" s="1550">
        <f>+E451+E456</f>
        <v>19734</v>
      </c>
      <c r="F450" s="1550">
        <f t="shared" ref="F450:H450" si="257">+F451+F456</f>
        <v>220024</v>
      </c>
      <c r="G450" s="1550">
        <f t="shared" si="257"/>
        <v>167991</v>
      </c>
      <c r="H450" s="1550">
        <f t="shared" si="257"/>
        <v>82172</v>
      </c>
      <c r="I450" s="1551">
        <v>0</v>
      </c>
      <c r="J450" s="1551">
        <v>0</v>
      </c>
      <c r="K450" s="1551">
        <v>0</v>
      </c>
      <c r="L450" s="1550">
        <f>+L451+L456</f>
        <v>0</v>
      </c>
      <c r="M450" s="1116">
        <f>+M451+M456</f>
        <v>250163</v>
      </c>
      <c r="N450" s="2960"/>
    </row>
    <row r="451" spans="1:15" ht="12.75" customHeight="1">
      <c r="A451" s="2968"/>
      <c r="B451" s="470" t="s">
        <v>22</v>
      </c>
      <c r="C451" s="3448" t="s">
        <v>342</v>
      </c>
      <c r="D451" s="1193">
        <f>D452</f>
        <v>75188</v>
      </c>
      <c r="E451" s="1193">
        <f>+E452</f>
        <v>2988</v>
      </c>
      <c r="F451" s="1193">
        <f t="shared" ref="F451:H451" si="258">+F452</f>
        <v>33825</v>
      </c>
      <c r="G451" s="1193">
        <f t="shared" si="258"/>
        <v>25709</v>
      </c>
      <c r="H451" s="1193">
        <f t="shared" si="258"/>
        <v>12666</v>
      </c>
      <c r="I451" s="1195">
        <v>0</v>
      </c>
      <c r="J451" s="1195">
        <v>0</v>
      </c>
      <c r="K451" s="1195">
        <v>0</v>
      </c>
      <c r="L451" s="1193">
        <f>+L452</f>
        <v>0</v>
      </c>
      <c r="M451" s="1174">
        <f>+M452</f>
        <v>38375</v>
      </c>
      <c r="N451" s="2960"/>
    </row>
    <row r="452" spans="1:15" ht="12.75" customHeight="1">
      <c r="A452" s="2968" t="s">
        <v>237</v>
      </c>
      <c r="B452" s="739" t="s">
        <v>11</v>
      </c>
      <c r="C452" s="3441"/>
      <c r="D452" s="724">
        <f>E452+L452+F452+G452+H452+I452+J452+K452</f>
        <v>75188</v>
      </c>
      <c r="E452" s="1185">
        <f>+E453</f>
        <v>2988</v>
      </c>
      <c r="F452" s="1185">
        <f t="shared" ref="F452:H452" si="259">+F453</f>
        <v>33825</v>
      </c>
      <c r="G452" s="1185">
        <f t="shared" si="259"/>
        <v>25709</v>
      </c>
      <c r="H452" s="1185">
        <f t="shared" si="259"/>
        <v>12666</v>
      </c>
      <c r="I452" s="1130">
        <v>0</v>
      </c>
      <c r="J452" s="1130">
        <v>0</v>
      </c>
      <c r="K452" s="1130">
        <v>0</v>
      </c>
      <c r="L452" s="1185">
        <f>+L453</f>
        <v>0</v>
      </c>
      <c r="M452" s="2733">
        <f>SUM(G452:K452)</f>
        <v>38375</v>
      </c>
      <c r="N452" s="2960" t="s">
        <v>257</v>
      </c>
    </row>
    <row r="453" spans="1:15" ht="12.75" hidden="1" customHeight="1">
      <c r="A453" s="2968"/>
      <c r="B453" s="739" t="s">
        <v>139</v>
      </c>
      <c r="C453" s="3441"/>
      <c r="D453" s="1185">
        <f>+L453+F453+G453+H453</f>
        <v>72200</v>
      </c>
      <c r="E453" s="1185">
        <f>+E454+E455</f>
        <v>2988</v>
      </c>
      <c r="F453" s="1185">
        <f t="shared" ref="F453:H453" si="260">+F454+F455</f>
        <v>33825</v>
      </c>
      <c r="G453" s="1185">
        <f t="shared" si="260"/>
        <v>25709</v>
      </c>
      <c r="H453" s="1185">
        <f t="shared" si="260"/>
        <v>12666</v>
      </c>
      <c r="I453" s="1130">
        <v>0</v>
      </c>
      <c r="J453" s="1130">
        <v>0</v>
      </c>
      <c r="K453" s="1130">
        <v>0</v>
      </c>
      <c r="L453" s="1185">
        <f>+L454+L455</f>
        <v>0</v>
      </c>
      <c r="M453" s="1187">
        <f>F453+G453+H453</f>
        <v>72200</v>
      </c>
      <c r="N453" s="2960"/>
    </row>
    <row r="454" spans="1:15" ht="12.75" hidden="1" customHeight="1">
      <c r="A454" s="2968"/>
      <c r="B454" s="739" t="s">
        <v>100</v>
      </c>
      <c r="C454" s="3441"/>
      <c r="D454" s="1185">
        <f>+L454+F454+G454+H454</f>
        <v>60950</v>
      </c>
      <c r="E454" s="1185">
        <f>10714-1427-8380</f>
        <v>907</v>
      </c>
      <c r="F454" s="1185">
        <f>21623-548+8380</f>
        <v>29455</v>
      </c>
      <c r="G454" s="1185">
        <f>21679-604</f>
        <v>21075</v>
      </c>
      <c r="H454" s="1185">
        <f>10713-293</f>
        <v>10420</v>
      </c>
      <c r="I454" s="1130">
        <v>0</v>
      </c>
      <c r="J454" s="1130">
        <v>0</v>
      </c>
      <c r="K454" s="1130">
        <v>0</v>
      </c>
      <c r="L454" s="1185"/>
      <c r="M454" s="1187">
        <f>F454+G454+H454</f>
        <v>60950</v>
      </c>
      <c r="N454" s="2960"/>
    </row>
    <row r="455" spans="1:15" ht="12.75" hidden="1" customHeight="1">
      <c r="A455" s="2968"/>
      <c r="B455" s="739" t="s">
        <v>245</v>
      </c>
      <c r="C455" s="3441"/>
      <c r="D455" s="1185">
        <f>+L455+F455+G455+H455</f>
        <v>11250</v>
      </c>
      <c r="E455" s="1185">
        <f>1959+294-172</f>
        <v>2081</v>
      </c>
      <c r="F455" s="1185">
        <f>3650+548+172</f>
        <v>4370</v>
      </c>
      <c r="G455" s="1185">
        <f>4030+604</f>
        <v>4634</v>
      </c>
      <c r="H455" s="1185">
        <f>1953+293</f>
        <v>2246</v>
      </c>
      <c r="I455" s="1130">
        <v>0</v>
      </c>
      <c r="J455" s="1130">
        <v>0</v>
      </c>
      <c r="K455" s="1130">
        <v>0</v>
      </c>
      <c r="L455" s="1185"/>
      <c r="M455" s="1187">
        <f>F455+G455+H455</f>
        <v>11250</v>
      </c>
      <c r="N455" s="2960"/>
    </row>
    <row r="456" spans="1:15" ht="12.75" customHeight="1">
      <c r="A456" s="2968"/>
      <c r="B456" s="735" t="s">
        <v>17</v>
      </c>
      <c r="C456" s="3441"/>
      <c r="D456" s="1173">
        <f>+E456+L456+F456+G456+H456+I456+J456+K456</f>
        <v>414733</v>
      </c>
      <c r="E456" s="1173">
        <f>+E457</f>
        <v>16746</v>
      </c>
      <c r="F456" s="1173">
        <f t="shared" ref="F456:H456" si="261">+F457</f>
        <v>186199</v>
      </c>
      <c r="G456" s="1173">
        <f t="shared" si="261"/>
        <v>142282</v>
      </c>
      <c r="H456" s="1173">
        <f t="shared" si="261"/>
        <v>69506</v>
      </c>
      <c r="I456" s="1415">
        <v>0</v>
      </c>
      <c r="J456" s="1415">
        <v>0</v>
      </c>
      <c r="K456" s="1415">
        <v>0</v>
      </c>
      <c r="L456" s="1173">
        <f>+L457</f>
        <v>0</v>
      </c>
      <c r="M456" s="1174">
        <f>+M457</f>
        <v>211788</v>
      </c>
      <c r="N456" s="2960"/>
    </row>
    <row r="457" spans="1:15" ht="12.75" customHeight="1">
      <c r="A457" s="2968"/>
      <c r="B457" s="1807" t="s">
        <v>19</v>
      </c>
      <c r="C457" s="3442"/>
      <c r="D457" s="724">
        <f>E457+L457+F457+G457+H457+I457+J457+K457</f>
        <v>414733</v>
      </c>
      <c r="E457" s="1185">
        <f>+E458</f>
        <v>16746</v>
      </c>
      <c r="F457" s="1185">
        <f t="shared" ref="F457:H457" si="262">+F458</f>
        <v>186199</v>
      </c>
      <c r="G457" s="1185">
        <f t="shared" si="262"/>
        <v>142282</v>
      </c>
      <c r="H457" s="1185">
        <f t="shared" si="262"/>
        <v>69506</v>
      </c>
      <c r="I457" s="1130">
        <v>0</v>
      </c>
      <c r="J457" s="1130">
        <v>0</v>
      </c>
      <c r="K457" s="1130">
        <v>0</v>
      </c>
      <c r="L457" s="1185">
        <f>+L458</f>
        <v>0</v>
      </c>
      <c r="M457" s="2733">
        <f>SUM(G457:K457)</f>
        <v>211788</v>
      </c>
      <c r="N457" s="2967"/>
      <c r="O457" s="362">
        <f>+L454+L459</f>
        <v>0</v>
      </c>
    </row>
    <row r="458" spans="1:15" ht="12.75" hidden="1" customHeight="1">
      <c r="A458" s="2968"/>
      <c r="B458" s="1583" t="s">
        <v>139</v>
      </c>
      <c r="C458" s="2966"/>
      <c r="D458" s="724">
        <f>E458+L458+F458+G458+H458+I458+J458+K458</f>
        <v>414733</v>
      </c>
      <c r="E458" s="1185">
        <f>+E459+E460</f>
        <v>16746</v>
      </c>
      <c r="F458" s="1185">
        <f>+F459+F460</f>
        <v>186199</v>
      </c>
      <c r="G458" s="1185">
        <f>+G459+G460</f>
        <v>142282</v>
      </c>
      <c r="H458" s="1185">
        <f>+H459+H460</f>
        <v>69506</v>
      </c>
      <c r="I458" s="1130">
        <v>0</v>
      </c>
      <c r="J458" s="1130">
        <v>0</v>
      </c>
      <c r="K458" s="1130">
        <v>0</v>
      </c>
      <c r="L458" s="1185">
        <f>+L459+L460</f>
        <v>0</v>
      </c>
      <c r="M458" s="1185">
        <f>+H458+G458+F458+L458</f>
        <v>397987</v>
      </c>
      <c r="N458" s="2960"/>
    </row>
    <row r="459" spans="1:15" ht="12.75" hidden="1" customHeight="1">
      <c r="A459" s="2968"/>
      <c r="B459" s="739" t="s">
        <v>100</v>
      </c>
      <c r="C459" s="1579"/>
      <c r="D459" s="724">
        <f>E459+L459+F459+G459+H459+I459+J459+K459</f>
        <v>339192</v>
      </c>
      <c r="E459" s="1185">
        <f>58446-8085-45409</f>
        <v>4952</v>
      </c>
      <c r="F459" s="1185">
        <f>119128-3103+45409</f>
        <v>161434</v>
      </c>
      <c r="G459" s="1185">
        <f>119450-3425</f>
        <v>116025</v>
      </c>
      <c r="H459" s="1185">
        <f>58441-1660</f>
        <v>56781</v>
      </c>
      <c r="I459" s="1130">
        <v>0</v>
      </c>
      <c r="J459" s="1130">
        <v>0</v>
      </c>
      <c r="K459" s="1130">
        <v>0</v>
      </c>
      <c r="L459" s="1185"/>
      <c r="M459" s="1185">
        <f>+H459+G459+F459+L459</f>
        <v>334240</v>
      </c>
      <c r="N459" s="2960"/>
    </row>
    <row r="460" spans="1:15" ht="12" hidden="1" customHeight="1">
      <c r="A460" s="2968"/>
      <c r="B460" s="739" t="s">
        <v>245</v>
      </c>
      <c r="C460" s="1579"/>
      <c r="D460" s="724">
        <f>E460+L460+F460+G460+H460+I460+J460+K460</f>
        <v>75541</v>
      </c>
      <c r="E460" s="1185">
        <f>11101+1665-972</f>
        <v>11794</v>
      </c>
      <c r="F460" s="1185">
        <f>20690+3103+972</f>
        <v>24765</v>
      </c>
      <c r="G460" s="1185">
        <f>22832+3425</f>
        <v>26257</v>
      </c>
      <c r="H460" s="1185">
        <f>11065+1660</f>
        <v>12725</v>
      </c>
      <c r="I460" s="1130">
        <v>0</v>
      </c>
      <c r="J460" s="1130">
        <v>0</v>
      </c>
      <c r="K460" s="1130">
        <v>0</v>
      </c>
      <c r="L460" s="1185"/>
      <c r="M460" s="1185">
        <f>+H460+G460+F460+L460</f>
        <v>63747</v>
      </c>
      <c r="N460" s="2960"/>
    </row>
    <row r="461" spans="1:15" ht="15.75" customHeight="1">
      <c r="A461" s="2968"/>
      <c r="B461" s="492" t="s">
        <v>20</v>
      </c>
      <c r="C461" s="1169"/>
      <c r="D461" s="1170">
        <f t="shared" ref="D461:F462" si="263">+D462</f>
        <v>414733</v>
      </c>
      <c r="E461" s="1170">
        <f t="shared" si="263"/>
        <v>0</v>
      </c>
      <c r="F461" s="1170">
        <f t="shared" si="263"/>
        <v>94329</v>
      </c>
      <c r="G461" s="1170">
        <f t="shared" ref="G461:H461" si="264">+G462</f>
        <v>167900</v>
      </c>
      <c r="H461" s="1170">
        <f t="shared" si="264"/>
        <v>152504</v>
      </c>
      <c r="I461" s="1417">
        <v>0</v>
      </c>
      <c r="J461" s="1417">
        <v>0</v>
      </c>
      <c r="K461" s="1417">
        <v>0</v>
      </c>
      <c r="L461" s="1417">
        <v>0</v>
      </c>
      <c r="M461" s="3411" t="s">
        <v>21</v>
      </c>
      <c r="N461" s="2960"/>
    </row>
    <row r="462" spans="1:15" ht="12.75" customHeight="1">
      <c r="A462" s="2968"/>
      <c r="B462" s="735" t="s">
        <v>17</v>
      </c>
      <c r="C462" s="3448" t="s">
        <v>341</v>
      </c>
      <c r="D462" s="1190">
        <f t="shared" si="263"/>
        <v>414733</v>
      </c>
      <c r="E462" s="1196">
        <f t="shared" si="263"/>
        <v>0</v>
      </c>
      <c r="F462" s="1196">
        <f t="shared" si="263"/>
        <v>94329</v>
      </c>
      <c r="G462" s="1196">
        <f t="shared" ref="G462:H462" si="265">+G463</f>
        <v>167900</v>
      </c>
      <c r="H462" s="1196">
        <f t="shared" si="265"/>
        <v>152504</v>
      </c>
      <c r="I462" s="1418">
        <v>0</v>
      </c>
      <c r="J462" s="1418">
        <v>0</v>
      </c>
      <c r="K462" s="1418">
        <v>0</v>
      </c>
      <c r="L462" s="2767">
        <v>0</v>
      </c>
      <c r="M462" s="3412"/>
      <c r="N462" s="2960" t="s">
        <v>100</v>
      </c>
    </row>
    <row r="463" spans="1:15" ht="12.75" customHeight="1" thickBot="1">
      <c r="A463" s="2969"/>
      <c r="B463" s="621" t="s">
        <v>19</v>
      </c>
      <c r="C463" s="3439"/>
      <c r="D463" s="1405">
        <f>E463+L463+F463+G463+H463+I463+J463+K463</f>
        <v>414733</v>
      </c>
      <c r="E463" s="1405">
        <v>0</v>
      </c>
      <c r="F463" s="1581">
        <f>127804-6420-27055</f>
        <v>94329</v>
      </c>
      <c r="G463" s="1581">
        <f>140845+27055</f>
        <v>167900</v>
      </c>
      <c r="H463" s="1582">
        <v>152504</v>
      </c>
      <c r="I463" s="1424">
        <v>0</v>
      </c>
      <c r="J463" s="1424">
        <v>0</v>
      </c>
      <c r="K463" s="1424">
        <v>0</v>
      </c>
      <c r="L463" s="1424">
        <v>0</v>
      </c>
      <c r="M463" s="3413"/>
      <c r="N463" s="2961"/>
    </row>
    <row r="464" spans="1:15" ht="26.25" hidden="1" customHeight="1">
      <c r="A464" s="3418" t="s">
        <v>222</v>
      </c>
      <c r="B464" s="105" t="s">
        <v>93</v>
      </c>
      <c r="C464" s="671"/>
      <c r="D464" s="672"/>
      <c r="E464" s="674"/>
      <c r="F464" s="674"/>
      <c r="G464" s="674"/>
      <c r="H464" s="674"/>
      <c r="I464" s="674"/>
      <c r="J464" s="674"/>
      <c r="K464" s="674"/>
      <c r="L464" s="674"/>
      <c r="M464" s="2780"/>
      <c r="N464" s="3560"/>
    </row>
    <row r="465" spans="1:16" ht="12" hidden="1" customHeight="1">
      <c r="A465" s="3419"/>
      <c r="B465" s="17" t="s">
        <v>9</v>
      </c>
      <c r="C465" s="18"/>
      <c r="D465" s="106">
        <f>+D466+D470</f>
        <v>0</v>
      </c>
      <c r="E465" s="106">
        <f>+E466+E470</f>
        <v>0</v>
      </c>
      <c r="F465" s="106">
        <f t="shared" ref="F465" si="266">+F466+F470</f>
        <v>0</v>
      </c>
      <c r="G465" s="106">
        <f t="shared" ref="G465:M465" si="267">+G466+G470</f>
        <v>0</v>
      </c>
      <c r="H465" s="106">
        <f t="shared" si="267"/>
        <v>0</v>
      </c>
      <c r="I465" s="106">
        <f t="shared" si="267"/>
        <v>0</v>
      </c>
      <c r="J465" s="106">
        <f t="shared" si="267"/>
        <v>0</v>
      </c>
      <c r="K465" s="106">
        <f t="shared" si="267"/>
        <v>0</v>
      </c>
      <c r="L465" s="106">
        <f>+L466+L470</f>
        <v>0</v>
      </c>
      <c r="M465" s="2781">
        <f t="shared" si="267"/>
        <v>0</v>
      </c>
      <c r="N465" s="3561"/>
      <c r="O465" s="362" t="e">
        <f>+#REF!+#REF!</f>
        <v>#REF!</v>
      </c>
      <c r="P465" s="362"/>
    </row>
    <row r="466" spans="1:16" s="637" customFormat="1" ht="12" hidden="1" customHeight="1">
      <c r="A466" s="3419"/>
      <c r="B466" s="675" t="s">
        <v>10</v>
      </c>
      <c r="C466" s="676"/>
      <c r="D466" s="98">
        <f>+D467+D468+D469</f>
        <v>0</v>
      </c>
      <c r="E466" s="98">
        <f>+E467+E468+E469</f>
        <v>0</v>
      </c>
      <c r="F466" s="98">
        <f t="shared" ref="F466" si="268">+F467+F468+F469</f>
        <v>0</v>
      </c>
      <c r="G466" s="98">
        <f t="shared" ref="G466:M466" si="269">+G467+G468+G469</f>
        <v>0</v>
      </c>
      <c r="H466" s="98">
        <f t="shared" si="269"/>
        <v>0</v>
      </c>
      <c r="I466" s="98">
        <f t="shared" si="269"/>
        <v>0</v>
      </c>
      <c r="J466" s="98">
        <f t="shared" si="269"/>
        <v>0</v>
      </c>
      <c r="K466" s="98">
        <f t="shared" si="269"/>
        <v>0</v>
      </c>
      <c r="L466" s="98">
        <f>+L467+L468+L469</f>
        <v>0</v>
      </c>
      <c r="M466" s="2782">
        <f t="shared" si="269"/>
        <v>0</v>
      </c>
      <c r="N466" s="3561"/>
      <c r="P466" s="362"/>
    </row>
    <row r="467" spans="1:16" ht="12" hidden="1" customHeight="1">
      <c r="A467" s="3419"/>
      <c r="B467" s="677" t="s">
        <v>11</v>
      </c>
      <c r="C467" s="678"/>
      <c r="D467" s="27">
        <f>+D483+D501</f>
        <v>0</v>
      </c>
      <c r="E467" s="27">
        <f>+E483+E501</f>
        <v>0</v>
      </c>
      <c r="F467" s="27">
        <f t="shared" ref="F467" si="270">+F483+F501</f>
        <v>0</v>
      </c>
      <c r="G467" s="27">
        <f t="shared" ref="G467:L467" si="271">+G483+G501</f>
        <v>0</v>
      </c>
      <c r="H467" s="27">
        <f t="shared" si="271"/>
        <v>0</v>
      </c>
      <c r="I467" s="27">
        <f t="shared" si="271"/>
        <v>0</v>
      </c>
      <c r="J467" s="27">
        <f t="shared" si="271"/>
        <v>0</v>
      </c>
      <c r="K467" s="27">
        <f t="shared" si="271"/>
        <v>0</v>
      </c>
      <c r="L467" s="27">
        <f t="shared" si="271"/>
        <v>0</v>
      </c>
      <c r="M467" s="2783">
        <f>SUM(F467:H467)</f>
        <v>0</v>
      </c>
      <c r="N467" s="3561"/>
      <c r="O467" s="362"/>
      <c r="P467" s="362"/>
    </row>
    <row r="468" spans="1:16" ht="12" hidden="1" customHeight="1">
      <c r="A468" s="3419"/>
      <c r="B468" s="649" t="s">
        <v>69</v>
      </c>
      <c r="C468" s="650"/>
      <c r="D468" s="27">
        <f>+D484</f>
        <v>0</v>
      </c>
      <c r="E468" s="27">
        <f>+E484</f>
        <v>0</v>
      </c>
      <c r="F468" s="27">
        <f t="shared" ref="F468:F469" si="272">+F484</f>
        <v>0</v>
      </c>
      <c r="G468" s="27">
        <f t="shared" ref="G468:K469" si="273">+G484</f>
        <v>0</v>
      </c>
      <c r="H468" s="27">
        <f t="shared" si="273"/>
        <v>0</v>
      </c>
      <c r="I468" s="27">
        <f t="shared" si="273"/>
        <v>0</v>
      </c>
      <c r="J468" s="27">
        <f t="shared" si="273"/>
        <v>0</v>
      </c>
      <c r="K468" s="27">
        <f t="shared" si="273"/>
        <v>0</v>
      </c>
      <c r="L468" s="27">
        <f>+L484</f>
        <v>0</v>
      </c>
      <c r="M468" s="2783">
        <f>SUM(F468:H468)</f>
        <v>0</v>
      </c>
      <c r="N468" s="3561"/>
      <c r="P468" s="362"/>
    </row>
    <row r="469" spans="1:16" ht="12" hidden="1" customHeight="1">
      <c r="A469" s="3419"/>
      <c r="B469" s="679" t="s">
        <v>49</v>
      </c>
      <c r="C469" s="680"/>
      <c r="D469" s="27">
        <f>+D485</f>
        <v>0</v>
      </c>
      <c r="E469" s="27">
        <f>+E485</f>
        <v>0</v>
      </c>
      <c r="F469" s="27">
        <f t="shared" si="272"/>
        <v>0</v>
      </c>
      <c r="G469" s="27">
        <f t="shared" si="273"/>
        <v>0</v>
      </c>
      <c r="H469" s="27">
        <f t="shared" si="273"/>
        <v>0</v>
      </c>
      <c r="I469" s="27">
        <f t="shared" si="273"/>
        <v>0</v>
      </c>
      <c r="J469" s="27">
        <f t="shared" si="273"/>
        <v>0</v>
      </c>
      <c r="K469" s="27">
        <f t="shared" si="273"/>
        <v>0</v>
      </c>
      <c r="L469" s="27">
        <f>+L485</f>
        <v>0</v>
      </c>
      <c r="M469" s="2783">
        <f>SUM(F469:H469)</f>
        <v>0</v>
      </c>
      <c r="N469" s="3561"/>
      <c r="O469" s="362"/>
      <c r="P469" s="362"/>
    </row>
    <row r="470" spans="1:16" s="682" customFormat="1" ht="12" hidden="1" customHeight="1">
      <c r="A470" s="3419"/>
      <c r="B470" s="652" t="s">
        <v>17</v>
      </c>
      <c r="C470" s="681"/>
      <c r="D470" s="26">
        <f>+D471+D472</f>
        <v>0</v>
      </c>
      <c r="E470" s="26">
        <f>+E471+E472</f>
        <v>0</v>
      </c>
      <c r="F470" s="26">
        <f t="shared" ref="F470" si="274">+F471+F472</f>
        <v>0</v>
      </c>
      <c r="G470" s="26">
        <f t="shared" ref="G470:M470" si="275">+G471+G472</f>
        <v>0</v>
      </c>
      <c r="H470" s="26">
        <f t="shared" si="275"/>
        <v>0</v>
      </c>
      <c r="I470" s="26">
        <f t="shared" si="275"/>
        <v>0</v>
      </c>
      <c r="J470" s="26">
        <f t="shared" si="275"/>
        <v>0</v>
      </c>
      <c r="K470" s="26">
        <f t="shared" si="275"/>
        <v>0</v>
      </c>
      <c r="L470" s="26">
        <f>+L471+L472</f>
        <v>0</v>
      </c>
      <c r="M470" s="2784">
        <f t="shared" si="275"/>
        <v>0</v>
      </c>
      <c r="N470" s="3561"/>
      <c r="O470" s="636"/>
      <c r="P470" s="636"/>
    </row>
    <row r="471" spans="1:16" ht="12" hidden="1" customHeight="1">
      <c r="A471" s="3419"/>
      <c r="B471" s="653" t="s">
        <v>19</v>
      </c>
      <c r="C471" s="680"/>
      <c r="D471" s="27">
        <f>+D487+D503</f>
        <v>0</v>
      </c>
      <c r="E471" s="27">
        <f>+E487+E503</f>
        <v>0</v>
      </c>
      <c r="F471" s="27">
        <f t="shared" ref="F471" si="276">+F487+F503</f>
        <v>0</v>
      </c>
      <c r="G471" s="27">
        <f t="shared" ref="G471:L471" si="277">+G487+G503</f>
        <v>0</v>
      </c>
      <c r="H471" s="27">
        <f t="shared" si="277"/>
        <v>0</v>
      </c>
      <c r="I471" s="27">
        <f t="shared" si="277"/>
        <v>0</v>
      </c>
      <c r="J471" s="27">
        <f t="shared" si="277"/>
        <v>0</v>
      </c>
      <c r="K471" s="27">
        <f t="shared" si="277"/>
        <v>0</v>
      </c>
      <c r="L471" s="27">
        <f t="shared" si="277"/>
        <v>0</v>
      </c>
      <c r="M471" s="2783">
        <f>SUM(F471:H471)</f>
        <v>0</v>
      </c>
      <c r="N471" s="3561"/>
      <c r="O471" s="362"/>
      <c r="P471" s="362"/>
    </row>
    <row r="472" spans="1:16" ht="12" hidden="1" customHeight="1">
      <c r="A472" s="3419"/>
      <c r="B472" s="653" t="s">
        <v>70</v>
      </c>
      <c r="C472" s="680"/>
      <c r="D472" s="27">
        <f>+D488</f>
        <v>0</v>
      </c>
      <c r="E472" s="27">
        <f>+E488</f>
        <v>0</v>
      </c>
      <c r="F472" s="27">
        <f t="shared" ref="F472" si="278">+F488</f>
        <v>0</v>
      </c>
      <c r="G472" s="27">
        <f t="shared" ref="G472:L472" si="279">+G488</f>
        <v>0</v>
      </c>
      <c r="H472" s="27">
        <f t="shared" si="279"/>
        <v>0</v>
      </c>
      <c r="I472" s="27">
        <f t="shared" si="279"/>
        <v>0</v>
      </c>
      <c r="J472" s="27">
        <f t="shared" si="279"/>
        <v>0</v>
      </c>
      <c r="K472" s="27">
        <f t="shared" si="279"/>
        <v>0</v>
      </c>
      <c r="L472" s="27">
        <f t="shared" si="279"/>
        <v>0</v>
      </c>
      <c r="M472" s="2783">
        <f>SUM(F472:H472)</f>
        <v>0</v>
      </c>
      <c r="N472" s="3561"/>
      <c r="O472" s="362"/>
      <c r="P472" s="362"/>
    </row>
    <row r="473" spans="1:16" ht="12" hidden="1" customHeight="1">
      <c r="A473" s="3419"/>
      <c r="B473" s="17" t="s">
        <v>20</v>
      </c>
      <c r="C473" s="18"/>
      <c r="D473" s="171">
        <f>+D474+D477</f>
        <v>0</v>
      </c>
      <c r="E473" s="171">
        <f>+E474+E477</f>
        <v>0</v>
      </c>
      <c r="F473" s="171">
        <f t="shared" ref="F473" si="280">+F474+F477</f>
        <v>0</v>
      </c>
      <c r="G473" s="171">
        <f t="shared" ref="G473:L473" si="281">+G474+G477</f>
        <v>0</v>
      </c>
      <c r="H473" s="171">
        <f t="shared" si="281"/>
        <v>0</v>
      </c>
      <c r="I473" s="171">
        <f t="shared" si="281"/>
        <v>0</v>
      </c>
      <c r="J473" s="171">
        <f t="shared" si="281"/>
        <v>0</v>
      </c>
      <c r="K473" s="171">
        <f t="shared" si="281"/>
        <v>0</v>
      </c>
      <c r="L473" s="171">
        <f t="shared" si="281"/>
        <v>0</v>
      </c>
      <c r="M473" s="3559" t="s">
        <v>21</v>
      </c>
      <c r="N473" s="3561"/>
    </row>
    <row r="474" spans="1:16" ht="12" hidden="1" customHeight="1">
      <c r="A474" s="3419"/>
      <c r="B474" s="683" t="s">
        <v>22</v>
      </c>
      <c r="C474" s="684"/>
      <c r="D474" s="98">
        <f>+D475+D476</f>
        <v>0</v>
      </c>
      <c r="E474" s="98">
        <f>+E475+E476</f>
        <v>0</v>
      </c>
      <c r="F474" s="98">
        <f t="shared" ref="F474" si="282">+F475+F476</f>
        <v>0</v>
      </c>
      <c r="G474" s="98">
        <f t="shared" ref="G474:L474" si="283">+G475+G476</f>
        <v>0</v>
      </c>
      <c r="H474" s="98">
        <f t="shared" si="283"/>
        <v>0</v>
      </c>
      <c r="I474" s="98">
        <f t="shared" si="283"/>
        <v>0</v>
      </c>
      <c r="J474" s="98">
        <f t="shared" si="283"/>
        <v>0</v>
      </c>
      <c r="K474" s="98">
        <f t="shared" si="283"/>
        <v>0</v>
      </c>
      <c r="L474" s="98">
        <f t="shared" si="283"/>
        <v>0</v>
      </c>
      <c r="M474" s="3412"/>
      <c r="N474" s="3561"/>
      <c r="O474" s="362"/>
    </row>
    <row r="475" spans="1:16" ht="12" hidden="1" customHeight="1">
      <c r="A475" s="3419"/>
      <c r="B475" s="223" t="s">
        <v>69</v>
      </c>
      <c r="C475" s="680"/>
      <c r="D475" s="27">
        <f>+D491</f>
        <v>0</v>
      </c>
      <c r="E475" s="27">
        <f>+E491</f>
        <v>0</v>
      </c>
      <c r="F475" s="27">
        <f t="shared" ref="F475:K475" si="284">+F491</f>
        <v>0</v>
      </c>
      <c r="G475" s="27">
        <f t="shared" si="284"/>
        <v>0</v>
      </c>
      <c r="H475" s="27">
        <f t="shared" si="284"/>
        <v>0</v>
      </c>
      <c r="I475" s="27">
        <f t="shared" si="284"/>
        <v>0</v>
      </c>
      <c r="J475" s="27">
        <f t="shared" si="284"/>
        <v>0</v>
      </c>
      <c r="K475" s="27">
        <f t="shared" si="284"/>
        <v>0</v>
      </c>
      <c r="L475" s="27">
        <f>+L491</f>
        <v>0</v>
      </c>
      <c r="M475" s="3412"/>
      <c r="N475" s="3561"/>
    </row>
    <row r="476" spans="1:16" ht="12" hidden="1" customHeight="1">
      <c r="A476" s="3419"/>
      <c r="B476" s="685" t="s">
        <v>49</v>
      </c>
      <c r="C476" s="107"/>
      <c r="D476" s="27">
        <f>+D493</f>
        <v>0</v>
      </c>
      <c r="E476" s="27">
        <f>+E493</f>
        <v>0</v>
      </c>
      <c r="F476" s="27">
        <f t="shared" ref="F476:K476" si="285">+F493</f>
        <v>0</v>
      </c>
      <c r="G476" s="27">
        <f t="shared" si="285"/>
        <v>0</v>
      </c>
      <c r="H476" s="27">
        <f t="shared" si="285"/>
        <v>0</v>
      </c>
      <c r="I476" s="27">
        <f t="shared" si="285"/>
        <v>0</v>
      </c>
      <c r="J476" s="27">
        <f t="shared" si="285"/>
        <v>0</v>
      </c>
      <c r="K476" s="27">
        <f t="shared" si="285"/>
        <v>0</v>
      </c>
      <c r="L476" s="27">
        <f>+L493</f>
        <v>0</v>
      </c>
      <c r="M476" s="3412"/>
      <c r="N476" s="3561"/>
    </row>
    <row r="477" spans="1:16" s="682" customFormat="1" ht="12" hidden="1" customHeight="1">
      <c r="A477" s="3419"/>
      <c r="B477" s="686" t="s">
        <v>17</v>
      </c>
      <c r="C477" s="681"/>
      <c r="D477" s="108">
        <f>+D478+D479</f>
        <v>0</v>
      </c>
      <c r="E477" s="108">
        <f>+E478+E479</f>
        <v>0</v>
      </c>
      <c r="F477" s="108">
        <f t="shared" ref="F477" si="286">+F478+F479</f>
        <v>0</v>
      </c>
      <c r="G477" s="108">
        <f t="shared" ref="G477:L477" si="287">+G478+G479</f>
        <v>0</v>
      </c>
      <c r="H477" s="108">
        <f t="shared" si="287"/>
        <v>0</v>
      </c>
      <c r="I477" s="108">
        <f t="shared" si="287"/>
        <v>0</v>
      </c>
      <c r="J477" s="108">
        <f t="shared" si="287"/>
        <v>0</v>
      </c>
      <c r="K477" s="108">
        <f t="shared" si="287"/>
        <v>0</v>
      </c>
      <c r="L477" s="108">
        <f t="shared" si="287"/>
        <v>0</v>
      </c>
      <c r="M477" s="3412"/>
      <c r="N477" s="3561"/>
    </row>
    <row r="478" spans="1:16" ht="12" hidden="1" customHeight="1">
      <c r="A478" s="3419"/>
      <c r="B478" s="687" t="s">
        <v>19</v>
      </c>
      <c r="C478" s="680"/>
      <c r="D478" s="27">
        <f>+D496+D506</f>
        <v>0</v>
      </c>
      <c r="E478" s="27">
        <f>+E496+E506</f>
        <v>0</v>
      </c>
      <c r="F478" s="27">
        <f t="shared" ref="F478" si="288">+F496+F506</f>
        <v>0</v>
      </c>
      <c r="G478" s="27">
        <f t="shared" ref="G478:L478" si="289">+G496+G506</f>
        <v>0</v>
      </c>
      <c r="H478" s="27">
        <f t="shared" si="289"/>
        <v>0</v>
      </c>
      <c r="I478" s="27">
        <f t="shared" si="289"/>
        <v>0</v>
      </c>
      <c r="J478" s="27">
        <f t="shared" si="289"/>
        <v>0</v>
      </c>
      <c r="K478" s="27">
        <f t="shared" si="289"/>
        <v>0</v>
      </c>
      <c r="L478" s="27">
        <f t="shared" si="289"/>
        <v>0</v>
      </c>
      <c r="M478" s="3412"/>
      <c r="N478" s="3561"/>
    </row>
    <row r="479" spans="1:16" ht="12" hidden="1" customHeight="1" thickBot="1">
      <c r="A479" s="3420"/>
      <c r="B479" s="688" t="s">
        <v>70</v>
      </c>
      <c r="C479" s="666"/>
      <c r="D479" s="100">
        <f>+D497</f>
        <v>0</v>
      </c>
      <c r="E479" s="100">
        <f>+E497</f>
        <v>0</v>
      </c>
      <c r="F479" s="100">
        <f t="shared" ref="F479" si="290">+F497</f>
        <v>0</v>
      </c>
      <c r="G479" s="213">
        <f t="shared" ref="G479:L479" si="291">+G497</f>
        <v>0</v>
      </c>
      <c r="H479" s="214">
        <f t="shared" si="291"/>
        <v>0</v>
      </c>
      <c r="I479" s="214">
        <f t="shared" si="291"/>
        <v>0</v>
      </c>
      <c r="J479" s="214">
        <f t="shared" si="291"/>
        <v>0</v>
      </c>
      <c r="K479" s="214">
        <f t="shared" si="291"/>
        <v>0</v>
      </c>
      <c r="L479" s="100">
        <f t="shared" si="291"/>
        <v>0</v>
      </c>
      <c r="M479" s="3413"/>
      <c r="N479" s="689"/>
    </row>
    <row r="480" spans="1:16" hidden="1">
      <c r="A480" s="3402"/>
      <c r="B480" s="478"/>
      <c r="C480" s="48" t="s">
        <v>72</v>
      </c>
      <c r="D480" s="83"/>
      <c r="E480" s="2785"/>
      <c r="F480" s="479"/>
      <c r="G480" s="479"/>
      <c r="H480" s="479"/>
      <c r="I480" s="479"/>
      <c r="J480" s="479"/>
      <c r="K480" s="479"/>
      <c r="L480" s="2786"/>
      <c r="M480" s="36"/>
      <c r="N480" s="3380" t="s">
        <v>95</v>
      </c>
    </row>
    <row r="481" spans="1:15" ht="15" hidden="1" customHeight="1">
      <c r="A481" s="3403"/>
      <c r="B481" s="17" t="s">
        <v>9</v>
      </c>
      <c r="C481" s="18"/>
      <c r="D481" s="84">
        <f t="shared" ref="D481:H481" si="292">+D482+D486</f>
        <v>0</v>
      </c>
      <c r="E481" s="84">
        <f t="shared" si="292"/>
        <v>0</v>
      </c>
      <c r="F481" s="84">
        <f t="shared" si="292"/>
        <v>0</v>
      </c>
      <c r="G481" s="84">
        <f t="shared" si="292"/>
        <v>0</v>
      </c>
      <c r="H481" s="84">
        <f t="shared" si="292"/>
        <v>0</v>
      </c>
      <c r="I481" s="84"/>
      <c r="J481" s="84"/>
      <c r="K481" s="84"/>
      <c r="L481" s="84">
        <f>+L482+L486</f>
        <v>0</v>
      </c>
      <c r="M481" s="2781">
        <f>+M482+M486</f>
        <v>0</v>
      </c>
      <c r="N481" s="3381"/>
      <c r="O481" s="362" t="e">
        <f>+#REF!+#REF!</f>
        <v>#REF!</v>
      </c>
    </row>
    <row r="482" spans="1:15" hidden="1">
      <c r="A482" s="3403"/>
      <c r="B482" s="145" t="s">
        <v>22</v>
      </c>
      <c r="C482" s="3382" t="s">
        <v>89</v>
      </c>
      <c r="D482" s="85">
        <f t="shared" ref="D482:H482" si="293">+D483+D484+D485</f>
        <v>0</v>
      </c>
      <c r="E482" s="86">
        <f t="shared" si="293"/>
        <v>0</v>
      </c>
      <c r="F482" s="85">
        <f t="shared" si="293"/>
        <v>0</v>
      </c>
      <c r="G482" s="85">
        <f t="shared" si="293"/>
        <v>0</v>
      </c>
      <c r="H482" s="85">
        <f t="shared" si="293"/>
        <v>0</v>
      </c>
      <c r="I482" s="87"/>
      <c r="J482" s="87"/>
      <c r="K482" s="87"/>
      <c r="L482" s="85">
        <f>+L483+L484+L485</f>
        <v>0</v>
      </c>
      <c r="M482" s="65">
        <f>+M483+M484+M485</f>
        <v>0</v>
      </c>
      <c r="N482" s="3381"/>
    </row>
    <row r="483" spans="1:15" ht="11.25" hidden="1" customHeight="1">
      <c r="A483" s="3403"/>
      <c r="B483" s="349" t="s">
        <v>11</v>
      </c>
      <c r="C483" s="3383"/>
      <c r="D483" s="211">
        <f>E483+L483+F483+G483+H483+I483+J483+K483</f>
        <v>0</v>
      </c>
      <c r="E483" s="239"/>
      <c r="F483" s="480">
        <v>0</v>
      </c>
      <c r="G483" s="480">
        <v>0</v>
      </c>
      <c r="H483" s="480">
        <v>0</v>
      </c>
      <c r="I483" s="481"/>
      <c r="J483" s="481"/>
      <c r="K483" s="481"/>
      <c r="L483" s="480">
        <v>0</v>
      </c>
      <c r="M483" s="2783">
        <f>SUM(F483:H483)</f>
        <v>0</v>
      </c>
      <c r="N483" s="3381"/>
      <c r="O483" s="362"/>
    </row>
    <row r="484" spans="1:15" hidden="1">
      <c r="A484" s="3403"/>
      <c r="B484" s="109" t="s">
        <v>69</v>
      </c>
      <c r="C484" s="3383"/>
      <c r="D484" s="211">
        <f>E484+L484+F484+G484+H484+I484+J484+K484</f>
        <v>0</v>
      </c>
      <c r="E484" s="239"/>
      <c r="F484" s="110">
        <v>0</v>
      </c>
      <c r="G484" s="110">
        <v>0</v>
      </c>
      <c r="H484" s="110">
        <v>0</v>
      </c>
      <c r="I484" s="90"/>
      <c r="J484" s="90"/>
      <c r="K484" s="90"/>
      <c r="L484" s="110">
        <v>0</v>
      </c>
      <c r="M484" s="2783">
        <f>SUM(F484:H484)</f>
        <v>0</v>
      </c>
      <c r="N484" s="3381"/>
    </row>
    <row r="485" spans="1:15" ht="12" hidden="1" customHeight="1">
      <c r="A485" s="3403"/>
      <c r="B485" s="440" t="s">
        <v>96</v>
      </c>
      <c r="C485" s="3441"/>
      <c r="D485" s="211">
        <f>E485+L485+F485+G485+H485+I485+J485+K485</f>
        <v>0</v>
      </c>
      <c r="E485" s="239"/>
      <c r="F485" s="480">
        <v>0</v>
      </c>
      <c r="G485" s="480">
        <v>0</v>
      </c>
      <c r="H485" s="480">
        <v>0</v>
      </c>
      <c r="I485" s="481"/>
      <c r="J485" s="481"/>
      <c r="K485" s="481"/>
      <c r="L485" s="480">
        <v>0</v>
      </c>
      <c r="M485" s="2783">
        <f>SUM(F485:H485)</f>
        <v>0</v>
      </c>
      <c r="N485" s="3381"/>
    </row>
    <row r="486" spans="1:15" s="682" customFormat="1" hidden="1">
      <c r="A486" s="3403"/>
      <c r="B486" s="365" t="s">
        <v>17</v>
      </c>
      <c r="C486" s="482"/>
      <c r="D486" s="40">
        <f>+D487+D488</f>
        <v>0</v>
      </c>
      <c r="E486" s="483">
        <f t="shared" ref="E486:M486" si="294">+E487+E488</f>
        <v>0</v>
      </c>
      <c r="F486" s="483">
        <f t="shared" si="294"/>
        <v>0</v>
      </c>
      <c r="G486" s="483">
        <f t="shared" si="294"/>
        <v>0</v>
      </c>
      <c r="H486" s="483">
        <f t="shared" si="294"/>
        <v>0</v>
      </c>
      <c r="I486" s="483"/>
      <c r="J486" s="483"/>
      <c r="K486" s="483"/>
      <c r="L486" s="483">
        <f>+L487+L488</f>
        <v>0</v>
      </c>
      <c r="M486" s="65">
        <f t="shared" si="294"/>
        <v>0</v>
      </c>
      <c r="N486" s="3381"/>
    </row>
    <row r="487" spans="1:15" hidden="1">
      <c r="A487" s="3403"/>
      <c r="B487" s="658" t="s">
        <v>19</v>
      </c>
      <c r="C487" s="2965"/>
      <c r="D487" s="211">
        <f>E487+L487+F487+G487+H487+I487+J487+K487</f>
        <v>0</v>
      </c>
      <c r="E487" s="239"/>
      <c r="F487" s="481">
        <v>0</v>
      </c>
      <c r="G487" s="481">
        <v>0</v>
      </c>
      <c r="H487" s="481">
        <v>0</v>
      </c>
      <c r="I487" s="481"/>
      <c r="J487" s="481"/>
      <c r="K487" s="481"/>
      <c r="L487" s="481">
        <v>0</v>
      </c>
      <c r="M487" s="2783">
        <f>SUM(F487:H487)</f>
        <v>0</v>
      </c>
      <c r="N487" s="3381"/>
    </row>
    <row r="488" spans="1:15" ht="12" hidden="1" customHeight="1">
      <c r="A488" s="3403"/>
      <c r="B488" s="658" t="s">
        <v>70</v>
      </c>
      <c r="C488" s="2965"/>
      <c r="D488" s="211">
        <f>E488+L488+F488+G488+H488+I488+J488+K488</f>
        <v>0</v>
      </c>
      <c r="E488" s="239"/>
      <c r="F488" s="481">
        <v>0</v>
      </c>
      <c r="G488" s="481">
        <v>0</v>
      </c>
      <c r="H488" s="481">
        <v>0</v>
      </c>
      <c r="I488" s="481"/>
      <c r="J488" s="481"/>
      <c r="K488" s="481"/>
      <c r="L488" s="481">
        <v>0</v>
      </c>
      <c r="M488" s="2783">
        <f>SUM(F488:H488)</f>
        <v>0</v>
      </c>
      <c r="N488" s="3381"/>
    </row>
    <row r="489" spans="1:15" ht="14.25" hidden="1" customHeight="1">
      <c r="A489" s="3403"/>
      <c r="B489" s="17" t="s">
        <v>20</v>
      </c>
      <c r="C489" s="18"/>
      <c r="D489" s="171">
        <f t="shared" ref="D489:H489" si="295">+D490+D494</f>
        <v>0</v>
      </c>
      <c r="E489" s="171">
        <f t="shared" si="295"/>
        <v>0</v>
      </c>
      <c r="F489" s="171">
        <f t="shared" si="295"/>
        <v>0</v>
      </c>
      <c r="G489" s="171">
        <f t="shared" si="295"/>
        <v>0</v>
      </c>
      <c r="H489" s="171">
        <f t="shared" si="295"/>
        <v>0</v>
      </c>
      <c r="I489" s="171"/>
      <c r="J489" s="171"/>
      <c r="K489" s="171"/>
      <c r="L489" s="171">
        <f>+L490+L494</f>
        <v>0</v>
      </c>
      <c r="M489" s="3559" t="s">
        <v>21</v>
      </c>
      <c r="N489" s="3381"/>
      <c r="O489" s="362"/>
    </row>
    <row r="490" spans="1:15" s="690" customFormat="1" ht="12.75" hidden="1" customHeight="1">
      <c r="A490" s="3403"/>
      <c r="B490" s="145" t="s">
        <v>22</v>
      </c>
      <c r="C490" s="3382" t="s">
        <v>89</v>
      </c>
      <c r="D490" s="574">
        <f>+D491+D492+D493</f>
        <v>0</v>
      </c>
      <c r="E490" s="574">
        <f>SUM(E491:E493)</f>
        <v>0</v>
      </c>
      <c r="F490" s="574">
        <f>+F491+F493</f>
        <v>0</v>
      </c>
      <c r="G490" s="574">
        <f>+G491+G493</f>
        <v>0</v>
      </c>
      <c r="H490" s="574">
        <f>+H491+H493</f>
        <v>0</v>
      </c>
      <c r="I490" s="574"/>
      <c r="J490" s="574"/>
      <c r="K490" s="574"/>
      <c r="L490" s="574">
        <f>+L491+L493</f>
        <v>0</v>
      </c>
      <c r="M490" s="3412"/>
      <c r="N490" s="3381"/>
    </row>
    <row r="491" spans="1:15" s="2737" customFormat="1" ht="12.75" hidden="1" customHeight="1">
      <c r="A491" s="3403"/>
      <c r="B491" s="109" t="s">
        <v>97</v>
      </c>
      <c r="C491" s="3383"/>
      <c r="D491" s="211">
        <f>E491+L491+F491+G491+H491+I491+J491+K491</f>
        <v>0</v>
      </c>
      <c r="E491" s="239"/>
      <c r="F491" s="691">
        <v>0</v>
      </c>
      <c r="G491" s="691">
        <v>0</v>
      </c>
      <c r="H491" s="691">
        <v>0</v>
      </c>
      <c r="I491" s="691"/>
      <c r="J491" s="691"/>
      <c r="K491" s="691"/>
      <c r="L491" s="691">
        <v>0</v>
      </c>
      <c r="M491" s="3412"/>
      <c r="N491" s="3381"/>
      <c r="O491" s="2750">
        <v>-14575000</v>
      </c>
    </row>
    <row r="492" spans="1:15" s="2737" customFormat="1" ht="10.5" hidden="1" customHeight="1">
      <c r="A492" s="3403"/>
      <c r="B492" s="692" t="s">
        <v>98</v>
      </c>
      <c r="C492" s="3383"/>
      <c r="D492" s="211">
        <f>E492+L492+F492+G492+H492+I492+J492+K492</f>
        <v>0</v>
      </c>
      <c r="E492" s="239"/>
      <c r="F492" s="691"/>
      <c r="G492" s="691"/>
      <c r="H492" s="691"/>
      <c r="I492" s="691"/>
      <c r="J492" s="691"/>
      <c r="K492" s="691"/>
      <c r="L492" s="691"/>
      <c r="M492" s="3412"/>
      <c r="N492" s="3381"/>
    </row>
    <row r="493" spans="1:15" s="2737" customFormat="1" ht="12.75" hidden="1" customHeight="1">
      <c r="A493" s="3403"/>
      <c r="B493" s="440" t="s">
        <v>96</v>
      </c>
      <c r="C493" s="3383"/>
      <c r="D493" s="211">
        <f>E493+L493+F493+G493+H493+I493+J493+K493</f>
        <v>0</v>
      </c>
      <c r="E493" s="239"/>
      <c r="F493" s="480">
        <v>0</v>
      </c>
      <c r="G493" s="480">
        <v>0</v>
      </c>
      <c r="H493" s="480">
        <v>0</v>
      </c>
      <c r="I493" s="480"/>
      <c r="J493" s="480"/>
      <c r="K493" s="480"/>
      <c r="L493" s="480">
        <v>0</v>
      </c>
      <c r="M493" s="3412"/>
      <c r="N493" s="3381"/>
      <c r="O493" s="2750"/>
    </row>
    <row r="494" spans="1:15" s="690" customFormat="1" ht="12.75" hidden="1" customHeight="1">
      <c r="A494" s="3403"/>
      <c r="B494" s="693" t="s">
        <v>17</v>
      </c>
      <c r="C494" s="3383"/>
      <c r="D494" s="43">
        <f>+D495+D496+D497</f>
        <v>0</v>
      </c>
      <c r="E494" s="575"/>
      <c r="F494" s="575">
        <f>+F496</f>
        <v>0</v>
      </c>
      <c r="G494" s="575">
        <f>+G496</f>
        <v>0</v>
      </c>
      <c r="H494" s="575">
        <f>+H496</f>
        <v>0</v>
      </c>
      <c r="I494" s="575"/>
      <c r="J494" s="575"/>
      <c r="K494" s="575"/>
      <c r="L494" s="575">
        <f>+L496</f>
        <v>0</v>
      </c>
      <c r="M494" s="3412"/>
      <c r="N494" s="3381"/>
    </row>
    <row r="495" spans="1:15" s="690" customFormat="1" ht="10.5" hidden="1" customHeight="1">
      <c r="A495" s="3403"/>
      <c r="B495" s="692" t="s">
        <v>98</v>
      </c>
      <c r="C495" s="3383"/>
      <c r="D495" s="211">
        <f>E495+L495+F495+G495+H495+I495+J495+K495</f>
        <v>0</v>
      </c>
      <c r="E495" s="2787"/>
      <c r="F495" s="694"/>
      <c r="G495" s="694"/>
      <c r="H495" s="694"/>
      <c r="I495" s="694"/>
      <c r="J495" s="694"/>
      <c r="K495" s="694"/>
      <c r="L495" s="694"/>
      <c r="M495" s="3412"/>
      <c r="N495" s="3381"/>
    </row>
    <row r="496" spans="1:15" s="2737" customFormat="1" ht="12.75" hidden="1" customHeight="1">
      <c r="A496" s="3403"/>
      <c r="B496" s="349" t="s">
        <v>19</v>
      </c>
      <c r="C496" s="3383"/>
      <c r="D496" s="211">
        <f>E496+L496+F496+G496+H496+I496+J496+K496</f>
        <v>0</v>
      </c>
      <c r="E496" s="239"/>
      <c r="F496" s="484">
        <v>0</v>
      </c>
      <c r="G496" s="484">
        <v>0</v>
      </c>
      <c r="H496" s="484">
        <v>0</v>
      </c>
      <c r="I496" s="484"/>
      <c r="J496" s="484"/>
      <c r="K496" s="484"/>
      <c r="L496" s="484">
        <v>0</v>
      </c>
      <c r="M496" s="3412"/>
      <c r="N496" s="3381"/>
      <c r="O496" s="2750"/>
    </row>
    <row r="497" spans="1:18" s="2737" customFormat="1" ht="11.25" hidden="1" customHeight="1" thickBot="1">
      <c r="A497" s="3404"/>
      <c r="B497" s="63" t="s">
        <v>70</v>
      </c>
      <c r="C497" s="3449"/>
      <c r="D497" s="211">
        <f>E497+L497+F497+G497+H497+I497+J497+K497</f>
        <v>0</v>
      </c>
      <c r="E497" s="46"/>
      <c r="F497" s="485">
        <v>0</v>
      </c>
      <c r="G497" s="486">
        <v>0</v>
      </c>
      <c r="H497" s="151">
        <v>0</v>
      </c>
      <c r="I497" s="151"/>
      <c r="J497" s="151"/>
      <c r="K497" s="151"/>
      <c r="L497" s="485">
        <v>0</v>
      </c>
      <c r="M497" s="3413"/>
      <c r="N497" s="2961"/>
    </row>
    <row r="498" spans="1:18" hidden="1">
      <c r="A498" s="3402"/>
      <c r="B498" s="237"/>
      <c r="C498" s="48" t="s">
        <v>99</v>
      </c>
      <c r="D498" s="659"/>
      <c r="E498" s="2742"/>
      <c r="F498" s="78"/>
      <c r="G498" s="78"/>
      <c r="H498" s="78"/>
      <c r="I498" s="78"/>
      <c r="J498" s="78"/>
      <c r="K498" s="78"/>
      <c r="L498" s="78"/>
      <c r="M498" s="36"/>
      <c r="N498" s="3405" t="s">
        <v>92</v>
      </c>
      <c r="R498" s="2740"/>
    </row>
    <row r="499" spans="1:18" ht="14.25" hidden="1" customHeight="1">
      <c r="A499" s="3403"/>
      <c r="B499" s="17" t="s">
        <v>9</v>
      </c>
      <c r="C499" s="18"/>
      <c r="D499" s="52">
        <f t="shared" ref="D499" si="296">+D500+D502</f>
        <v>0</v>
      </c>
      <c r="E499" s="52">
        <f>+E500+E502</f>
        <v>0</v>
      </c>
      <c r="F499" s="52"/>
      <c r="G499" s="53"/>
      <c r="H499" s="52"/>
      <c r="I499" s="52"/>
      <c r="J499" s="52"/>
      <c r="K499" s="52"/>
      <c r="L499" s="52"/>
      <c r="M499" s="54">
        <f>+M500+M502</f>
        <v>0</v>
      </c>
      <c r="N499" s="3406"/>
      <c r="O499" s="362" t="e">
        <f>+#REF!+#REF!+L499+F499</f>
        <v>#REF!</v>
      </c>
      <c r="P499" s="362"/>
      <c r="Q499" s="362"/>
      <c r="R499" s="362"/>
    </row>
    <row r="500" spans="1:18" ht="14.25" hidden="1" customHeight="1">
      <c r="A500" s="3403"/>
      <c r="B500" s="145" t="s">
        <v>22</v>
      </c>
      <c r="C500" s="3382" t="s">
        <v>89</v>
      </c>
      <c r="D500" s="55">
        <f>+D501</f>
        <v>0</v>
      </c>
      <c r="E500" s="55">
        <f t="shared" ref="E500" si="297">+E501</f>
        <v>0</v>
      </c>
      <c r="F500" s="55"/>
      <c r="G500" s="79"/>
      <c r="H500" s="55"/>
      <c r="I500" s="55"/>
      <c r="J500" s="55"/>
      <c r="K500" s="55"/>
      <c r="L500" s="55"/>
      <c r="M500" s="65">
        <f>+M501</f>
        <v>0</v>
      </c>
      <c r="N500" s="3406"/>
      <c r="O500" s="362"/>
    </row>
    <row r="501" spans="1:18" hidden="1">
      <c r="A501" s="3403"/>
      <c r="B501" s="344" t="s">
        <v>11</v>
      </c>
      <c r="C501" s="3450"/>
      <c r="D501" s="211">
        <f>E501+L501+F501+G501+H501+I501+J501+K501</f>
        <v>0</v>
      </c>
      <c r="E501" s="239"/>
      <c r="F501" s="39"/>
      <c r="G501" s="38"/>
      <c r="H501" s="39"/>
      <c r="I501" s="39"/>
      <c r="J501" s="39"/>
      <c r="K501" s="39"/>
      <c r="L501" s="39"/>
      <c r="M501" s="2783">
        <f>SUM(F501:H501)</f>
        <v>0</v>
      </c>
      <c r="N501" s="3406"/>
    </row>
    <row r="502" spans="1:18" ht="14.25" hidden="1" customHeight="1">
      <c r="A502" s="3403"/>
      <c r="B502" s="365" t="s">
        <v>17</v>
      </c>
      <c r="C502" s="3450"/>
      <c r="D502" s="40">
        <f>+D503</f>
        <v>0</v>
      </c>
      <c r="E502" s="40">
        <f t="shared" ref="E502" si="298">+E503</f>
        <v>0</v>
      </c>
      <c r="F502" s="40"/>
      <c r="G502" s="41"/>
      <c r="H502" s="40"/>
      <c r="I502" s="40"/>
      <c r="J502" s="40"/>
      <c r="K502" s="40"/>
      <c r="L502" s="40"/>
      <c r="M502" s="65">
        <f>+M503</f>
        <v>0</v>
      </c>
      <c r="N502" s="3406"/>
    </row>
    <row r="503" spans="1:18" hidden="1">
      <c r="A503" s="3403"/>
      <c r="B503" s="660" t="s">
        <v>19</v>
      </c>
      <c r="C503" s="3450"/>
      <c r="D503" s="211">
        <f>E503+L503+F503+G503+H503+I503+J503+K503</f>
        <v>0</v>
      </c>
      <c r="E503" s="239"/>
      <c r="F503" s="39"/>
      <c r="G503" s="38"/>
      <c r="H503" s="39"/>
      <c r="I503" s="39"/>
      <c r="J503" s="39"/>
      <c r="K503" s="39"/>
      <c r="L503" s="39"/>
      <c r="M503" s="2783">
        <f>SUM(F503:H503)</f>
        <v>0</v>
      </c>
      <c r="N503" s="3406"/>
    </row>
    <row r="504" spans="1:18" ht="14.25" hidden="1" customHeight="1">
      <c r="A504" s="3430"/>
      <c r="B504" s="17" t="s">
        <v>20</v>
      </c>
      <c r="C504" s="18"/>
      <c r="D504" s="171">
        <f>+D505</f>
        <v>0</v>
      </c>
      <c r="E504" s="171">
        <f t="shared" ref="E504" si="299">+E505</f>
        <v>0</v>
      </c>
      <c r="F504" s="171"/>
      <c r="G504" s="172"/>
      <c r="H504" s="171"/>
      <c r="I504" s="171"/>
      <c r="J504" s="171"/>
      <c r="K504" s="171"/>
      <c r="L504" s="171"/>
      <c r="M504" s="3426" t="s">
        <v>21</v>
      </c>
      <c r="N504" s="3421"/>
      <c r="O504" s="362"/>
    </row>
    <row r="505" spans="1:18" s="2737" customFormat="1" ht="14.25" hidden="1" customHeight="1">
      <c r="A505" s="3430"/>
      <c r="B505" s="365" t="s">
        <v>17</v>
      </c>
      <c r="C505" s="3382" t="s">
        <v>89</v>
      </c>
      <c r="D505" s="574">
        <f>+D506</f>
        <v>0</v>
      </c>
      <c r="E505" s="574"/>
      <c r="F505" s="574"/>
      <c r="G505" s="575"/>
      <c r="H505" s="574"/>
      <c r="I505" s="574"/>
      <c r="J505" s="574"/>
      <c r="K505" s="574"/>
      <c r="L505" s="574"/>
      <c r="M505" s="3427"/>
      <c r="N505" s="3421"/>
    </row>
    <row r="506" spans="1:18" s="2737" customFormat="1" ht="14.25" hidden="1" customHeight="1" thickBot="1">
      <c r="A506" s="3431"/>
      <c r="B506" s="45" t="s">
        <v>19</v>
      </c>
      <c r="C506" s="3439"/>
      <c r="D506" s="211">
        <f>E506+L506+F506+G506+H506+I506+J506+K506</f>
        <v>0</v>
      </c>
      <c r="E506" s="2788"/>
      <c r="F506" s="372"/>
      <c r="G506" s="372"/>
      <c r="H506" s="372"/>
      <c r="I506" s="372"/>
      <c r="J506" s="372"/>
      <c r="K506" s="372"/>
      <c r="L506" s="372"/>
      <c r="M506" s="3428"/>
      <c r="N506" s="3422"/>
    </row>
    <row r="507" spans="1:18" ht="27.75" hidden="1" customHeight="1">
      <c r="A507" s="3456" t="s">
        <v>223</v>
      </c>
      <c r="B507" s="179" t="s">
        <v>191</v>
      </c>
      <c r="C507" s="695"/>
      <c r="D507" s="673"/>
      <c r="E507" s="674"/>
      <c r="F507" s="674"/>
      <c r="G507" s="674"/>
      <c r="H507" s="674"/>
      <c r="I507" s="674"/>
      <c r="J507" s="674"/>
      <c r="K507" s="674"/>
      <c r="L507" s="674"/>
      <c r="M507" s="2789"/>
      <c r="N507" s="3423"/>
    </row>
    <row r="508" spans="1:18" ht="14.25" hidden="1" customHeight="1">
      <c r="A508" s="3457"/>
      <c r="B508" s="17" t="s">
        <v>9</v>
      </c>
      <c r="C508" s="112"/>
      <c r="D508" s="106">
        <f>+D509+D511</f>
        <v>0</v>
      </c>
      <c r="E508" s="106">
        <f t="shared" ref="E508:M508" si="300">+E509+E511</f>
        <v>0</v>
      </c>
      <c r="F508" s="106">
        <f t="shared" si="300"/>
        <v>0</v>
      </c>
      <c r="G508" s="106">
        <f t="shared" si="300"/>
        <v>0</v>
      </c>
      <c r="H508" s="106">
        <f t="shared" si="300"/>
        <v>0</v>
      </c>
      <c r="I508" s="106">
        <f t="shared" si="300"/>
        <v>0</v>
      </c>
      <c r="J508" s="106">
        <f t="shared" si="300"/>
        <v>0</v>
      </c>
      <c r="K508" s="106">
        <f t="shared" si="300"/>
        <v>0</v>
      </c>
      <c r="L508" s="106">
        <f>+L509+L511</f>
        <v>0</v>
      </c>
      <c r="M508" s="54">
        <f t="shared" si="300"/>
        <v>0</v>
      </c>
      <c r="N508" s="3424"/>
      <c r="O508" s="362" t="e">
        <f>+#REF!+#REF!+L508+F508</f>
        <v>#REF!</v>
      </c>
    </row>
    <row r="509" spans="1:18" ht="13.5" hidden="1" customHeight="1">
      <c r="A509" s="3457"/>
      <c r="B509" s="696" t="s">
        <v>22</v>
      </c>
      <c r="C509" s="113"/>
      <c r="D509" s="98">
        <f>+D510</f>
        <v>0</v>
      </c>
      <c r="E509" s="98">
        <f t="shared" ref="E509:M509" si="301">+E510</f>
        <v>0</v>
      </c>
      <c r="F509" s="98">
        <f t="shared" si="301"/>
        <v>0</v>
      </c>
      <c r="G509" s="98">
        <f t="shared" si="301"/>
        <v>0</v>
      </c>
      <c r="H509" s="98">
        <f t="shared" si="301"/>
        <v>0</v>
      </c>
      <c r="I509" s="98">
        <f t="shared" si="301"/>
        <v>0</v>
      </c>
      <c r="J509" s="98">
        <f t="shared" si="301"/>
        <v>0</v>
      </c>
      <c r="K509" s="98">
        <f t="shared" si="301"/>
        <v>0</v>
      </c>
      <c r="L509" s="98">
        <f>+L510</f>
        <v>0</v>
      </c>
      <c r="M509" s="2741">
        <f t="shared" si="301"/>
        <v>0</v>
      </c>
      <c r="N509" s="3424"/>
    </row>
    <row r="510" spans="1:18" hidden="1">
      <c r="A510" s="3457"/>
      <c r="B510" s="222" t="s">
        <v>11</v>
      </c>
      <c r="C510" s="114"/>
      <c r="D510" s="27">
        <f>+D519</f>
        <v>0</v>
      </c>
      <c r="E510" s="27">
        <f>+E519</f>
        <v>0</v>
      </c>
      <c r="F510" s="27">
        <f t="shared" ref="F510:H510" si="302">+F519</f>
        <v>0</v>
      </c>
      <c r="G510" s="27">
        <f t="shared" si="302"/>
        <v>0</v>
      </c>
      <c r="H510" s="27">
        <f t="shared" si="302"/>
        <v>0</v>
      </c>
      <c r="I510" s="27">
        <f>+I519</f>
        <v>0</v>
      </c>
      <c r="J510" s="27">
        <f>+J519</f>
        <v>0</v>
      </c>
      <c r="K510" s="27">
        <f>+K519</f>
        <v>0</v>
      </c>
      <c r="L510" s="27">
        <f>+L519</f>
        <v>0</v>
      </c>
      <c r="M510" s="2783">
        <f>SUM(F510:H510)</f>
        <v>0</v>
      </c>
      <c r="N510" s="3424"/>
    </row>
    <row r="511" spans="1:18" ht="14.25" hidden="1" customHeight="1">
      <c r="A511" s="3457"/>
      <c r="B511" s="697" t="s">
        <v>17</v>
      </c>
      <c r="C511" s="115"/>
      <c r="D511" s="26">
        <f>+D512</f>
        <v>0</v>
      </c>
      <c r="E511" s="26">
        <f t="shared" ref="E511:M511" si="303">+E512</f>
        <v>0</v>
      </c>
      <c r="F511" s="26">
        <f t="shared" si="303"/>
        <v>0</v>
      </c>
      <c r="G511" s="26">
        <f t="shared" si="303"/>
        <v>0</v>
      </c>
      <c r="H511" s="26">
        <f t="shared" si="303"/>
        <v>0</v>
      </c>
      <c r="I511" s="26">
        <f t="shared" si="303"/>
        <v>0</v>
      </c>
      <c r="J511" s="26">
        <f t="shared" si="303"/>
        <v>0</v>
      </c>
      <c r="K511" s="26">
        <f t="shared" si="303"/>
        <v>0</v>
      </c>
      <c r="L511" s="26">
        <f>+L512</f>
        <v>0</v>
      </c>
      <c r="M511" s="2741">
        <f t="shared" si="303"/>
        <v>0</v>
      </c>
      <c r="N511" s="3424"/>
    </row>
    <row r="512" spans="1:18" ht="11.25" hidden="1" customHeight="1">
      <c r="A512" s="3457"/>
      <c r="B512" s="223" t="s">
        <v>18</v>
      </c>
      <c r="C512" s="114"/>
      <c r="D512" s="27">
        <f>+D521</f>
        <v>0</v>
      </c>
      <c r="E512" s="27">
        <f t="shared" ref="E512:H512" si="304">+E521</f>
        <v>0</v>
      </c>
      <c r="F512" s="27">
        <f t="shared" si="304"/>
        <v>0</v>
      </c>
      <c r="G512" s="27">
        <f t="shared" si="304"/>
        <v>0</v>
      </c>
      <c r="H512" s="27">
        <f t="shared" si="304"/>
        <v>0</v>
      </c>
      <c r="I512" s="27">
        <f>+I521</f>
        <v>0</v>
      </c>
      <c r="J512" s="27">
        <f>+J521</f>
        <v>0</v>
      </c>
      <c r="K512" s="27">
        <f>+K521</f>
        <v>0</v>
      </c>
      <c r="L512" s="27">
        <f>+L521</f>
        <v>0</v>
      </c>
      <c r="M512" s="2783">
        <f>SUM(F512:H512)</f>
        <v>0</v>
      </c>
      <c r="N512" s="3424"/>
    </row>
    <row r="513" spans="1:18" ht="13.5" hidden="1" customHeight="1">
      <c r="A513" s="3457"/>
      <c r="B513" s="17" t="s">
        <v>20</v>
      </c>
      <c r="C513" s="112"/>
      <c r="D513" s="106">
        <f>+D514</f>
        <v>0</v>
      </c>
      <c r="E513" s="106">
        <f>+E514</f>
        <v>0</v>
      </c>
      <c r="F513" s="106">
        <f t="shared" ref="F513:K514" si="305">+F514</f>
        <v>0</v>
      </c>
      <c r="G513" s="106">
        <f t="shared" si="305"/>
        <v>0</v>
      </c>
      <c r="H513" s="106">
        <f t="shared" si="305"/>
        <v>0</v>
      </c>
      <c r="I513" s="106">
        <f t="shared" si="305"/>
        <v>0</v>
      </c>
      <c r="J513" s="106">
        <f t="shared" si="305"/>
        <v>0</v>
      </c>
      <c r="K513" s="106">
        <f t="shared" si="305"/>
        <v>0</v>
      </c>
      <c r="L513" s="106">
        <f>+L514</f>
        <v>0</v>
      </c>
      <c r="M513" s="3426" t="s">
        <v>21</v>
      </c>
      <c r="N513" s="3424"/>
    </row>
    <row r="514" spans="1:18" ht="12" hidden="1" customHeight="1">
      <c r="A514" s="3457"/>
      <c r="B514" s="698" t="s">
        <v>17</v>
      </c>
      <c r="C514" s="113"/>
      <c r="D514" s="98">
        <f>+D515</f>
        <v>0</v>
      </c>
      <c r="E514" s="98">
        <f>+E515</f>
        <v>0</v>
      </c>
      <c r="F514" s="98">
        <f t="shared" si="305"/>
        <v>0</v>
      </c>
      <c r="G514" s="98">
        <f t="shared" si="305"/>
        <v>0</v>
      </c>
      <c r="H514" s="98">
        <f t="shared" si="305"/>
        <v>0</v>
      </c>
      <c r="I514" s="98">
        <f t="shared" si="305"/>
        <v>0</v>
      </c>
      <c r="J514" s="98">
        <f t="shared" si="305"/>
        <v>0</v>
      </c>
      <c r="K514" s="98">
        <f t="shared" si="305"/>
        <v>0</v>
      </c>
      <c r="L514" s="98">
        <f>+L515</f>
        <v>0</v>
      </c>
      <c r="M514" s="3427"/>
      <c r="N514" s="3424"/>
    </row>
    <row r="515" spans="1:18" ht="13.5" hidden="1" customHeight="1" thickBot="1">
      <c r="A515" s="3458"/>
      <c r="B515" s="223" t="s">
        <v>18</v>
      </c>
      <c r="C515" s="114"/>
      <c r="D515" s="27">
        <f>+D524</f>
        <v>0</v>
      </c>
      <c r="E515" s="27">
        <f t="shared" ref="E515:H515" si="306">+E524</f>
        <v>0</v>
      </c>
      <c r="F515" s="27">
        <f t="shared" si="306"/>
        <v>0</v>
      </c>
      <c r="G515" s="213">
        <f t="shared" si="306"/>
        <v>0</v>
      </c>
      <c r="H515" s="214">
        <f t="shared" si="306"/>
        <v>0</v>
      </c>
      <c r="I515" s="214">
        <f>+I524</f>
        <v>0</v>
      </c>
      <c r="J515" s="214">
        <f>+J524</f>
        <v>0</v>
      </c>
      <c r="K515" s="214">
        <f>+K524</f>
        <v>0</v>
      </c>
      <c r="L515" s="27">
        <f>+L524</f>
        <v>0</v>
      </c>
      <c r="M515" s="3428"/>
      <c r="N515" s="3425"/>
    </row>
    <row r="516" spans="1:18" hidden="1">
      <c r="A516" s="3402" t="s">
        <v>237</v>
      </c>
      <c r="B516" s="237"/>
      <c r="C516" s="48" t="s">
        <v>99</v>
      </c>
      <c r="D516" s="659"/>
      <c r="E516" s="2742"/>
      <c r="F516" s="78"/>
      <c r="G516" s="78"/>
      <c r="H516" s="78"/>
      <c r="I516" s="78"/>
      <c r="J516" s="78"/>
      <c r="K516" s="78"/>
      <c r="L516" s="78"/>
      <c r="M516" s="36"/>
      <c r="N516" s="3405" t="s">
        <v>100</v>
      </c>
      <c r="R516" s="2740"/>
    </row>
    <row r="517" spans="1:18" ht="14.25" hidden="1" customHeight="1">
      <c r="A517" s="3403"/>
      <c r="B517" s="492" t="s">
        <v>9</v>
      </c>
      <c r="C517" s="1169"/>
      <c r="D517" s="1183">
        <f>+D518+D520</f>
        <v>0</v>
      </c>
      <c r="E517" s="1183">
        <f t="shared" ref="E517:M517" si="307">+E518+E520</f>
        <v>0</v>
      </c>
      <c r="F517" s="1413">
        <f t="shared" si="307"/>
        <v>0</v>
      </c>
      <c r="G517" s="1413">
        <f t="shared" si="307"/>
        <v>0</v>
      </c>
      <c r="H517" s="1413">
        <f t="shared" si="307"/>
        <v>0</v>
      </c>
      <c r="I517" s="1413">
        <f t="shared" si="307"/>
        <v>0</v>
      </c>
      <c r="J517" s="1413">
        <f t="shared" si="307"/>
        <v>0</v>
      </c>
      <c r="K517" s="1413">
        <f t="shared" si="307"/>
        <v>0</v>
      </c>
      <c r="L517" s="1413">
        <f>+L518+L520</f>
        <v>0</v>
      </c>
      <c r="M517" s="1171">
        <f t="shared" si="307"/>
        <v>0</v>
      </c>
      <c r="N517" s="3406"/>
      <c r="O517" s="362" t="e">
        <f>+#REF!+#REF!+L517+F517</f>
        <v>#REF!</v>
      </c>
      <c r="P517" s="362"/>
      <c r="Q517" s="362"/>
      <c r="R517" s="362"/>
    </row>
    <row r="518" spans="1:18" ht="14.25" hidden="1" customHeight="1">
      <c r="A518" s="3403"/>
      <c r="B518" s="470" t="s">
        <v>22</v>
      </c>
      <c r="C518" s="3448" t="s">
        <v>101</v>
      </c>
      <c r="D518" s="1184">
        <f>+D519</f>
        <v>0</v>
      </c>
      <c r="E518" s="1184">
        <f t="shared" ref="E518:M518" si="308">+E519</f>
        <v>0</v>
      </c>
      <c r="F518" s="1414">
        <f t="shared" si="308"/>
        <v>0</v>
      </c>
      <c r="G518" s="1414">
        <f t="shared" si="308"/>
        <v>0</v>
      </c>
      <c r="H518" s="1414">
        <f t="shared" si="308"/>
        <v>0</v>
      </c>
      <c r="I518" s="1414">
        <f t="shared" si="308"/>
        <v>0</v>
      </c>
      <c r="J518" s="1414">
        <f t="shared" si="308"/>
        <v>0</v>
      </c>
      <c r="K518" s="1414">
        <f t="shared" si="308"/>
        <v>0</v>
      </c>
      <c r="L518" s="1414">
        <f>+L519</f>
        <v>0</v>
      </c>
      <c r="M518" s="1174">
        <f t="shared" si="308"/>
        <v>0</v>
      </c>
      <c r="N518" s="3406"/>
      <c r="O518" s="362"/>
    </row>
    <row r="519" spans="1:18" ht="14.25" hidden="1" customHeight="1">
      <c r="A519" s="3403"/>
      <c r="B519" s="739" t="s">
        <v>11</v>
      </c>
      <c r="C519" s="3450"/>
      <c r="D519" s="1113">
        <f>E519+L519+F519+G519+H519+I519+J519+K519</f>
        <v>0</v>
      </c>
      <c r="E519" s="1147"/>
      <c r="F519" s="1207">
        <v>0</v>
      </c>
      <c r="G519" s="1207">
        <v>0</v>
      </c>
      <c r="H519" s="1207">
        <v>0</v>
      </c>
      <c r="I519" s="1207">
        <v>0</v>
      </c>
      <c r="J519" s="1207">
        <v>0</v>
      </c>
      <c r="K519" s="1207">
        <v>0</v>
      </c>
      <c r="L519" s="1207">
        <v>0</v>
      </c>
      <c r="M519" s="1187">
        <f>SUM(F519:H519)</f>
        <v>0</v>
      </c>
      <c r="N519" s="3406"/>
    </row>
    <row r="520" spans="1:18" ht="14.25" hidden="1" customHeight="1">
      <c r="A520" s="3403"/>
      <c r="B520" s="735" t="s">
        <v>17</v>
      </c>
      <c r="C520" s="3450"/>
      <c r="D520" s="1173">
        <f t="shared" ref="D520:M520" si="309">+D521</f>
        <v>0</v>
      </c>
      <c r="E520" s="1173">
        <f t="shared" si="309"/>
        <v>0</v>
      </c>
      <c r="F520" s="1415">
        <f t="shared" si="309"/>
        <v>0</v>
      </c>
      <c r="G520" s="1415">
        <f t="shared" si="309"/>
        <v>0</v>
      </c>
      <c r="H520" s="1415">
        <f t="shared" si="309"/>
        <v>0</v>
      </c>
      <c r="I520" s="1415">
        <f t="shared" si="309"/>
        <v>0</v>
      </c>
      <c r="J520" s="1415">
        <f t="shared" si="309"/>
        <v>0</v>
      </c>
      <c r="K520" s="1415">
        <f t="shared" si="309"/>
        <v>0</v>
      </c>
      <c r="L520" s="1415">
        <f>+L521</f>
        <v>0</v>
      </c>
      <c r="M520" s="1174">
        <f t="shared" si="309"/>
        <v>0</v>
      </c>
      <c r="N520" s="3406"/>
    </row>
    <row r="521" spans="1:18" ht="14.25" hidden="1" customHeight="1">
      <c r="A521" s="3403"/>
      <c r="B521" s="1416" t="s">
        <v>18</v>
      </c>
      <c r="C521" s="3450"/>
      <c r="D521" s="1113">
        <f>E521+L521+F521+G521+H521+I521+J521+K521</f>
        <v>0</v>
      </c>
      <c r="E521" s="1147">
        <v>0</v>
      </c>
      <c r="F521" s="1207">
        <v>0</v>
      </c>
      <c r="G521" s="1207">
        <v>0</v>
      </c>
      <c r="H521" s="1207">
        <v>0</v>
      </c>
      <c r="I521" s="1207">
        <v>0</v>
      </c>
      <c r="J521" s="1207">
        <v>0</v>
      </c>
      <c r="K521" s="1207">
        <v>0</v>
      </c>
      <c r="L521" s="1207">
        <v>0</v>
      </c>
      <c r="M521" s="1187">
        <f>SUM(F521:H521)</f>
        <v>0</v>
      </c>
      <c r="N521" s="3406"/>
    </row>
    <row r="522" spans="1:18" ht="14.25" hidden="1" customHeight="1">
      <c r="A522" s="3430"/>
      <c r="B522" s="492" t="s">
        <v>20</v>
      </c>
      <c r="C522" s="1169"/>
      <c r="D522" s="1170">
        <f>+D523</f>
        <v>0</v>
      </c>
      <c r="E522" s="1170">
        <f t="shared" ref="E522:K523" si="310">+E523</f>
        <v>0</v>
      </c>
      <c r="F522" s="1417">
        <f t="shared" si="310"/>
        <v>0</v>
      </c>
      <c r="G522" s="1417">
        <f t="shared" si="310"/>
        <v>0</v>
      </c>
      <c r="H522" s="1417">
        <f t="shared" si="310"/>
        <v>0</v>
      </c>
      <c r="I522" s="1417">
        <f t="shared" si="310"/>
        <v>0</v>
      </c>
      <c r="J522" s="1417">
        <f t="shared" si="310"/>
        <v>0</v>
      </c>
      <c r="K522" s="1417">
        <f t="shared" si="310"/>
        <v>0</v>
      </c>
      <c r="L522" s="1417">
        <f>+L523</f>
        <v>0</v>
      </c>
      <c r="M522" s="3429" t="s">
        <v>21</v>
      </c>
      <c r="N522" s="3421"/>
    </row>
    <row r="523" spans="1:18" s="2737" customFormat="1" ht="14.25" hidden="1" customHeight="1">
      <c r="A523" s="3430"/>
      <c r="B523" s="735" t="s">
        <v>17</v>
      </c>
      <c r="C523" s="3448" t="s">
        <v>102</v>
      </c>
      <c r="D523" s="1190">
        <f>+D524</f>
        <v>0</v>
      </c>
      <c r="E523" s="1196">
        <f t="shared" si="310"/>
        <v>0</v>
      </c>
      <c r="F523" s="1418">
        <f t="shared" si="310"/>
        <v>0</v>
      </c>
      <c r="G523" s="1418">
        <f t="shared" si="310"/>
        <v>0</v>
      </c>
      <c r="H523" s="1418">
        <f t="shared" si="310"/>
        <v>0</v>
      </c>
      <c r="I523" s="1418">
        <f t="shared" si="310"/>
        <v>0</v>
      </c>
      <c r="J523" s="1418">
        <f t="shared" si="310"/>
        <v>0</v>
      </c>
      <c r="K523" s="1418">
        <f t="shared" si="310"/>
        <v>0</v>
      </c>
      <c r="L523" s="1418">
        <f>+L524</f>
        <v>0</v>
      </c>
      <c r="M523" s="3427"/>
      <c r="N523" s="3421"/>
    </row>
    <row r="524" spans="1:18" s="2737" customFormat="1" ht="14.25" hidden="1" customHeight="1" thickBot="1">
      <c r="A524" s="3431"/>
      <c r="B524" s="621" t="s">
        <v>18</v>
      </c>
      <c r="C524" s="3439"/>
      <c r="D524" s="1257">
        <f>E524+L524+F524+G524+H524+I524+J524+K524</f>
        <v>0</v>
      </c>
      <c r="E524" s="1405">
        <v>0</v>
      </c>
      <c r="F524" s="699">
        <v>0</v>
      </c>
      <c r="G524" s="699">
        <v>0</v>
      </c>
      <c r="H524" s="699">
        <v>0</v>
      </c>
      <c r="I524" s="699">
        <v>0</v>
      </c>
      <c r="J524" s="699">
        <v>0</v>
      </c>
      <c r="K524" s="699">
        <v>0</v>
      </c>
      <c r="L524" s="699">
        <v>0</v>
      </c>
      <c r="M524" s="3428"/>
      <c r="N524" s="3422"/>
      <c r="O524" s="2750">
        <f>D524-D521</f>
        <v>0</v>
      </c>
    </row>
    <row r="525" spans="1:18" ht="21" customHeight="1" thickBot="1">
      <c r="A525" s="116" t="s">
        <v>103</v>
      </c>
      <c r="B525" s="117"/>
      <c r="C525" s="118"/>
      <c r="D525" s="119"/>
      <c r="E525" s="119"/>
      <c r="F525" s="118"/>
      <c r="G525" s="118"/>
      <c r="H525" s="118"/>
      <c r="I525" s="118"/>
      <c r="J525" s="118"/>
      <c r="K525" s="118"/>
      <c r="L525" s="118"/>
      <c r="M525" s="118"/>
      <c r="N525" s="120"/>
    </row>
    <row r="526" spans="1:18" s="702" customFormat="1" ht="15.75" customHeight="1">
      <c r="A526" s="3549"/>
      <c r="B526" s="189" t="s">
        <v>67</v>
      </c>
      <c r="C526" s="2682"/>
      <c r="D526" s="190">
        <f>+D527+D528</f>
        <v>1153886510</v>
      </c>
      <c r="E526" s="190">
        <f t="shared" ref="E526" si="311">+E527+E528</f>
        <v>534191758</v>
      </c>
      <c r="F526" s="190">
        <f t="shared" ref="F526:K526" si="312">+F527+F528</f>
        <v>197132556</v>
      </c>
      <c r="G526" s="190">
        <f t="shared" si="312"/>
        <v>201020429</v>
      </c>
      <c r="H526" s="190">
        <f t="shared" si="312"/>
        <v>178597825</v>
      </c>
      <c r="I526" s="190">
        <f t="shared" si="312"/>
        <v>25145000</v>
      </c>
      <c r="J526" s="190">
        <f t="shared" si="312"/>
        <v>17798942</v>
      </c>
      <c r="K526" s="190">
        <f t="shared" si="312"/>
        <v>0</v>
      </c>
      <c r="L526" s="190">
        <f t="shared" ref="L526" si="313">+L527+L528</f>
        <v>0</v>
      </c>
      <c r="M526" s="12">
        <f>+M527+M528</f>
        <v>422562196</v>
      </c>
      <c r="N526" s="700"/>
      <c r="O526" s="701"/>
    </row>
    <row r="527" spans="1:18" s="702" customFormat="1" ht="11.25" customHeight="1">
      <c r="A527" s="3550"/>
      <c r="B527" s="183" t="s">
        <v>68</v>
      </c>
      <c r="C527" s="2683"/>
      <c r="D527" s="185">
        <f t="shared" ref="D527:K527" si="314">D542+D601+D605+D618+D626+D638+D642+D650</f>
        <v>937778675</v>
      </c>
      <c r="E527" s="185">
        <f t="shared" ref="E527" si="315">E542+E601+E605+E618+E626+E638+E642+E650</f>
        <v>454065276</v>
      </c>
      <c r="F527" s="185">
        <f t="shared" si="314"/>
        <v>141831422</v>
      </c>
      <c r="G527" s="185">
        <f t="shared" si="314"/>
        <v>155377937</v>
      </c>
      <c r="H527" s="185">
        <f t="shared" si="314"/>
        <v>143560098</v>
      </c>
      <c r="I527" s="185">
        <f t="shared" si="314"/>
        <v>25145000</v>
      </c>
      <c r="J527" s="185">
        <f t="shared" si="314"/>
        <v>17798942</v>
      </c>
      <c r="K527" s="185">
        <f t="shared" si="314"/>
        <v>0</v>
      </c>
      <c r="L527" s="185">
        <f>L542+L601+L605+L618+L626+L638+L642+L650</f>
        <v>0</v>
      </c>
      <c r="M527" s="14">
        <f>M542+M601+M605+M618+M626+M638+M642+M650</f>
        <v>341881977</v>
      </c>
      <c r="N527" s="700"/>
      <c r="O527" s="701"/>
    </row>
    <row r="528" spans="1:18" s="702" customFormat="1" ht="13.5" customHeight="1">
      <c r="A528" s="3550"/>
      <c r="B528" s="622" t="s">
        <v>8</v>
      </c>
      <c r="C528" s="703"/>
      <c r="D528" s="704">
        <f t="shared" ref="D528:K528" si="316">D555+D563+D567+D579+D594+D634+D646+D658+D666+D673+D677</f>
        <v>216107835</v>
      </c>
      <c r="E528" s="704">
        <f t="shared" si="316"/>
        <v>80126482</v>
      </c>
      <c r="F528" s="704">
        <f t="shared" si="316"/>
        <v>55301134</v>
      </c>
      <c r="G528" s="704">
        <f t="shared" si="316"/>
        <v>45642492</v>
      </c>
      <c r="H528" s="704">
        <f t="shared" si="316"/>
        <v>35037727</v>
      </c>
      <c r="I528" s="704">
        <f t="shared" si="316"/>
        <v>0</v>
      </c>
      <c r="J528" s="704">
        <f t="shared" si="316"/>
        <v>0</v>
      </c>
      <c r="K528" s="704">
        <f t="shared" si="316"/>
        <v>0</v>
      </c>
      <c r="L528" s="704">
        <f>L555+L563+L567+L579+L594+L634+L646+L658+L666+L673</f>
        <v>0</v>
      </c>
      <c r="M528" s="14">
        <f>M555+M563+M567+M579+M594+M634+M646+M658+M666+M673+M677</f>
        <v>80680219</v>
      </c>
      <c r="N528" s="700"/>
      <c r="O528" s="701"/>
    </row>
    <row r="529" spans="1:16" s="702" customFormat="1" ht="14.25" customHeight="1">
      <c r="A529" s="3550"/>
      <c r="B529" s="24" t="s">
        <v>9</v>
      </c>
      <c r="C529" s="18"/>
      <c r="D529" s="25">
        <f>+D530</f>
        <v>1153886510</v>
      </c>
      <c r="E529" s="25">
        <f t="shared" ref="E529:K530" si="317">+E530</f>
        <v>534191758</v>
      </c>
      <c r="F529" s="25">
        <f t="shared" si="317"/>
        <v>197132556</v>
      </c>
      <c r="G529" s="25">
        <f t="shared" si="317"/>
        <v>201020429</v>
      </c>
      <c r="H529" s="25">
        <f t="shared" si="317"/>
        <v>178597825</v>
      </c>
      <c r="I529" s="25">
        <f t="shared" si="317"/>
        <v>25145000</v>
      </c>
      <c r="J529" s="25">
        <f t="shared" si="317"/>
        <v>17798942</v>
      </c>
      <c r="K529" s="25">
        <f t="shared" si="317"/>
        <v>0</v>
      </c>
      <c r="L529" s="25">
        <f>+L530</f>
        <v>0</v>
      </c>
      <c r="M529" s="2781">
        <f>+M530</f>
        <v>422562196</v>
      </c>
      <c r="N529" s="705"/>
      <c r="O529" s="701">
        <f>M529-M526</f>
        <v>0</v>
      </c>
    </row>
    <row r="530" spans="1:16" s="709" customFormat="1" ht="12">
      <c r="A530" s="3550"/>
      <c r="B530" s="706" t="s">
        <v>22</v>
      </c>
      <c r="C530" s="707"/>
      <c r="D530" s="351">
        <f>SUM(D531:D534)</f>
        <v>1153886510</v>
      </c>
      <c r="E530" s="351">
        <f t="shared" ref="E530" si="318">SUM(E531:E534)</f>
        <v>534191758</v>
      </c>
      <c r="F530" s="351">
        <f t="shared" ref="F530:H530" si="319">SUM(F531:F534)</f>
        <v>197132556</v>
      </c>
      <c r="G530" s="351">
        <f t="shared" si="319"/>
        <v>201020429</v>
      </c>
      <c r="H530" s="351">
        <f t="shared" si="319"/>
        <v>178597825</v>
      </c>
      <c r="I530" s="351">
        <f t="shared" si="317"/>
        <v>25145000</v>
      </c>
      <c r="J530" s="351">
        <f t="shared" si="317"/>
        <v>17798942</v>
      </c>
      <c r="K530" s="351">
        <f t="shared" si="317"/>
        <v>0</v>
      </c>
      <c r="L530" s="351">
        <f>SUM(L531:L534)</f>
        <v>0</v>
      </c>
      <c r="M530" s="65">
        <f>SUM(M531:M534)</f>
        <v>422562196</v>
      </c>
      <c r="N530" s="1910"/>
      <c r="O530" s="708"/>
    </row>
    <row r="531" spans="1:16" s="702" customFormat="1" thickBot="1">
      <c r="A531" s="3550"/>
      <c r="B531" s="639" t="s">
        <v>11</v>
      </c>
      <c r="C531" s="640"/>
      <c r="D531" s="352">
        <f t="shared" ref="D531:K531" si="320">+D544+D553+D557+D565+D569+D675+D573+D581+D588+D603+D607+D616+D620+D628+D636+D644+D596+D640+D648+D652+D660+D668+D679</f>
        <v>1028762391</v>
      </c>
      <c r="E531" s="352">
        <f t="shared" si="320"/>
        <v>492068258</v>
      </c>
      <c r="F531" s="352">
        <f t="shared" si="320"/>
        <v>150090313</v>
      </c>
      <c r="G531" s="352">
        <f>+G544+G553+G557+G565+G569+G675+G573+G581+G588+G603+G607+G616+G620+G628+G636+G644+G596+G640+G648+G652+G660+G668+G679</f>
        <v>174761943</v>
      </c>
      <c r="H531" s="352">
        <f t="shared" si="320"/>
        <v>168897935</v>
      </c>
      <c r="I531" s="352">
        <f t="shared" si="320"/>
        <v>25145000</v>
      </c>
      <c r="J531" s="352">
        <f t="shared" si="320"/>
        <v>17798942</v>
      </c>
      <c r="K531" s="352">
        <f t="shared" si="320"/>
        <v>0</v>
      </c>
      <c r="L531" s="352">
        <f>+L544+L553+L557+L565+L569+L675+L573+L581+L588+L603+L607+L616+L620+L628+L636+L644+L596+L640+L648+L652+L660+L668</f>
        <v>0</v>
      </c>
      <c r="M531" s="2733">
        <f>SUM(G531:K531)</f>
        <v>386603820</v>
      </c>
      <c r="N531" s="3555"/>
      <c r="O531" s="701"/>
    </row>
    <row r="532" spans="1:16" s="702" customFormat="1" thickBot="1">
      <c r="A532" s="3550"/>
      <c r="B532" s="639" t="s">
        <v>69</v>
      </c>
      <c r="C532" s="640"/>
      <c r="D532" s="352">
        <f>D621+D629+D653</f>
        <v>49043728</v>
      </c>
      <c r="E532" s="352">
        <f t="shared" ref="E532" si="321">E621+E629+E653</f>
        <v>23425991</v>
      </c>
      <c r="F532" s="352">
        <f t="shared" ref="F532:K532" si="322">F621+F629+F653</f>
        <v>25617737</v>
      </c>
      <c r="G532" s="352">
        <f t="shared" si="322"/>
        <v>0</v>
      </c>
      <c r="H532" s="352">
        <f t="shared" si="322"/>
        <v>0</v>
      </c>
      <c r="I532" s="352">
        <f t="shared" si="322"/>
        <v>0</v>
      </c>
      <c r="J532" s="352">
        <f t="shared" si="322"/>
        <v>0</v>
      </c>
      <c r="K532" s="352">
        <f t="shared" si="322"/>
        <v>0</v>
      </c>
      <c r="L532" s="352">
        <f>L621+L629+L653</f>
        <v>0</v>
      </c>
      <c r="M532" s="2733">
        <f>SUM(G532:K532)</f>
        <v>0</v>
      </c>
      <c r="N532" s="3556"/>
      <c r="O532" s="701"/>
    </row>
    <row r="533" spans="1:16" s="702" customFormat="1" thickBot="1">
      <c r="A533" s="3550"/>
      <c r="B533" s="639" t="s">
        <v>14</v>
      </c>
      <c r="C533" s="640"/>
      <c r="D533" s="352">
        <f t="shared" ref="D533:K533" si="323">+D558+D574+D589+D608+D661</f>
        <v>13631190</v>
      </c>
      <c r="E533" s="352">
        <f t="shared" ref="E533" si="324">+E558+E574+E589+E608+E661</f>
        <v>8693931</v>
      </c>
      <c r="F533" s="352">
        <f t="shared" si="323"/>
        <v>4937259</v>
      </c>
      <c r="G533" s="352">
        <f t="shared" si="323"/>
        <v>0</v>
      </c>
      <c r="H533" s="352">
        <f t="shared" si="323"/>
        <v>0</v>
      </c>
      <c r="I533" s="352">
        <f t="shared" si="323"/>
        <v>0</v>
      </c>
      <c r="J533" s="352">
        <f t="shared" si="323"/>
        <v>0</v>
      </c>
      <c r="K533" s="352">
        <f t="shared" si="323"/>
        <v>0</v>
      </c>
      <c r="L533" s="352">
        <f>+L558+L574+L589+L608+L661</f>
        <v>0</v>
      </c>
      <c r="M533" s="2733">
        <f>SUM(G533:K533)</f>
        <v>0</v>
      </c>
      <c r="N533" s="3556"/>
      <c r="O533" s="701">
        <f>D533-D539</f>
        <v>0</v>
      </c>
    </row>
    <row r="534" spans="1:16" s="702" customFormat="1" ht="13.5" customHeight="1" thickBot="1">
      <c r="A534" s="3550"/>
      <c r="B534" s="639" t="s">
        <v>96</v>
      </c>
      <c r="C534" s="640"/>
      <c r="D534" s="352">
        <f>D545</f>
        <v>62449201</v>
      </c>
      <c r="E534" s="352">
        <f t="shared" ref="E534" si="325">E545</f>
        <v>10003578</v>
      </c>
      <c r="F534" s="352">
        <f t="shared" ref="F534:K534" si="326">F545</f>
        <v>16487247</v>
      </c>
      <c r="G534" s="352">
        <f t="shared" si="326"/>
        <v>26258486</v>
      </c>
      <c r="H534" s="352">
        <f t="shared" si="326"/>
        <v>9699890</v>
      </c>
      <c r="I534" s="352">
        <f t="shared" si="326"/>
        <v>0</v>
      </c>
      <c r="J534" s="352">
        <f t="shared" si="326"/>
        <v>0</v>
      </c>
      <c r="K534" s="352">
        <f t="shared" si="326"/>
        <v>0</v>
      </c>
      <c r="L534" s="352">
        <f>L545</f>
        <v>0</v>
      </c>
      <c r="M534" s="2733">
        <f>SUM(G534:K534)</f>
        <v>35958376</v>
      </c>
      <c r="N534" s="3556"/>
      <c r="O534" s="701"/>
    </row>
    <row r="535" spans="1:16" s="702" customFormat="1" ht="13.5" customHeight="1" thickBot="1">
      <c r="A535" s="3550"/>
      <c r="B535" s="68" t="s">
        <v>20</v>
      </c>
      <c r="C535" s="18"/>
      <c r="D535" s="25">
        <f>+D536</f>
        <v>228592156</v>
      </c>
      <c r="E535" s="25">
        <f t="shared" ref="E535:K535" si="327">+E536</f>
        <v>106100059</v>
      </c>
      <c r="F535" s="25">
        <f t="shared" si="327"/>
        <v>61010927</v>
      </c>
      <c r="G535" s="25">
        <f t="shared" si="327"/>
        <v>31425585</v>
      </c>
      <c r="H535" s="25">
        <f t="shared" si="327"/>
        <v>30055585</v>
      </c>
      <c r="I535" s="25">
        <f t="shared" si="327"/>
        <v>0</v>
      </c>
      <c r="J535" s="25">
        <f t="shared" si="327"/>
        <v>0</v>
      </c>
      <c r="K535" s="25">
        <f t="shared" si="327"/>
        <v>0</v>
      </c>
      <c r="L535" s="25">
        <f>+L536</f>
        <v>0</v>
      </c>
      <c r="M535" s="3548" t="s">
        <v>21</v>
      </c>
      <c r="N535" s="3556"/>
    </row>
    <row r="536" spans="1:16" s="702" customFormat="1" ht="12" customHeight="1" thickBot="1">
      <c r="A536" s="3550"/>
      <c r="B536" s="706" t="s">
        <v>22</v>
      </c>
      <c r="C536" s="645"/>
      <c r="D536" s="200">
        <f>+D537+D539+D538+D540</f>
        <v>228592156</v>
      </c>
      <c r="E536" s="200">
        <f t="shared" ref="E536" si="328">+E537+E539+E538+E540</f>
        <v>106100059</v>
      </c>
      <c r="F536" s="200">
        <f t="shared" ref="F536:K536" si="329">+F537+F539+F538+F540</f>
        <v>61010927</v>
      </c>
      <c r="G536" s="200">
        <f t="shared" si="329"/>
        <v>31425585</v>
      </c>
      <c r="H536" s="200">
        <f t="shared" si="329"/>
        <v>30055585</v>
      </c>
      <c r="I536" s="200">
        <f t="shared" si="329"/>
        <v>0</v>
      </c>
      <c r="J536" s="200">
        <f t="shared" si="329"/>
        <v>0</v>
      </c>
      <c r="K536" s="200">
        <f t="shared" si="329"/>
        <v>0</v>
      </c>
      <c r="L536" s="200">
        <f>+L537+L539+L538+L540</f>
        <v>0</v>
      </c>
      <c r="M536" s="3532"/>
      <c r="N536" s="3556"/>
    </row>
    <row r="537" spans="1:16" s="702" customFormat="1" ht="12" customHeight="1" thickBot="1">
      <c r="A537" s="3550"/>
      <c r="B537" s="639" t="s">
        <v>175</v>
      </c>
      <c r="C537" s="353"/>
      <c r="D537" s="121">
        <f>+D611+D599+D584+D671+D549</f>
        <v>103468037</v>
      </c>
      <c r="E537" s="121">
        <f t="shared" ref="E537:K537" si="330">+E611+E599+E584+E671+E549</f>
        <v>36788791</v>
      </c>
      <c r="F537" s="121">
        <f>+F611+F599+F584+F671+F549</f>
        <v>22036646</v>
      </c>
      <c r="G537" s="121">
        <f>+G611+G599+G584+G671+G549</f>
        <v>23006300</v>
      </c>
      <c r="H537" s="121">
        <f t="shared" si="330"/>
        <v>21636300</v>
      </c>
      <c r="I537" s="121">
        <f t="shared" si="330"/>
        <v>0</v>
      </c>
      <c r="J537" s="121">
        <f t="shared" si="330"/>
        <v>0</v>
      </c>
      <c r="K537" s="121">
        <f t="shared" si="330"/>
        <v>0</v>
      </c>
      <c r="L537" s="121">
        <f>+L611+L599+L584+L671+L549</f>
        <v>0</v>
      </c>
      <c r="M537" s="3532"/>
      <c r="N537" s="3556"/>
      <c r="P537" s="701">
        <v>28500000</v>
      </c>
    </row>
    <row r="538" spans="1:16" s="702" customFormat="1" ht="12" customHeight="1" thickBot="1">
      <c r="A538" s="2962"/>
      <c r="B538" s="639" t="s">
        <v>69</v>
      </c>
      <c r="C538" s="353"/>
      <c r="D538" s="352">
        <f>D624+D632+D656</f>
        <v>49043728</v>
      </c>
      <c r="E538" s="352">
        <f t="shared" ref="E538" si="331">E624+E632+E656</f>
        <v>23425991</v>
      </c>
      <c r="F538" s="352">
        <f t="shared" ref="F538:K538" si="332">F624+F632+F656</f>
        <v>25617737</v>
      </c>
      <c r="G538" s="352">
        <f t="shared" si="332"/>
        <v>0</v>
      </c>
      <c r="H538" s="352">
        <f t="shared" si="332"/>
        <v>0</v>
      </c>
      <c r="I538" s="352">
        <f t="shared" si="332"/>
        <v>0</v>
      </c>
      <c r="J538" s="352">
        <f t="shared" si="332"/>
        <v>0</v>
      </c>
      <c r="K538" s="352">
        <f t="shared" si="332"/>
        <v>0</v>
      </c>
      <c r="L538" s="352">
        <f>L624+L632+L656</f>
        <v>0</v>
      </c>
      <c r="M538" s="3532"/>
      <c r="N538" s="3556"/>
      <c r="O538" s="701">
        <f>D538-D532</f>
        <v>0</v>
      </c>
      <c r="P538" s="701">
        <v>4072498</v>
      </c>
    </row>
    <row r="539" spans="1:16" s="702" customFormat="1" ht="12" customHeight="1" thickBot="1">
      <c r="A539" s="2962"/>
      <c r="B539" s="639" t="s">
        <v>14</v>
      </c>
      <c r="C539" s="353"/>
      <c r="D539" s="121">
        <f t="shared" ref="D539:K539" si="333">+D561+D577+D592+D612+D664</f>
        <v>13631190</v>
      </c>
      <c r="E539" s="121">
        <f t="shared" ref="E539" si="334">+E561+E577+E592+E612+E664</f>
        <v>8693931</v>
      </c>
      <c r="F539" s="121">
        <f t="shared" si="333"/>
        <v>4937259</v>
      </c>
      <c r="G539" s="121">
        <f t="shared" si="333"/>
        <v>0</v>
      </c>
      <c r="H539" s="121">
        <f t="shared" si="333"/>
        <v>0</v>
      </c>
      <c r="I539" s="121">
        <f t="shared" si="333"/>
        <v>0</v>
      </c>
      <c r="J539" s="121">
        <f t="shared" si="333"/>
        <v>0</v>
      </c>
      <c r="K539" s="121">
        <f t="shared" si="333"/>
        <v>0</v>
      </c>
      <c r="L539" s="121">
        <f>+L561+L577+L592+L612+L664</f>
        <v>0</v>
      </c>
      <c r="M539" s="3532"/>
      <c r="N539" s="3556"/>
      <c r="P539" s="701">
        <v>1570791</v>
      </c>
    </row>
    <row r="540" spans="1:16" s="702" customFormat="1" ht="12" customHeight="1" thickBot="1">
      <c r="A540" s="2963"/>
      <c r="B540" s="2023" t="s">
        <v>96</v>
      </c>
      <c r="C540" s="1954"/>
      <c r="D540" s="2024">
        <f>D548</f>
        <v>62449201</v>
      </c>
      <c r="E540" s="2024">
        <f t="shared" ref="E540" si="335">E548</f>
        <v>37191346</v>
      </c>
      <c r="F540" s="2024">
        <f t="shared" ref="F540:K540" si="336">F548</f>
        <v>8419285</v>
      </c>
      <c r="G540" s="2024">
        <f t="shared" si="336"/>
        <v>8419285</v>
      </c>
      <c r="H540" s="2024">
        <f t="shared" si="336"/>
        <v>8419285</v>
      </c>
      <c r="I540" s="2024">
        <f t="shared" si="336"/>
        <v>0</v>
      </c>
      <c r="J540" s="2024">
        <f t="shared" si="336"/>
        <v>0</v>
      </c>
      <c r="K540" s="2024">
        <f t="shared" si="336"/>
        <v>0</v>
      </c>
      <c r="L540" s="2024">
        <f>L548</f>
        <v>0</v>
      </c>
      <c r="M540" s="3532"/>
      <c r="N540" s="3556"/>
    </row>
    <row r="541" spans="1:16" s="702" customFormat="1" ht="13.5" customHeight="1">
      <c r="A541" s="3549" t="s">
        <v>54</v>
      </c>
      <c r="B541" s="340" t="s">
        <v>506</v>
      </c>
      <c r="C541" s="48" t="s">
        <v>99</v>
      </c>
      <c r="D541" s="2223"/>
      <c r="E541" s="2224"/>
      <c r="F541" s="2224"/>
      <c r="G541" s="2224"/>
      <c r="H541" s="2224"/>
      <c r="I541" s="2224"/>
      <c r="J541" s="2224"/>
      <c r="K541" s="2225"/>
      <c r="L541" s="2224"/>
      <c r="M541" s="2790"/>
      <c r="N541" s="3553" t="s">
        <v>92</v>
      </c>
    </row>
    <row r="542" spans="1:16" s="702" customFormat="1" ht="13.5" customHeight="1">
      <c r="A542" s="3550"/>
      <c r="B542" s="1768" t="s">
        <v>9</v>
      </c>
      <c r="C542" s="2118"/>
      <c r="D542" s="1425">
        <f>+D543</f>
        <v>125100071</v>
      </c>
      <c r="E542" s="1425">
        <f t="shared" ref="E542:J542" si="337">+E543</f>
        <v>14488619</v>
      </c>
      <c r="F542" s="1425">
        <f t="shared" si="337"/>
        <v>20559573</v>
      </c>
      <c r="G542" s="1425">
        <f t="shared" si="337"/>
        <v>32297937</v>
      </c>
      <c r="H542" s="1425">
        <f t="shared" si="337"/>
        <v>22700000</v>
      </c>
      <c r="I542" s="1425">
        <f t="shared" si="337"/>
        <v>21200000</v>
      </c>
      <c r="J542" s="1425">
        <f t="shared" si="337"/>
        <v>13853942</v>
      </c>
      <c r="K542" s="1197">
        <v>0</v>
      </c>
      <c r="L542" s="1425">
        <f>+L543</f>
        <v>0</v>
      </c>
      <c r="M542" s="1215">
        <f>+M543</f>
        <v>90051879</v>
      </c>
      <c r="N542" s="3554"/>
      <c r="O542" s="701"/>
    </row>
    <row r="543" spans="1:16" s="702" customFormat="1" ht="13.5" customHeight="1">
      <c r="A543" s="3550"/>
      <c r="B543" s="2294" t="s">
        <v>22</v>
      </c>
      <c r="C543" s="3448" t="s">
        <v>89</v>
      </c>
      <c r="D543" s="1426">
        <f>D544+D545</f>
        <v>125100071</v>
      </c>
      <c r="E543" s="1426">
        <f t="shared" ref="E543:F543" si="338">E544+E545</f>
        <v>14488619</v>
      </c>
      <c r="F543" s="1426">
        <f t="shared" si="338"/>
        <v>20559573</v>
      </c>
      <c r="G543" s="1426">
        <f t="shared" ref="G543" si="339">G544+G545</f>
        <v>32297937</v>
      </c>
      <c r="H543" s="1426">
        <f t="shared" ref="H543:J543" si="340">H544+H545</f>
        <v>22700000</v>
      </c>
      <c r="I543" s="1426">
        <f t="shared" si="340"/>
        <v>21200000</v>
      </c>
      <c r="J543" s="1426">
        <f t="shared" si="340"/>
        <v>13853942</v>
      </c>
      <c r="K543" s="1195">
        <v>0</v>
      </c>
      <c r="L543" s="1426">
        <f>L544+L545</f>
        <v>0</v>
      </c>
      <c r="M543" s="2748">
        <f>+M544+M545</f>
        <v>90051879</v>
      </c>
      <c r="N543" s="3554"/>
    </row>
    <row r="544" spans="1:16" s="702" customFormat="1" ht="13.5" customHeight="1">
      <c r="A544" s="3550"/>
      <c r="B544" s="2295" t="s">
        <v>11</v>
      </c>
      <c r="C544" s="3383"/>
      <c r="D544" s="2619">
        <f>E544+L544+F544+G544+H544+I544+J544+K544</f>
        <v>62650870</v>
      </c>
      <c r="E544" s="1147">
        <f>2184218+2300823</f>
        <v>4485041</v>
      </c>
      <c r="F544" s="1427">
        <f>5009055-1164582+227853</f>
        <v>4072326</v>
      </c>
      <c r="G544" s="1427">
        <f>3791381+2248070</f>
        <v>6039451</v>
      </c>
      <c r="H544" s="1427">
        <f>7563540+5436570</f>
        <v>13000110</v>
      </c>
      <c r="I544" s="1427">
        <v>21200000</v>
      </c>
      <c r="J544" s="1427">
        <v>13853942</v>
      </c>
      <c r="K544" s="1130">
        <v>0</v>
      </c>
      <c r="L544" s="1427"/>
      <c r="M544" s="2733">
        <f>SUM(G544:K544)</f>
        <v>54093503</v>
      </c>
      <c r="N544" s="3554"/>
      <c r="O544" s="701"/>
    </row>
    <row r="545" spans="1:15" s="702" customFormat="1" ht="13.5" customHeight="1">
      <c r="A545" s="3550"/>
      <c r="B545" s="2620" t="s">
        <v>96</v>
      </c>
      <c r="C545" s="3384"/>
      <c r="D545" s="2597">
        <f>E545+L545+F545+G545+H545+I545+J545+K545</f>
        <v>62449201</v>
      </c>
      <c r="E545" s="89">
        <f>12700000-2696422</f>
        <v>10003578</v>
      </c>
      <c r="F545" s="89">
        <f>21778500-5291253</f>
        <v>16487247</v>
      </c>
      <c r="G545" s="89">
        <f>16484263+9774223</f>
        <v>26258486</v>
      </c>
      <c r="H545" s="89">
        <f>14182860-4482970</f>
        <v>9699890</v>
      </c>
      <c r="I545" s="986">
        <v>0</v>
      </c>
      <c r="J545" s="986">
        <v>0</v>
      </c>
      <c r="K545" s="986">
        <v>0</v>
      </c>
      <c r="L545" s="89"/>
      <c r="M545" s="2733">
        <f>SUM(G545:K545)</f>
        <v>35958376</v>
      </c>
      <c r="N545" s="3554"/>
      <c r="O545" s="701"/>
    </row>
    <row r="546" spans="1:15" s="702" customFormat="1" ht="13.5" customHeight="1">
      <c r="A546" s="3550"/>
      <c r="B546" s="161" t="s">
        <v>20</v>
      </c>
      <c r="C546" s="75"/>
      <c r="D546" s="1001">
        <f>D547</f>
        <v>62677054</v>
      </c>
      <c r="E546" s="1001">
        <f t="shared" ref="E546:K547" si="341">E547</f>
        <v>37191346</v>
      </c>
      <c r="F546" s="1001">
        <f t="shared" si="341"/>
        <v>8647138</v>
      </c>
      <c r="G546" s="1001">
        <f t="shared" si="341"/>
        <v>8419285</v>
      </c>
      <c r="H546" s="1001">
        <f t="shared" si="341"/>
        <v>8419285</v>
      </c>
      <c r="I546" s="1002">
        <f t="shared" si="341"/>
        <v>0</v>
      </c>
      <c r="J546" s="1002">
        <f t="shared" si="341"/>
        <v>0</v>
      </c>
      <c r="K546" s="1002">
        <f t="shared" si="341"/>
        <v>0</v>
      </c>
      <c r="L546" s="1001">
        <f>L547</f>
        <v>0</v>
      </c>
      <c r="M546" s="3551" t="s">
        <v>21</v>
      </c>
      <c r="N546" s="3554"/>
      <c r="O546" s="701"/>
    </row>
    <row r="547" spans="1:15" s="702" customFormat="1" ht="14.25" customHeight="1">
      <c r="A547" s="3550"/>
      <c r="B547" s="2621" t="s">
        <v>22</v>
      </c>
      <c r="C547" s="3448" t="s">
        <v>89</v>
      </c>
      <c r="D547" s="2622">
        <f>D548+D549</f>
        <v>62677054</v>
      </c>
      <c r="E547" s="2424">
        <f t="shared" ref="E547:H547" si="342">E548+E549</f>
        <v>37191346</v>
      </c>
      <c r="F547" s="2622">
        <f t="shared" si="342"/>
        <v>8647138</v>
      </c>
      <c r="G547" s="2424">
        <f t="shared" si="342"/>
        <v>8419285</v>
      </c>
      <c r="H547" s="2424">
        <f t="shared" si="342"/>
        <v>8419285</v>
      </c>
      <c r="I547" s="1428">
        <f t="shared" si="341"/>
        <v>0</v>
      </c>
      <c r="J547" s="1428">
        <f t="shared" si="341"/>
        <v>0</v>
      </c>
      <c r="K547" s="1428">
        <f t="shared" si="341"/>
        <v>0</v>
      </c>
      <c r="L547" s="2424">
        <f>L548+L549</f>
        <v>0</v>
      </c>
      <c r="M547" s="3552"/>
      <c r="N547" s="3554"/>
      <c r="O547" s="701"/>
    </row>
    <row r="548" spans="1:15" s="702" customFormat="1" ht="13.5" customHeight="1">
      <c r="A548" s="3550"/>
      <c r="B548" s="2620" t="s">
        <v>96</v>
      </c>
      <c r="C548" s="3383"/>
      <c r="D548" s="2597">
        <f>E548+L548+F548+G548+H548+I548+J548+K548</f>
        <v>62449201</v>
      </c>
      <c r="E548" s="1152">
        <f>28772061+8419285</f>
        <v>37191346</v>
      </c>
      <c r="F548" s="2597">
        <v>8419285</v>
      </c>
      <c r="G548" s="1152">
        <v>8419285</v>
      </c>
      <c r="H548" s="1152">
        <v>8419285</v>
      </c>
      <c r="I548" s="1428">
        <v>0</v>
      </c>
      <c r="J548" s="1428">
        <v>0</v>
      </c>
      <c r="K548" s="1428">
        <v>0</v>
      </c>
      <c r="L548" s="1152"/>
      <c r="M548" s="3552"/>
      <c r="N548" s="3554"/>
      <c r="O548" s="701"/>
    </row>
    <row r="549" spans="1:15" s="702" customFormat="1" ht="15" customHeight="1" thickBot="1">
      <c r="A549" s="3550"/>
      <c r="B549" s="2295" t="s">
        <v>11</v>
      </c>
      <c r="C549" s="3383"/>
      <c r="D549" s="2597">
        <f>E549+L549+F549+G549+H549+I549+J549+K549</f>
        <v>227853</v>
      </c>
      <c r="E549" s="2423">
        <v>0</v>
      </c>
      <c r="F549" s="2623">
        <v>227853</v>
      </c>
      <c r="G549" s="2423">
        <v>0</v>
      </c>
      <c r="H549" s="2423">
        <v>0</v>
      </c>
      <c r="I549" s="2423">
        <v>0</v>
      </c>
      <c r="J549" s="2423">
        <v>0</v>
      </c>
      <c r="K549" s="2423">
        <v>0</v>
      </c>
      <c r="L549" s="2423">
        <v>0</v>
      </c>
      <c r="M549" s="3552"/>
      <c r="N549" s="3554"/>
      <c r="O549" s="701"/>
    </row>
    <row r="550" spans="1:15" s="702" customFormat="1" ht="14.25" hidden="1" customHeight="1">
      <c r="A550" s="3550"/>
      <c r="B550" s="354"/>
      <c r="C550" s="710"/>
      <c r="D550" s="70"/>
      <c r="E550" s="216"/>
      <c r="F550" s="216"/>
      <c r="G550" s="216"/>
      <c r="H550" s="216"/>
      <c r="I550" s="216"/>
      <c r="J550" s="216"/>
      <c r="K550" s="216"/>
      <c r="L550" s="216"/>
      <c r="M550" s="2791"/>
      <c r="N550" s="3407"/>
    </row>
    <row r="551" spans="1:15" s="702" customFormat="1" ht="13.5" hidden="1" customHeight="1">
      <c r="A551" s="3550"/>
      <c r="B551" s="24"/>
      <c r="C551" s="75"/>
      <c r="D551" s="178"/>
      <c r="E551" s="178"/>
      <c r="F551" s="178"/>
      <c r="G551" s="209"/>
      <c r="H551" s="209"/>
      <c r="I551" s="209"/>
      <c r="J551" s="209"/>
      <c r="K551" s="209"/>
      <c r="L551" s="178"/>
      <c r="M551" s="2792"/>
      <c r="N551" s="3572"/>
    </row>
    <row r="552" spans="1:15" s="702" customFormat="1" ht="13.5" hidden="1" customHeight="1">
      <c r="A552" s="3550"/>
      <c r="B552" s="474"/>
      <c r="C552" s="3382"/>
      <c r="D552" s="64"/>
      <c r="E552" s="64"/>
      <c r="F552" s="64"/>
      <c r="G552" s="207"/>
      <c r="H552" s="207"/>
      <c r="I552" s="207"/>
      <c r="J552" s="207"/>
      <c r="K552" s="207"/>
      <c r="L552" s="64"/>
      <c r="M552" s="2743"/>
      <c r="N552" s="3572"/>
    </row>
    <row r="553" spans="1:15" s="702" customFormat="1" ht="13.5" hidden="1" customHeight="1" thickBot="1">
      <c r="A553" s="3584"/>
      <c r="B553" s="58"/>
      <c r="C553" s="3439"/>
      <c r="D553" s="73"/>
      <c r="E553" s="60"/>
      <c r="F553" s="42"/>
      <c r="G553" s="210"/>
      <c r="H553" s="210"/>
      <c r="I553" s="210"/>
      <c r="J553" s="210"/>
      <c r="K553" s="210"/>
      <c r="L553" s="42"/>
      <c r="M553" s="2793"/>
      <c r="N553" s="3573"/>
      <c r="O553" s="701"/>
    </row>
    <row r="554" spans="1:15" s="702" customFormat="1" hidden="1" thickBot="1">
      <c r="A554" s="3562"/>
      <c r="B554" s="61"/>
      <c r="C554" s="48" t="s">
        <v>72</v>
      </c>
      <c r="D554" s="659"/>
      <c r="E554" s="78"/>
      <c r="F554" s="78"/>
      <c r="G554" s="78"/>
      <c r="H554" s="78"/>
      <c r="I554" s="78"/>
      <c r="J554" s="78"/>
      <c r="K554" s="78"/>
      <c r="L554" s="78"/>
      <c r="M554" s="36"/>
      <c r="N554" s="3405" t="s">
        <v>92</v>
      </c>
    </row>
    <row r="555" spans="1:15" s="702" customFormat="1" ht="15" hidden="1" customHeight="1">
      <c r="A555" s="3563"/>
      <c r="B555" s="375" t="s">
        <v>9</v>
      </c>
      <c r="C555" s="1191"/>
      <c r="D555" s="1115">
        <f>+D556</f>
        <v>0</v>
      </c>
      <c r="E555" s="1183">
        <f t="shared" ref="E555:M555" si="343">+E556</f>
        <v>0</v>
      </c>
      <c r="F555" s="1197">
        <v>0</v>
      </c>
      <c r="G555" s="1197">
        <v>0</v>
      </c>
      <c r="H555" s="1197">
        <v>0</v>
      </c>
      <c r="I555" s="1197">
        <v>0</v>
      </c>
      <c r="J555" s="1197">
        <v>0</v>
      </c>
      <c r="K555" s="1197">
        <v>0</v>
      </c>
      <c r="L555" s="1183">
        <f>+L556</f>
        <v>0</v>
      </c>
      <c r="M555" s="1116">
        <f t="shared" si="343"/>
        <v>0</v>
      </c>
      <c r="N555" s="3557"/>
      <c r="O555" s="701"/>
    </row>
    <row r="556" spans="1:15" s="702" customFormat="1" ht="13.5" hidden="1" customHeight="1">
      <c r="A556" s="3563"/>
      <c r="B556" s="498" t="s">
        <v>22</v>
      </c>
      <c r="C556" s="3448"/>
      <c r="D556" s="1117">
        <f>+D557+D558</f>
        <v>0</v>
      </c>
      <c r="E556" s="1184">
        <f t="shared" ref="E556" si="344">+E557+E558</f>
        <v>0</v>
      </c>
      <c r="F556" s="1195">
        <v>0</v>
      </c>
      <c r="G556" s="1195">
        <v>0</v>
      </c>
      <c r="H556" s="1195">
        <v>0</v>
      </c>
      <c r="I556" s="1195">
        <v>0</v>
      </c>
      <c r="J556" s="1195">
        <v>0</v>
      </c>
      <c r="K556" s="1195">
        <v>0</v>
      </c>
      <c r="L556" s="1184">
        <f>+L557+L558</f>
        <v>0</v>
      </c>
      <c r="M556" s="1174">
        <f>+M557+M558</f>
        <v>0</v>
      </c>
      <c r="N556" s="3557"/>
    </row>
    <row r="557" spans="1:15" s="702" customFormat="1" ht="13.5" hidden="1" customHeight="1">
      <c r="A557" s="3563"/>
      <c r="B557" s="1198" t="s">
        <v>11</v>
      </c>
      <c r="C557" s="3450"/>
      <c r="D557" s="1113">
        <f>E557+L557+F557+G557+H557+I557+J557+K557</f>
        <v>0</v>
      </c>
      <c r="E557" s="1147"/>
      <c r="F557" s="1194">
        <v>0</v>
      </c>
      <c r="G557" s="1194">
        <v>0</v>
      </c>
      <c r="H557" s="1194">
        <v>0</v>
      </c>
      <c r="I557" s="1194">
        <v>0</v>
      </c>
      <c r="J557" s="1194">
        <v>0</v>
      </c>
      <c r="K557" s="1194">
        <v>0</v>
      </c>
      <c r="L557" s="1118"/>
      <c r="M557" s="2733">
        <f>SUM(F557:K557)</f>
        <v>0</v>
      </c>
      <c r="N557" s="3557"/>
    </row>
    <row r="558" spans="1:15" s="702" customFormat="1" ht="13.5" hidden="1" customHeight="1">
      <c r="A558" s="3563"/>
      <c r="B558" s="549" t="s">
        <v>104</v>
      </c>
      <c r="C558" s="3461"/>
      <c r="D558" s="1113">
        <f>E558+L558+F558+G558+H558+I558+J558+K558</f>
        <v>0</v>
      </c>
      <c r="E558" s="1147"/>
      <c r="F558" s="1194">
        <v>0</v>
      </c>
      <c r="G558" s="1194">
        <v>0</v>
      </c>
      <c r="H558" s="1194">
        <v>0</v>
      </c>
      <c r="I558" s="1194">
        <v>0</v>
      </c>
      <c r="J558" s="1194">
        <v>0</v>
      </c>
      <c r="K558" s="1194">
        <v>0</v>
      </c>
      <c r="L558" s="1194">
        <v>0</v>
      </c>
      <c r="M558" s="2733">
        <f>SUM(F558:K558)</f>
        <v>0</v>
      </c>
      <c r="N558" s="3557"/>
    </row>
    <row r="559" spans="1:15" s="702" customFormat="1" ht="12.75" hidden="1" customHeight="1">
      <c r="A559" s="3564"/>
      <c r="B559" s="492" t="s">
        <v>20</v>
      </c>
      <c r="C559" s="1191"/>
      <c r="D559" s="1115">
        <f>+D560</f>
        <v>0</v>
      </c>
      <c r="E559" s="1115">
        <f t="shared" ref="E559:E560" si="345">+E560</f>
        <v>0</v>
      </c>
      <c r="F559" s="1197">
        <v>0</v>
      </c>
      <c r="G559" s="1197">
        <v>0</v>
      </c>
      <c r="H559" s="1197">
        <v>0</v>
      </c>
      <c r="I559" s="1197">
        <v>0</v>
      </c>
      <c r="J559" s="1197">
        <v>0</v>
      </c>
      <c r="K559" s="1197">
        <v>0</v>
      </c>
      <c r="L559" s="1197">
        <v>0</v>
      </c>
      <c r="M559" s="3541" t="s">
        <v>21</v>
      </c>
      <c r="N559" s="3557"/>
    </row>
    <row r="560" spans="1:15" s="702" customFormat="1" ht="13.5" hidden="1" customHeight="1">
      <c r="A560" s="3564"/>
      <c r="B560" s="470" t="s">
        <v>22</v>
      </c>
      <c r="C560" s="3448"/>
      <c r="D560" s="1184">
        <f>+D561</f>
        <v>0</v>
      </c>
      <c r="E560" s="1184">
        <f t="shared" si="345"/>
        <v>0</v>
      </c>
      <c r="F560" s="1195">
        <v>0</v>
      </c>
      <c r="G560" s="1195">
        <v>0</v>
      </c>
      <c r="H560" s="1195">
        <v>0</v>
      </c>
      <c r="I560" s="1195">
        <v>0</v>
      </c>
      <c r="J560" s="1195">
        <v>0</v>
      </c>
      <c r="K560" s="1195">
        <v>0</v>
      </c>
      <c r="L560" s="1195">
        <v>0</v>
      </c>
      <c r="M560" s="3542"/>
      <c r="N560" s="3557"/>
    </row>
    <row r="561" spans="1:130" s="702" customFormat="1" ht="13.5" hidden="1" customHeight="1" thickBot="1">
      <c r="A561" s="3565"/>
      <c r="B561" s="297" t="s">
        <v>104</v>
      </c>
      <c r="C561" s="3439"/>
      <c r="D561" s="1113">
        <f>E561+L561+F561+G561+H561+I561+J561+K561</f>
        <v>0</v>
      </c>
      <c r="E561" s="1147"/>
      <c r="F561" s="743">
        <v>0</v>
      </c>
      <c r="G561" s="743">
        <v>0</v>
      </c>
      <c r="H561" s="743">
        <v>0</v>
      </c>
      <c r="I561" s="743">
        <v>0</v>
      </c>
      <c r="J561" s="743">
        <v>0</v>
      </c>
      <c r="K561" s="743">
        <v>0</v>
      </c>
      <c r="L561" s="743">
        <v>0</v>
      </c>
      <c r="M561" s="3543"/>
      <c r="N561" s="3558"/>
    </row>
    <row r="562" spans="1:130" s="712" customFormat="1" ht="12" customHeight="1">
      <c r="A562" s="3390" t="s">
        <v>55</v>
      </c>
      <c r="B562" s="61" t="s">
        <v>283</v>
      </c>
      <c r="C562" s="48" t="s">
        <v>72</v>
      </c>
      <c r="D562" s="2624"/>
      <c r="E562" s="2226"/>
      <c r="F562" s="2226"/>
      <c r="G562" s="2226"/>
      <c r="H562" s="2226"/>
      <c r="I562" s="2226"/>
      <c r="J562" s="2226"/>
      <c r="K562" s="50"/>
      <c r="L562" s="2226"/>
      <c r="M562" s="36"/>
      <c r="N562" s="3380" t="s">
        <v>77</v>
      </c>
      <c r="O562" s="711"/>
      <c r="P562" s="711"/>
      <c r="Q562" s="711"/>
      <c r="R562" s="711"/>
      <c r="S562" s="711"/>
      <c r="T562" s="711"/>
      <c r="U562" s="711"/>
      <c r="V562" s="711"/>
      <c r="W562" s="711"/>
      <c r="X562" s="711"/>
      <c r="Y562" s="711"/>
      <c r="Z562" s="711"/>
      <c r="AA562" s="711"/>
      <c r="AB562" s="711"/>
      <c r="AC562" s="711"/>
      <c r="AD562" s="711"/>
      <c r="AE562" s="711"/>
      <c r="AF562" s="711"/>
      <c r="AG562" s="711"/>
      <c r="AH562" s="711"/>
      <c r="AI562" s="711"/>
      <c r="AJ562" s="711"/>
      <c r="AK562" s="711"/>
      <c r="AL562" s="711"/>
      <c r="AM562" s="711"/>
      <c r="AN562" s="711"/>
      <c r="AO562" s="711"/>
      <c r="AP562" s="711"/>
      <c r="AQ562" s="711"/>
      <c r="AR562" s="711"/>
      <c r="AS562" s="711"/>
      <c r="AT562" s="711"/>
      <c r="AU562" s="711"/>
      <c r="AV562" s="711"/>
      <c r="AW562" s="711"/>
      <c r="AX562" s="711"/>
      <c r="AY562" s="711"/>
      <c r="AZ562" s="711"/>
      <c r="BA562" s="711"/>
      <c r="BB562" s="711"/>
      <c r="BC562" s="711"/>
      <c r="BD562" s="711"/>
      <c r="BE562" s="711"/>
      <c r="BF562" s="711"/>
      <c r="BG562" s="711"/>
      <c r="BH562" s="711"/>
      <c r="BI562" s="711"/>
      <c r="BJ562" s="711"/>
      <c r="BK562" s="711"/>
      <c r="BL562" s="711"/>
      <c r="BM562" s="711"/>
      <c r="BN562" s="711"/>
      <c r="BO562" s="711"/>
      <c r="BP562" s="711"/>
      <c r="BQ562" s="711"/>
      <c r="BR562" s="711"/>
      <c r="BS562" s="711"/>
      <c r="BT562" s="711"/>
      <c r="BU562" s="711"/>
      <c r="BV562" s="711"/>
      <c r="BW562" s="711"/>
      <c r="BX562" s="711"/>
      <c r="BY562" s="711"/>
      <c r="BZ562" s="711"/>
      <c r="CA562" s="711"/>
      <c r="CB562" s="711"/>
      <c r="CC562" s="711"/>
      <c r="CD562" s="711"/>
      <c r="CE562" s="711"/>
      <c r="CF562" s="711"/>
      <c r="CG562" s="711"/>
      <c r="CH562" s="711"/>
      <c r="CI562" s="711"/>
      <c r="CJ562" s="711"/>
      <c r="CK562" s="711"/>
      <c r="CL562" s="711"/>
      <c r="CM562" s="711"/>
      <c r="CN562" s="711"/>
      <c r="CO562" s="711"/>
      <c r="CP562" s="711"/>
      <c r="CQ562" s="711"/>
      <c r="CR562" s="711"/>
      <c r="CS562" s="711"/>
      <c r="CT562" s="711"/>
      <c r="CU562" s="711"/>
      <c r="CV562" s="711"/>
      <c r="CW562" s="711"/>
      <c r="CX562" s="711"/>
      <c r="CY562" s="711"/>
      <c r="CZ562" s="711"/>
      <c r="DA562" s="711"/>
      <c r="DB562" s="711"/>
      <c r="DC562" s="711"/>
      <c r="DD562" s="711"/>
      <c r="DE562" s="711"/>
      <c r="DF562" s="711"/>
      <c r="DG562" s="711"/>
      <c r="DH562" s="711"/>
      <c r="DI562" s="711"/>
      <c r="DJ562" s="711"/>
      <c r="DK562" s="711"/>
      <c r="DL562" s="711"/>
      <c r="DM562" s="711"/>
      <c r="DN562" s="711"/>
      <c r="DO562" s="711"/>
      <c r="DP562" s="711"/>
      <c r="DQ562" s="711"/>
      <c r="DR562" s="711"/>
      <c r="DS562" s="711"/>
      <c r="DT562" s="711"/>
      <c r="DU562" s="711"/>
      <c r="DV562" s="711"/>
      <c r="DW562" s="711"/>
      <c r="DX562" s="711"/>
      <c r="DY562" s="711"/>
      <c r="DZ562" s="711"/>
    </row>
    <row r="563" spans="1:130" s="711" customFormat="1" ht="12">
      <c r="A563" s="3391"/>
      <c r="B563" s="375" t="s">
        <v>9</v>
      </c>
      <c r="C563" s="1191"/>
      <c r="D563" s="2625">
        <f>+D564</f>
        <v>8500760</v>
      </c>
      <c r="E563" s="1192">
        <f t="shared" ref="E563:H564" si="346">+E564</f>
        <v>3098300</v>
      </c>
      <c r="F563" s="1192">
        <f t="shared" si="346"/>
        <v>752241</v>
      </c>
      <c r="G563" s="1192">
        <f t="shared" si="346"/>
        <v>2392492</v>
      </c>
      <c r="H563" s="1192">
        <f t="shared" si="346"/>
        <v>2257727</v>
      </c>
      <c r="I563" s="1197">
        <v>0</v>
      </c>
      <c r="J563" s="1197">
        <v>0</v>
      </c>
      <c r="K563" s="1197">
        <v>0</v>
      </c>
      <c r="L563" s="1192">
        <f>+L564</f>
        <v>0</v>
      </c>
      <c r="M563" s="1116">
        <f>+M564</f>
        <v>4650219</v>
      </c>
      <c r="N563" s="3381"/>
      <c r="O563" s="701"/>
    </row>
    <row r="564" spans="1:130" s="711" customFormat="1" ht="14.25" customHeight="1">
      <c r="A564" s="3391"/>
      <c r="B564" s="498" t="s">
        <v>22</v>
      </c>
      <c r="C564" s="3448" t="s">
        <v>75</v>
      </c>
      <c r="D564" s="88">
        <f>+D565</f>
        <v>8500760</v>
      </c>
      <c r="E564" s="1193">
        <f t="shared" si="346"/>
        <v>3098300</v>
      </c>
      <c r="F564" s="1193">
        <f t="shared" si="346"/>
        <v>752241</v>
      </c>
      <c r="G564" s="1193">
        <f t="shared" si="346"/>
        <v>2392492</v>
      </c>
      <c r="H564" s="1193">
        <f t="shared" si="346"/>
        <v>2257727</v>
      </c>
      <c r="I564" s="1195">
        <v>0</v>
      </c>
      <c r="J564" s="1195">
        <v>0</v>
      </c>
      <c r="K564" s="1195">
        <v>0</v>
      </c>
      <c r="L564" s="1193">
        <f>+L565</f>
        <v>0</v>
      </c>
      <c r="M564" s="1174">
        <f>+M565</f>
        <v>4650219</v>
      </c>
      <c r="N564" s="3381"/>
    </row>
    <row r="565" spans="1:130" s="711" customFormat="1" thickBot="1">
      <c r="A565" s="3392"/>
      <c r="B565" s="738" t="s">
        <v>11</v>
      </c>
      <c r="C565" s="3439"/>
      <c r="D565" s="719">
        <f>E565+L565+F565+G565+H565+I565+J565+K565</f>
        <v>8500760</v>
      </c>
      <c r="E565" s="719">
        <f>3130167-129800+97933</f>
        <v>3098300</v>
      </c>
      <c r="F565" s="373">
        <f>1971200-850000-500000+67533+121235-57727</f>
        <v>752241</v>
      </c>
      <c r="G565" s="373">
        <f>2020500+371992</f>
        <v>2392492</v>
      </c>
      <c r="H565" s="373">
        <f>2070000+130000+57727</f>
        <v>2257727</v>
      </c>
      <c r="I565" s="743">
        <v>0</v>
      </c>
      <c r="J565" s="743">
        <v>0</v>
      </c>
      <c r="K565" s="743">
        <v>0</v>
      </c>
      <c r="L565" s="373"/>
      <c r="M565" s="2733">
        <f>SUM(G565:K565)</f>
        <v>4650219</v>
      </c>
      <c r="N565" s="3386"/>
      <c r="O565" s="713"/>
    </row>
    <row r="566" spans="1:130" s="702" customFormat="1" ht="23.25" customHeight="1">
      <c r="A566" s="3566" t="s">
        <v>56</v>
      </c>
      <c r="B566" s="958" t="s">
        <v>173</v>
      </c>
      <c r="C566" s="48" t="s">
        <v>72</v>
      </c>
      <c r="D566" s="2223"/>
      <c r="E566" s="2224"/>
      <c r="F566" s="2224"/>
      <c r="G566" s="2224"/>
      <c r="H566" s="2224"/>
      <c r="I566" s="2224"/>
      <c r="J566" s="2224"/>
      <c r="K566" s="2225"/>
      <c r="L566" s="2224"/>
      <c r="M566" s="36"/>
      <c r="N566" s="3569" t="s">
        <v>183</v>
      </c>
    </row>
    <row r="567" spans="1:130" s="702" customFormat="1" ht="12">
      <c r="A567" s="3567"/>
      <c r="B567" s="66" t="s">
        <v>9</v>
      </c>
      <c r="C567" s="18"/>
      <c r="D567" s="106">
        <f>+D568</f>
        <v>45601289</v>
      </c>
      <c r="E567" s="84">
        <f t="shared" ref="E567:M568" si="347">+E568</f>
        <v>36401289</v>
      </c>
      <c r="F567" s="84">
        <f t="shared" si="347"/>
        <v>5000000</v>
      </c>
      <c r="G567" s="84">
        <f t="shared" si="347"/>
        <v>2700000</v>
      </c>
      <c r="H567" s="84">
        <f t="shared" si="347"/>
        <v>1500000</v>
      </c>
      <c r="I567" s="84"/>
      <c r="J567" s="84"/>
      <c r="K567" s="84"/>
      <c r="L567" s="84">
        <f>+L568</f>
        <v>0</v>
      </c>
      <c r="M567" s="2781">
        <f t="shared" si="347"/>
        <v>4200000</v>
      </c>
      <c r="N567" s="3570"/>
      <c r="O567" s="701"/>
    </row>
    <row r="568" spans="1:130" s="702" customFormat="1" ht="12">
      <c r="A568" s="3567"/>
      <c r="B568" s="198" t="s">
        <v>22</v>
      </c>
      <c r="C568" s="3382" t="s">
        <v>101</v>
      </c>
      <c r="D568" s="88">
        <f>+D569</f>
        <v>45601289</v>
      </c>
      <c r="E568" s="86">
        <f t="shared" si="347"/>
        <v>36401289</v>
      </c>
      <c r="F568" s="86">
        <f t="shared" si="347"/>
        <v>5000000</v>
      </c>
      <c r="G568" s="86">
        <f t="shared" si="347"/>
        <v>2700000</v>
      </c>
      <c r="H568" s="86">
        <f t="shared" si="347"/>
        <v>1500000</v>
      </c>
      <c r="I568" s="959"/>
      <c r="J568" s="959"/>
      <c r="K568" s="959"/>
      <c r="L568" s="86">
        <f>+L569</f>
        <v>0</v>
      </c>
      <c r="M568" s="2794">
        <f>+M569</f>
        <v>4200000</v>
      </c>
      <c r="N568" s="3570"/>
    </row>
    <row r="569" spans="1:130" s="702" customFormat="1" thickBot="1">
      <c r="A569" s="3568"/>
      <c r="B569" s="248" t="s">
        <v>11</v>
      </c>
      <c r="C569" s="3401"/>
      <c r="D569" s="211">
        <f>E569+L569+F569+G569+H569+I569+J569+K569</f>
        <v>45601289</v>
      </c>
      <c r="E569" s="239">
        <f>31401289+5000000</f>
        <v>36401289</v>
      </c>
      <c r="F569" s="960">
        <v>5000000</v>
      </c>
      <c r="G569" s="960">
        <v>2700000</v>
      </c>
      <c r="H569" s="960">
        <v>1500000</v>
      </c>
      <c r="I569" s="961"/>
      <c r="J569" s="961"/>
      <c r="K569" s="961"/>
      <c r="L569" s="960">
        <v>0</v>
      </c>
      <c r="M569" s="2733">
        <f>SUM(G569:K569)</f>
        <v>4200000</v>
      </c>
      <c r="N569" s="3571"/>
      <c r="O569" s="701"/>
    </row>
    <row r="570" spans="1:130" s="702" customFormat="1" ht="14.25" hidden="1" customHeight="1">
      <c r="A570" s="3390"/>
      <c r="B570" s="237"/>
      <c r="C570" s="48" t="s">
        <v>72</v>
      </c>
      <c r="D570" s="104"/>
      <c r="E570" s="35"/>
      <c r="F570" s="341"/>
      <c r="G570" s="341"/>
      <c r="H570" s="341"/>
      <c r="I570" s="35"/>
      <c r="J570" s="35"/>
      <c r="K570" s="35"/>
      <c r="L570" s="341"/>
      <c r="M570" s="36"/>
      <c r="N570" s="3380" t="s">
        <v>77</v>
      </c>
    </row>
    <row r="571" spans="1:130" s="702" customFormat="1" ht="13.5" hidden="1" customHeight="1">
      <c r="A571" s="3391"/>
      <c r="B571" s="17" t="s">
        <v>9</v>
      </c>
      <c r="C571" s="18"/>
      <c r="D571" s="102">
        <f>+D572</f>
        <v>0</v>
      </c>
      <c r="E571" s="102">
        <v>0</v>
      </c>
      <c r="F571" s="241">
        <v>0</v>
      </c>
      <c r="G571" s="241">
        <v>0</v>
      </c>
      <c r="H571" s="241">
        <v>0</v>
      </c>
      <c r="I571" s="241">
        <v>0</v>
      </c>
      <c r="J571" s="241">
        <v>0</v>
      </c>
      <c r="K571" s="241">
        <v>0</v>
      </c>
      <c r="L571" s="241">
        <v>0</v>
      </c>
      <c r="M571" s="54">
        <f>+M572</f>
        <v>0</v>
      </c>
      <c r="N571" s="3381"/>
      <c r="O571" s="701" t="e">
        <f>+#REF!+#REF!+L571+F571</f>
        <v>#REF!</v>
      </c>
    </row>
    <row r="572" spans="1:130" s="702" customFormat="1" ht="12.75" hidden="1" customHeight="1">
      <c r="A572" s="3391"/>
      <c r="B572" s="145" t="s">
        <v>22</v>
      </c>
      <c r="C572" s="3382" t="s">
        <v>75</v>
      </c>
      <c r="D572" s="103">
        <f>+D573+D574</f>
        <v>0</v>
      </c>
      <c r="E572" s="103">
        <v>0</v>
      </c>
      <c r="F572" s="242">
        <v>0</v>
      </c>
      <c r="G572" s="242">
        <v>0</v>
      </c>
      <c r="H572" s="242">
        <v>0</v>
      </c>
      <c r="I572" s="242">
        <v>0</v>
      </c>
      <c r="J572" s="242">
        <v>0</v>
      </c>
      <c r="K572" s="242">
        <v>0</v>
      </c>
      <c r="L572" s="242">
        <v>0</v>
      </c>
      <c r="M572" s="65">
        <f>+M573+M574</f>
        <v>0</v>
      </c>
      <c r="N572" s="3381"/>
      <c r="O572" s="702" t="s">
        <v>199</v>
      </c>
    </row>
    <row r="573" spans="1:130" s="702" customFormat="1" hidden="1" thickBot="1">
      <c r="A573" s="3391"/>
      <c r="B573" s="356" t="s">
        <v>11</v>
      </c>
      <c r="C573" s="3383"/>
      <c r="D573" s="211">
        <f>E573+L573+F573+G573+H573+I573+J573+K573</f>
        <v>0</v>
      </c>
      <c r="E573" s="72">
        <v>0</v>
      </c>
      <c r="F573" s="243">
        <v>0</v>
      </c>
      <c r="G573" s="243">
        <v>0</v>
      </c>
      <c r="H573" s="243">
        <v>0</v>
      </c>
      <c r="I573" s="243">
        <v>0</v>
      </c>
      <c r="J573" s="243">
        <v>0</v>
      </c>
      <c r="K573" s="243">
        <v>0</v>
      </c>
      <c r="L573" s="243">
        <v>0</v>
      </c>
      <c r="M573" s="2783">
        <f>SUM(F573:H573)</f>
        <v>0</v>
      </c>
      <c r="N573" s="3381"/>
    </row>
    <row r="574" spans="1:130" s="702" customFormat="1" hidden="1" thickBot="1">
      <c r="A574" s="3391"/>
      <c r="B574" s="357" t="s">
        <v>14</v>
      </c>
      <c r="C574" s="3384"/>
      <c r="D574" s="211">
        <f>E574+L574+F574+G574+H574+I574+J574+K574</f>
        <v>0</v>
      </c>
      <c r="E574" s="72">
        <v>0</v>
      </c>
      <c r="F574" s="243">
        <v>0</v>
      </c>
      <c r="G574" s="243">
        <v>0</v>
      </c>
      <c r="H574" s="243">
        <v>0</v>
      </c>
      <c r="I574" s="243">
        <v>0</v>
      </c>
      <c r="J574" s="243">
        <v>0</v>
      </c>
      <c r="K574" s="243">
        <v>0</v>
      </c>
      <c r="L574" s="243">
        <v>0</v>
      </c>
      <c r="M574" s="2783">
        <f>SUM(F574:H574)</f>
        <v>0</v>
      </c>
      <c r="N574" s="2967"/>
    </row>
    <row r="575" spans="1:130" s="702" customFormat="1" ht="10.5" hidden="1" customHeight="1">
      <c r="A575" s="3391"/>
      <c r="B575" s="17" t="s">
        <v>20</v>
      </c>
      <c r="C575" s="18"/>
      <c r="D575" s="102">
        <f>+D576</f>
        <v>0</v>
      </c>
      <c r="E575" s="102">
        <v>0</v>
      </c>
      <c r="F575" s="241">
        <v>0</v>
      </c>
      <c r="G575" s="241">
        <v>0</v>
      </c>
      <c r="H575" s="241">
        <v>0</v>
      </c>
      <c r="I575" s="241">
        <v>0</v>
      </c>
      <c r="J575" s="241">
        <v>0</v>
      </c>
      <c r="K575" s="241">
        <v>0</v>
      </c>
      <c r="L575" s="241">
        <v>0</v>
      </c>
      <c r="M575" s="3394" t="s">
        <v>21</v>
      </c>
      <c r="N575" s="3385" t="s">
        <v>92</v>
      </c>
    </row>
    <row r="576" spans="1:130" s="702" customFormat="1" ht="12.75" hidden="1" customHeight="1">
      <c r="A576" s="3391"/>
      <c r="B576" s="145" t="s">
        <v>22</v>
      </c>
      <c r="C576" s="3387" t="s">
        <v>75</v>
      </c>
      <c r="D576" s="103">
        <f>+D577</f>
        <v>0</v>
      </c>
      <c r="E576" s="103">
        <v>0</v>
      </c>
      <c r="F576" s="242">
        <v>0</v>
      </c>
      <c r="G576" s="242">
        <v>0</v>
      </c>
      <c r="H576" s="242">
        <v>0</v>
      </c>
      <c r="I576" s="242">
        <v>0</v>
      </c>
      <c r="J576" s="242">
        <v>0</v>
      </c>
      <c r="K576" s="242">
        <v>0</v>
      </c>
      <c r="L576" s="242">
        <v>0</v>
      </c>
      <c r="M576" s="3395"/>
      <c r="N576" s="3381"/>
    </row>
    <row r="577" spans="1:15" s="702" customFormat="1" ht="13.5" hidden="1" customHeight="1" thickBot="1">
      <c r="A577" s="3392"/>
      <c r="B577" s="355" t="s">
        <v>14</v>
      </c>
      <c r="C577" s="3388"/>
      <c r="D577" s="211">
        <f>E577+L577+F577+G577+H577+I577+J577+K577</f>
        <v>0</v>
      </c>
      <c r="E577" s="2795">
        <v>0</v>
      </c>
      <c r="F577" s="243">
        <v>0</v>
      </c>
      <c r="G577" s="243">
        <v>0</v>
      </c>
      <c r="H577" s="243">
        <v>0</v>
      </c>
      <c r="I577" s="243">
        <v>0</v>
      </c>
      <c r="J577" s="243">
        <v>0</v>
      </c>
      <c r="K577" s="243">
        <v>0</v>
      </c>
      <c r="L577" s="243">
        <v>0</v>
      </c>
      <c r="M577" s="3396"/>
      <c r="N577" s="3386"/>
    </row>
    <row r="578" spans="1:15" s="702" customFormat="1" ht="23.25" customHeight="1">
      <c r="A578" s="3390" t="s">
        <v>57</v>
      </c>
      <c r="B578" s="237" t="s">
        <v>382</v>
      </c>
      <c r="C578" s="48" t="s">
        <v>72</v>
      </c>
      <c r="D578" s="341"/>
      <c r="E578" s="2221"/>
      <c r="F578" s="2221"/>
      <c r="G578" s="2221"/>
      <c r="H578" s="2221"/>
      <c r="I578" s="2221"/>
      <c r="J578" s="2221"/>
      <c r="K578" s="34"/>
      <c r="L578" s="2221"/>
      <c r="M578" s="36"/>
      <c r="N578" s="3380" t="s">
        <v>77</v>
      </c>
    </row>
    <row r="579" spans="1:15" s="702" customFormat="1" ht="12">
      <c r="A579" s="3391"/>
      <c r="B579" s="1785" t="s">
        <v>9</v>
      </c>
      <c r="C579" s="1169"/>
      <c r="D579" s="1550">
        <f>+D580</f>
        <v>1824799</v>
      </c>
      <c r="E579" s="1550">
        <f t="shared" ref="E579:F580" si="348">+E580</f>
        <v>503620</v>
      </c>
      <c r="F579" s="1550">
        <f t="shared" si="348"/>
        <v>1321179</v>
      </c>
      <c r="G579" s="1551">
        <v>0</v>
      </c>
      <c r="H579" s="1551">
        <v>0</v>
      </c>
      <c r="I579" s="1551">
        <v>0</v>
      </c>
      <c r="J579" s="1551">
        <v>0</v>
      </c>
      <c r="K579" s="1551">
        <v>0</v>
      </c>
      <c r="L579" s="1551">
        <f>+L580</f>
        <v>0</v>
      </c>
      <c r="M579" s="1552">
        <f>+M580</f>
        <v>0</v>
      </c>
      <c r="N579" s="3381"/>
      <c r="O579" s="701"/>
    </row>
    <row r="580" spans="1:15" s="702" customFormat="1" ht="12.75" customHeight="1">
      <c r="A580" s="3391"/>
      <c r="B580" s="1806" t="s">
        <v>22</v>
      </c>
      <c r="C580" s="3400" t="s">
        <v>75</v>
      </c>
      <c r="D580" s="1553">
        <f>+D581</f>
        <v>1824799</v>
      </c>
      <c r="E580" s="1553">
        <f t="shared" si="348"/>
        <v>503620</v>
      </c>
      <c r="F580" s="1553">
        <f t="shared" si="348"/>
        <v>1321179</v>
      </c>
      <c r="G580" s="1554">
        <v>0</v>
      </c>
      <c r="H580" s="1554">
        <v>0</v>
      </c>
      <c r="I580" s="1554">
        <v>0</v>
      </c>
      <c r="J580" s="1554">
        <v>0</v>
      </c>
      <c r="K580" s="1554">
        <v>0</v>
      </c>
      <c r="L580" s="1554">
        <f>+L581</f>
        <v>0</v>
      </c>
      <c r="M580" s="476">
        <f>+M581</f>
        <v>0</v>
      </c>
      <c r="N580" s="3381"/>
    </row>
    <row r="581" spans="1:15" s="702" customFormat="1" ht="12">
      <c r="A581" s="3391"/>
      <c r="B581" s="2383" t="s">
        <v>11</v>
      </c>
      <c r="C581" s="3441"/>
      <c r="D581" s="724">
        <f>E581+L581+F581+G581+H581+I581+J581+K581</f>
        <v>1824799</v>
      </c>
      <c r="E581" s="732">
        <f>503620</f>
        <v>503620</v>
      </c>
      <c r="F581" s="2384">
        <f>1274686+46493</f>
        <v>1321179</v>
      </c>
      <c r="G581" s="1218">
        <v>0</v>
      </c>
      <c r="H581" s="1218">
        <v>0</v>
      </c>
      <c r="I581" s="1218">
        <v>0</v>
      </c>
      <c r="J581" s="1218">
        <v>0</v>
      </c>
      <c r="K581" s="1218">
        <v>0</v>
      </c>
      <c r="L581" s="1555">
        <f>1239686+35000-1274686</f>
        <v>0</v>
      </c>
      <c r="M581" s="2733">
        <f>SUM(G581:K581)</f>
        <v>0</v>
      </c>
      <c r="N581" s="3389"/>
    </row>
    <row r="582" spans="1:15" s="702" customFormat="1" ht="12" customHeight="1">
      <c r="A582" s="3391"/>
      <c r="B582" s="68" t="s">
        <v>20</v>
      </c>
      <c r="C582" s="1169"/>
      <c r="D582" s="1550">
        <f>+D583</f>
        <v>81493</v>
      </c>
      <c r="E582" s="1550">
        <f t="shared" ref="E582:K583" si="349">+E583</f>
        <v>35000</v>
      </c>
      <c r="F582" s="1550">
        <f t="shared" si="349"/>
        <v>46493</v>
      </c>
      <c r="G582" s="1551">
        <f t="shared" si="349"/>
        <v>0</v>
      </c>
      <c r="H582" s="1551">
        <f t="shared" si="349"/>
        <v>0</v>
      </c>
      <c r="I582" s="1551">
        <f t="shared" si="349"/>
        <v>0</v>
      </c>
      <c r="J582" s="1551">
        <f t="shared" si="349"/>
        <v>0</v>
      </c>
      <c r="K582" s="1551">
        <f t="shared" si="349"/>
        <v>0</v>
      </c>
      <c r="L582" s="1550">
        <f>+L583</f>
        <v>0</v>
      </c>
      <c r="M582" s="3397" t="s">
        <v>21</v>
      </c>
      <c r="N582" s="2960"/>
    </row>
    <row r="583" spans="1:15" s="702" customFormat="1" ht="12.75" customHeight="1">
      <c r="A583" s="3391"/>
      <c r="B583" s="1806" t="s">
        <v>22</v>
      </c>
      <c r="C583" s="3400" t="s">
        <v>75</v>
      </c>
      <c r="D583" s="1553">
        <f>+D584</f>
        <v>81493</v>
      </c>
      <c r="E583" s="1553">
        <f t="shared" si="349"/>
        <v>35000</v>
      </c>
      <c r="F583" s="1553">
        <f t="shared" si="349"/>
        <v>46493</v>
      </c>
      <c r="G583" s="1554">
        <f t="shared" si="349"/>
        <v>0</v>
      </c>
      <c r="H583" s="1554">
        <f t="shared" si="349"/>
        <v>0</v>
      </c>
      <c r="I583" s="1554">
        <f t="shared" si="349"/>
        <v>0</v>
      </c>
      <c r="J583" s="1554">
        <f t="shared" si="349"/>
        <v>0</v>
      </c>
      <c r="K583" s="1554">
        <f t="shared" si="349"/>
        <v>0</v>
      </c>
      <c r="L583" s="1553">
        <f>+L584</f>
        <v>0</v>
      </c>
      <c r="M583" s="3398"/>
      <c r="N583" s="2960" t="s">
        <v>92</v>
      </c>
    </row>
    <row r="584" spans="1:15" s="702" customFormat="1" ht="13.5" customHeight="1" thickBot="1">
      <c r="A584" s="3392"/>
      <c r="B584" s="358" t="s">
        <v>11</v>
      </c>
      <c r="C584" s="3401"/>
      <c r="D584" s="1679">
        <f>E584+L584+F584+G584+H584+I584+J584+K584</f>
        <v>81493</v>
      </c>
      <c r="E584" s="2385">
        <f>35000</f>
        <v>35000</v>
      </c>
      <c r="F584" s="2385">
        <v>46493</v>
      </c>
      <c r="G584" s="1809">
        <v>0</v>
      </c>
      <c r="H584" s="1809">
        <v>0</v>
      </c>
      <c r="I584" s="1809">
        <v>0</v>
      </c>
      <c r="J584" s="1809">
        <v>0</v>
      </c>
      <c r="K584" s="1809">
        <v>0</v>
      </c>
      <c r="L584" s="2385">
        <v>0</v>
      </c>
      <c r="M584" s="3399"/>
      <c r="N584" s="2961"/>
    </row>
    <row r="585" spans="1:15" s="702" customFormat="1" ht="22.5" hidden="1" customHeight="1">
      <c r="A585" s="3390"/>
      <c r="B585" s="237"/>
      <c r="C585" s="48" t="s">
        <v>72</v>
      </c>
      <c r="D585" s="104"/>
      <c r="E585" s="35"/>
      <c r="F585" s="35"/>
      <c r="G585" s="205"/>
      <c r="H585" s="80"/>
      <c r="I585" s="205"/>
      <c r="J585" s="205"/>
      <c r="K585" s="205"/>
      <c r="L585" s="35"/>
      <c r="M585" s="36"/>
      <c r="N585" s="3380" t="s">
        <v>77</v>
      </c>
    </row>
    <row r="586" spans="1:15" s="702" customFormat="1" ht="12.75" hidden="1" customHeight="1">
      <c r="A586" s="3391"/>
      <c r="B586" s="1785" t="s">
        <v>9</v>
      </c>
      <c r="C586" s="1169"/>
      <c r="D586" s="1550">
        <f>+D587</f>
        <v>0</v>
      </c>
      <c r="E586" s="1550">
        <v>0</v>
      </c>
      <c r="F586" s="1551">
        <v>0</v>
      </c>
      <c r="G586" s="1551">
        <v>0</v>
      </c>
      <c r="H586" s="1551">
        <v>0</v>
      </c>
      <c r="I586" s="1551">
        <v>0</v>
      </c>
      <c r="J586" s="1551">
        <v>0</v>
      </c>
      <c r="K586" s="1551">
        <v>0</v>
      </c>
      <c r="L586" s="1551">
        <v>0</v>
      </c>
      <c r="M586" s="2773">
        <f>+M587</f>
        <v>0</v>
      </c>
      <c r="N586" s="3381"/>
      <c r="O586" s="701" t="e">
        <f>+#REF!+#REF!+L586+F586</f>
        <v>#REF!</v>
      </c>
    </row>
    <row r="587" spans="1:15" s="702" customFormat="1" ht="12.75" hidden="1" customHeight="1">
      <c r="A587" s="3391"/>
      <c r="B587" s="1806" t="s">
        <v>22</v>
      </c>
      <c r="C587" s="3400" t="s">
        <v>75</v>
      </c>
      <c r="D587" s="1553">
        <f>+D588+D589</f>
        <v>0</v>
      </c>
      <c r="E587" s="1553">
        <v>0</v>
      </c>
      <c r="F587" s="1554">
        <v>0</v>
      </c>
      <c r="G587" s="1554">
        <v>0</v>
      </c>
      <c r="H587" s="1554">
        <v>0</v>
      </c>
      <c r="I587" s="1554">
        <v>0</v>
      </c>
      <c r="J587" s="1554">
        <v>0</v>
      </c>
      <c r="K587" s="1554">
        <v>0</v>
      </c>
      <c r="L587" s="1554">
        <v>0</v>
      </c>
      <c r="M587" s="476">
        <f>+M588</f>
        <v>0</v>
      </c>
      <c r="N587" s="3381"/>
    </row>
    <row r="588" spans="1:15" s="702" customFormat="1" ht="12.75" hidden="1" customHeight="1">
      <c r="A588" s="3391"/>
      <c r="B588" s="1810" t="s">
        <v>11</v>
      </c>
      <c r="C588" s="3383"/>
      <c r="D588" s="724">
        <f>E588+L588+F588+G588+H588+I588+J588+K588</f>
        <v>0</v>
      </c>
      <c r="E588" s="732">
        <v>0</v>
      </c>
      <c r="F588" s="1218">
        <v>0</v>
      </c>
      <c r="G588" s="1218">
        <v>0</v>
      </c>
      <c r="H588" s="1218">
        <v>0</v>
      </c>
      <c r="I588" s="1218">
        <v>0</v>
      </c>
      <c r="J588" s="1218">
        <v>0</v>
      </c>
      <c r="K588" s="1218">
        <v>0</v>
      </c>
      <c r="L588" s="1218">
        <v>0</v>
      </c>
      <c r="M588" s="2733">
        <f>SUM(F588:H588)</f>
        <v>0</v>
      </c>
      <c r="N588" s="3381"/>
    </row>
    <row r="589" spans="1:15" s="702" customFormat="1" ht="12.75" hidden="1" customHeight="1">
      <c r="A589" s="3391"/>
      <c r="B589" s="357" t="s">
        <v>14</v>
      </c>
      <c r="C589" s="3384"/>
      <c r="D589" s="724">
        <f>E589+L589+F589+G589+H589+I589+J589+K589</f>
        <v>0</v>
      </c>
      <c r="E589" s="732">
        <v>0</v>
      </c>
      <c r="F589" s="1218">
        <v>0</v>
      </c>
      <c r="G589" s="1218">
        <v>0</v>
      </c>
      <c r="H589" s="1218">
        <v>0</v>
      </c>
      <c r="I589" s="1218">
        <v>0</v>
      </c>
      <c r="J589" s="1218">
        <v>0</v>
      </c>
      <c r="K589" s="1218">
        <v>0</v>
      </c>
      <c r="L589" s="1218">
        <v>0</v>
      </c>
      <c r="M589" s="2733">
        <f>SUM(F589:H589)</f>
        <v>0</v>
      </c>
      <c r="N589" s="2967"/>
    </row>
    <row r="590" spans="1:15" s="702" customFormat="1" ht="12.75" hidden="1" customHeight="1">
      <c r="A590" s="3391"/>
      <c r="B590" s="1785" t="s">
        <v>20</v>
      </c>
      <c r="C590" s="1169"/>
      <c r="D590" s="1550">
        <f>+D591</f>
        <v>0</v>
      </c>
      <c r="E590" s="1550">
        <v>0</v>
      </c>
      <c r="F590" s="1551">
        <v>0</v>
      </c>
      <c r="G590" s="1551">
        <v>0</v>
      </c>
      <c r="H590" s="1551">
        <v>0</v>
      </c>
      <c r="I590" s="1551">
        <v>0</v>
      </c>
      <c r="J590" s="1551">
        <v>0</v>
      </c>
      <c r="K590" s="1551">
        <v>0</v>
      </c>
      <c r="L590" s="1551">
        <v>0</v>
      </c>
      <c r="M590" s="3397" t="s">
        <v>21</v>
      </c>
      <c r="N590" s="3585" t="s">
        <v>92</v>
      </c>
    </row>
    <row r="591" spans="1:15" s="702" customFormat="1" ht="12.75" hidden="1" customHeight="1">
      <c r="A591" s="3391"/>
      <c r="B591" s="1806" t="s">
        <v>22</v>
      </c>
      <c r="C591" s="3393" t="s">
        <v>75</v>
      </c>
      <c r="D591" s="1553">
        <f>+D592</f>
        <v>0</v>
      </c>
      <c r="E591" s="1553">
        <v>0</v>
      </c>
      <c r="F591" s="1554">
        <v>0</v>
      </c>
      <c r="G591" s="1554">
        <v>0</v>
      </c>
      <c r="H591" s="1554">
        <v>0</v>
      </c>
      <c r="I591" s="1554">
        <v>0</v>
      </c>
      <c r="J591" s="1554">
        <v>0</v>
      </c>
      <c r="K591" s="1554">
        <v>0</v>
      </c>
      <c r="L591" s="1554">
        <v>0</v>
      </c>
      <c r="M591" s="3398"/>
      <c r="N591" s="3381"/>
    </row>
    <row r="592" spans="1:15" s="702" customFormat="1" ht="13.5" hidden="1" customHeight="1" thickBot="1">
      <c r="A592" s="3392"/>
      <c r="B592" s="355" t="s">
        <v>14</v>
      </c>
      <c r="C592" s="3388"/>
      <c r="D592" s="724">
        <f>E592+L592+F592+G592+H592+I592+J592+K592</f>
        <v>0</v>
      </c>
      <c r="E592" s="732"/>
      <c r="F592" s="1218">
        <v>0</v>
      </c>
      <c r="G592" s="1218">
        <v>0</v>
      </c>
      <c r="H592" s="1218">
        <v>0</v>
      </c>
      <c r="I592" s="1218">
        <v>0</v>
      </c>
      <c r="J592" s="1218">
        <v>0</v>
      </c>
      <c r="K592" s="1218">
        <v>0</v>
      </c>
      <c r="L592" s="1218">
        <v>0</v>
      </c>
      <c r="M592" s="3399"/>
      <c r="N592" s="3386"/>
    </row>
    <row r="593" spans="1:15" s="702" customFormat="1" ht="26.25" hidden="1" customHeight="1">
      <c r="A593" s="3390"/>
      <c r="B593" s="237"/>
      <c r="C593" s="48"/>
      <c r="D593" s="104"/>
      <c r="E593" s="35"/>
      <c r="F593" s="35"/>
      <c r="G593" s="35"/>
      <c r="H593" s="81"/>
      <c r="I593" s="205"/>
      <c r="J593" s="205"/>
      <c r="K593" s="205"/>
      <c r="L593" s="35"/>
      <c r="M593" s="205"/>
      <c r="N593" s="3380" t="s">
        <v>77</v>
      </c>
    </row>
    <row r="594" spans="1:15" s="702" customFormat="1" hidden="1" thickBot="1">
      <c r="A594" s="3391"/>
      <c r="B594" s="1785" t="s">
        <v>9</v>
      </c>
      <c r="C594" s="1169"/>
      <c r="D594" s="1550"/>
      <c r="E594" s="1551"/>
      <c r="F594" s="1551"/>
      <c r="G594" s="1551"/>
      <c r="H594" s="1551"/>
      <c r="I594" s="1551"/>
      <c r="J594" s="1551"/>
      <c r="K594" s="1551"/>
      <c r="L594" s="1551"/>
      <c r="M594" s="2796">
        <f>+M595</f>
        <v>0</v>
      </c>
      <c r="N594" s="3381"/>
    </row>
    <row r="595" spans="1:15" s="702" customFormat="1" hidden="1" thickBot="1">
      <c r="A595" s="3391"/>
      <c r="B595" s="1806" t="s">
        <v>22</v>
      </c>
      <c r="C595" s="3393" t="s">
        <v>75</v>
      </c>
      <c r="D595" s="1553"/>
      <c r="E595" s="1554"/>
      <c r="F595" s="1554"/>
      <c r="G595" s="1554"/>
      <c r="H595" s="1554"/>
      <c r="I595" s="1554"/>
      <c r="J595" s="1554"/>
      <c r="K595" s="1554"/>
      <c r="L595" s="1554"/>
      <c r="M595" s="555">
        <f>+M596</f>
        <v>0</v>
      </c>
      <c r="N595" s="3381"/>
    </row>
    <row r="596" spans="1:15" s="702" customFormat="1" hidden="1" thickBot="1">
      <c r="A596" s="3391"/>
      <c r="B596" s="1811" t="s">
        <v>11</v>
      </c>
      <c r="C596" s="3454"/>
      <c r="D596" s="1560"/>
      <c r="E596" s="1560"/>
      <c r="F596" s="1218"/>
      <c r="G596" s="1218"/>
      <c r="H596" s="1218"/>
      <c r="I596" s="1218"/>
      <c r="J596" s="1218"/>
      <c r="K596" s="1218"/>
      <c r="L596" s="1218"/>
      <c r="M596" s="2733">
        <f>SUM(F596:K596)</f>
        <v>0</v>
      </c>
      <c r="N596" s="3381"/>
    </row>
    <row r="597" spans="1:15" s="702" customFormat="1" ht="12" hidden="1" customHeight="1">
      <c r="A597" s="3391"/>
      <c r="B597" s="1785" t="s">
        <v>20</v>
      </c>
      <c r="C597" s="1169"/>
      <c r="D597" s="1550"/>
      <c r="E597" s="1551"/>
      <c r="F597" s="1551"/>
      <c r="G597" s="1551"/>
      <c r="H597" s="1551"/>
      <c r="I597" s="1551"/>
      <c r="J597" s="1551"/>
      <c r="K597" s="1551"/>
      <c r="L597" s="1551"/>
      <c r="M597" s="3397" t="s">
        <v>21</v>
      </c>
      <c r="N597" s="3585" t="s">
        <v>92</v>
      </c>
    </row>
    <row r="598" spans="1:15" s="702" customFormat="1" ht="12" hidden="1" customHeight="1">
      <c r="A598" s="3391"/>
      <c r="B598" s="1806" t="s">
        <v>22</v>
      </c>
      <c r="C598" s="3393">
        <v>75802</v>
      </c>
      <c r="D598" s="1553"/>
      <c r="E598" s="1554"/>
      <c r="F598" s="1554"/>
      <c r="G598" s="1554"/>
      <c r="H598" s="1554"/>
      <c r="I598" s="1554"/>
      <c r="J598" s="1554"/>
      <c r="K598" s="1554"/>
      <c r="L598" s="1554"/>
      <c r="M598" s="3398"/>
      <c r="N598" s="3381"/>
    </row>
    <row r="599" spans="1:15" s="702" customFormat="1" ht="12.75" hidden="1" customHeight="1" thickBot="1">
      <c r="A599" s="3392"/>
      <c r="B599" s="355" t="s">
        <v>250</v>
      </c>
      <c r="C599" s="3388"/>
      <c r="D599" s="1560"/>
      <c r="E599" s="1560"/>
      <c r="F599" s="1809"/>
      <c r="G599" s="1809"/>
      <c r="H599" s="1809"/>
      <c r="I599" s="1809"/>
      <c r="J599" s="1809"/>
      <c r="K599" s="1809"/>
      <c r="L599" s="1809"/>
      <c r="M599" s="3399"/>
      <c r="N599" s="3386"/>
    </row>
    <row r="600" spans="1:15" s="702" customFormat="1" ht="15" customHeight="1">
      <c r="A600" s="3390" t="s">
        <v>58</v>
      </c>
      <c r="B600" s="237" t="s">
        <v>507</v>
      </c>
      <c r="C600" s="48" t="s">
        <v>99</v>
      </c>
      <c r="D600" s="2222"/>
      <c r="E600" s="2221"/>
      <c r="F600" s="2221"/>
      <c r="G600" s="2221"/>
      <c r="H600" s="2221"/>
      <c r="I600" s="2221"/>
      <c r="J600" s="2221"/>
      <c r="K600" s="34"/>
      <c r="L600" s="2221"/>
      <c r="M600" s="36"/>
      <c r="N600" s="3380" t="s">
        <v>92</v>
      </c>
    </row>
    <row r="601" spans="1:15" s="702" customFormat="1" ht="12">
      <c r="A601" s="3391"/>
      <c r="B601" s="1785" t="s">
        <v>9</v>
      </c>
      <c r="C601" s="1169"/>
      <c r="D601" s="1550">
        <f>+D602</f>
        <v>27401805</v>
      </c>
      <c r="E601" s="1550">
        <f t="shared" ref="E601:J602" si="350">+E602</f>
        <v>8931912</v>
      </c>
      <c r="F601" s="1550">
        <f t="shared" si="350"/>
        <v>3269893</v>
      </c>
      <c r="G601" s="1550">
        <f t="shared" si="350"/>
        <v>3800000</v>
      </c>
      <c r="H601" s="1550">
        <f t="shared" si="350"/>
        <v>3800000</v>
      </c>
      <c r="I601" s="1550">
        <f t="shared" si="350"/>
        <v>3800000</v>
      </c>
      <c r="J601" s="1550">
        <f t="shared" si="350"/>
        <v>3800000</v>
      </c>
      <c r="K601" s="1551">
        <v>0</v>
      </c>
      <c r="L601" s="1550">
        <f>+L602</f>
        <v>0</v>
      </c>
      <c r="M601" s="2796">
        <f>+M602</f>
        <v>15200000</v>
      </c>
      <c r="N601" s="3381"/>
      <c r="O601" s="701"/>
    </row>
    <row r="602" spans="1:15" s="702" customFormat="1" ht="12">
      <c r="A602" s="3391"/>
      <c r="B602" s="1806" t="s">
        <v>22</v>
      </c>
      <c r="C602" s="3393" t="s">
        <v>89</v>
      </c>
      <c r="D602" s="1553">
        <f>+D603</f>
        <v>27401805</v>
      </c>
      <c r="E602" s="1553">
        <f t="shared" si="350"/>
        <v>8931912</v>
      </c>
      <c r="F602" s="1553">
        <f t="shared" si="350"/>
        <v>3269893</v>
      </c>
      <c r="G602" s="1553">
        <f t="shared" si="350"/>
        <v>3800000</v>
      </c>
      <c r="H602" s="1553">
        <f t="shared" si="350"/>
        <v>3800000</v>
      </c>
      <c r="I602" s="1553">
        <f t="shared" si="350"/>
        <v>3800000</v>
      </c>
      <c r="J602" s="1553">
        <f t="shared" si="350"/>
        <v>3800000</v>
      </c>
      <c r="K602" s="1554">
        <v>0</v>
      </c>
      <c r="L602" s="1553">
        <f>+L603</f>
        <v>0</v>
      </c>
      <c r="M602" s="555">
        <f>+M603</f>
        <v>15200000</v>
      </c>
      <c r="N602" s="3381"/>
    </row>
    <row r="603" spans="1:15" s="702" customFormat="1" thickBot="1">
      <c r="A603" s="3392"/>
      <c r="B603" s="358" t="s">
        <v>11</v>
      </c>
      <c r="C603" s="3388"/>
      <c r="D603" s="1679">
        <f>E603+L603+F603+G603+H603+I603+J603+K603</f>
        <v>27401805</v>
      </c>
      <c r="E603" s="1679">
        <f>6358217+2573695</f>
        <v>8931912</v>
      </c>
      <c r="F603" s="1812">
        <f>3500000-230107</f>
        <v>3269893</v>
      </c>
      <c r="G603" s="1812">
        <v>3800000</v>
      </c>
      <c r="H603" s="1812">
        <v>3800000</v>
      </c>
      <c r="I603" s="1812">
        <v>3800000</v>
      </c>
      <c r="J603" s="1812">
        <v>3800000</v>
      </c>
      <c r="K603" s="1809">
        <v>0</v>
      </c>
      <c r="L603" s="1812">
        <v>0</v>
      </c>
      <c r="M603" s="2733">
        <f>SUM(G603:K603)</f>
        <v>15200000</v>
      </c>
      <c r="N603" s="3386"/>
    </row>
    <row r="604" spans="1:15" s="702" customFormat="1" ht="14.25" customHeight="1">
      <c r="A604" s="3390" t="s">
        <v>105</v>
      </c>
      <c r="B604" s="237" t="s">
        <v>172</v>
      </c>
      <c r="C604" s="48" t="s">
        <v>99</v>
      </c>
      <c r="D604" s="2222"/>
      <c r="E604" s="2221"/>
      <c r="F604" s="2221"/>
      <c r="G604" s="2221"/>
      <c r="H604" s="2221"/>
      <c r="I604" s="2220"/>
      <c r="J604" s="2220"/>
      <c r="K604" s="2626"/>
      <c r="L604" s="2221"/>
      <c r="M604" s="36"/>
      <c r="N604" s="3380" t="s">
        <v>92</v>
      </c>
    </row>
    <row r="605" spans="1:15" s="702" customFormat="1" ht="12">
      <c r="A605" s="3391"/>
      <c r="B605" s="492" t="s">
        <v>9</v>
      </c>
      <c r="C605" s="1191"/>
      <c r="D605" s="1192">
        <f>+D606</f>
        <v>677137551</v>
      </c>
      <c r="E605" s="1192">
        <f t="shared" ref="E605:H605" si="351">+E606</f>
        <v>403226643</v>
      </c>
      <c r="F605" s="1192">
        <f t="shared" si="351"/>
        <v>91040908</v>
      </c>
      <c r="G605" s="1192">
        <f t="shared" si="351"/>
        <v>92870000</v>
      </c>
      <c r="H605" s="1192">
        <f t="shared" si="351"/>
        <v>90000000</v>
      </c>
      <c r="I605" s="1197">
        <v>0</v>
      </c>
      <c r="J605" s="1197">
        <v>0</v>
      </c>
      <c r="K605" s="1197">
        <v>0</v>
      </c>
      <c r="L605" s="1192">
        <f>+L606</f>
        <v>0</v>
      </c>
      <c r="M605" s="1221">
        <f>+M606</f>
        <v>182870000</v>
      </c>
      <c r="N605" s="3381"/>
      <c r="O605" s="701"/>
    </row>
    <row r="606" spans="1:15" s="702" customFormat="1" ht="12">
      <c r="A606" s="3391"/>
      <c r="B606" s="470" t="s">
        <v>22</v>
      </c>
      <c r="C606" s="3393" t="s">
        <v>89</v>
      </c>
      <c r="D606" s="1193">
        <f>+D607+D608</f>
        <v>677137551</v>
      </c>
      <c r="E606" s="1193">
        <f t="shared" ref="E606" si="352">+E607+E608</f>
        <v>403226643</v>
      </c>
      <c r="F606" s="1193">
        <f t="shared" ref="F606" si="353">+F607+F608</f>
        <v>91040908</v>
      </c>
      <c r="G606" s="1193">
        <f>+G607+G608</f>
        <v>92870000</v>
      </c>
      <c r="H606" s="1193">
        <f>+H607+H608</f>
        <v>90000000</v>
      </c>
      <c r="I606" s="1195">
        <v>0</v>
      </c>
      <c r="J606" s="1195">
        <v>0</v>
      </c>
      <c r="K606" s="1195">
        <v>0</v>
      </c>
      <c r="L606" s="1193">
        <f>+L607+L608</f>
        <v>0</v>
      </c>
      <c r="M606" s="1174">
        <f>+M607+M608</f>
        <v>182870000</v>
      </c>
      <c r="N606" s="3381"/>
    </row>
    <row r="607" spans="1:15" s="702" customFormat="1" ht="12">
      <c r="A607" s="3391"/>
      <c r="B607" s="1037" t="s">
        <v>11</v>
      </c>
      <c r="C607" s="3455"/>
      <c r="D607" s="724">
        <f>E607+L607+F607+G607+H607+I607+J607+K607</f>
        <v>667984712</v>
      </c>
      <c r="E607" s="1147">
        <f>315126690+81588022</f>
        <v>396714712</v>
      </c>
      <c r="F607" s="1185">
        <f>79000000+2000000+7000000+400000</f>
        <v>88400000</v>
      </c>
      <c r="G607" s="1185">
        <f>79000000+2000000+10500000+1370000</f>
        <v>92870000</v>
      </c>
      <c r="H607" s="1185">
        <f>79000000+2000000+9000000</f>
        <v>90000000</v>
      </c>
      <c r="I607" s="1130">
        <v>0</v>
      </c>
      <c r="J607" s="1130">
        <v>0</v>
      </c>
      <c r="K607" s="1130">
        <v>0</v>
      </c>
      <c r="L607" s="1185"/>
      <c r="M607" s="2733">
        <f>SUM(G607:K607)</f>
        <v>182870000</v>
      </c>
      <c r="N607" s="3381"/>
    </row>
    <row r="608" spans="1:15" s="702" customFormat="1" ht="12">
      <c r="A608" s="3391"/>
      <c r="B608" s="1036" t="s">
        <v>14</v>
      </c>
      <c r="C608" s="2964"/>
      <c r="D608" s="724">
        <f>E608+L608+F608+G608+H608+I608+J608+K608</f>
        <v>9152839</v>
      </c>
      <c r="E608" s="1147">
        <f>4693764+1818167</f>
        <v>6511931</v>
      </c>
      <c r="F608" s="2627">
        <f>1360602+1280306</f>
        <v>2640908</v>
      </c>
      <c r="G608" s="2628">
        <v>0</v>
      </c>
      <c r="H608" s="2628">
        <v>0</v>
      </c>
      <c r="I608" s="2510">
        <v>0</v>
      </c>
      <c r="J608" s="2510">
        <v>0</v>
      </c>
      <c r="K608" s="2510">
        <v>0</v>
      </c>
      <c r="L608" s="2627"/>
      <c r="M608" s="2733">
        <f>SUM(G608:K608)</f>
        <v>0</v>
      </c>
      <c r="N608" s="3381"/>
    </row>
    <row r="609" spans="1:15" s="702" customFormat="1" ht="12">
      <c r="A609" s="3391"/>
      <c r="B609" s="492" t="s">
        <v>20</v>
      </c>
      <c r="C609" s="1191"/>
      <c r="D609" s="1192">
        <f>+D610</f>
        <v>110564230</v>
      </c>
      <c r="E609" s="1192">
        <f t="shared" ref="E609:H609" si="354">+E610</f>
        <v>43265722</v>
      </c>
      <c r="F609" s="2629">
        <f t="shared" si="354"/>
        <v>22655908</v>
      </c>
      <c r="G609" s="2629">
        <f t="shared" si="354"/>
        <v>23006300</v>
      </c>
      <c r="H609" s="2629">
        <f t="shared" si="354"/>
        <v>21636300</v>
      </c>
      <c r="I609" s="2630">
        <v>0</v>
      </c>
      <c r="J609" s="2630">
        <v>0</v>
      </c>
      <c r="K609" s="2630">
        <v>0</v>
      </c>
      <c r="L609" s="2629">
        <f>+L610</f>
        <v>0</v>
      </c>
      <c r="M609" s="3582" t="s">
        <v>21</v>
      </c>
      <c r="N609" s="3381"/>
    </row>
    <row r="610" spans="1:15" s="702" customFormat="1" ht="12">
      <c r="A610" s="3391"/>
      <c r="B610" s="470" t="s">
        <v>22</v>
      </c>
      <c r="C610" s="3393" t="s">
        <v>89</v>
      </c>
      <c r="D610" s="1193">
        <f>+D611+D612</f>
        <v>110564230</v>
      </c>
      <c r="E610" s="1193">
        <f t="shared" ref="E610" si="355">+E611+E612</f>
        <v>43265722</v>
      </c>
      <c r="F610" s="1193">
        <f t="shared" ref="F610" si="356">+F611+F612</f>
        <v>22655908</v>
      </c>
      <c r="G610" s="1193">
        <f>+G611+G612</f>
        <v>23006300</v>
      </c>
      <c r="H610" s="1193">
        <f>+H611+H612</f>
        <v>21636300</v>
      </c>
      <c r="I610" s="1195">
        <v>0</v>
      </c>
      <c r="J610" s="1195">
        <v>0</v>
      </c>
      <c r="K610" s="1195">
        <v>0</v>
      </c>
      <c r="L610" s="1193">
        <f>+L611+L612</f>
        <v>0</v>
      </c>
      <c r="M610" s="3395"/>
      <c r="N610" s="3381"/>
    </row>
    <row r="611" spans="1:15" s="702" customFormat="1" ht="12">
      <c r="A611" s="3391"/>
      <c r="B611" s="2631" t="s">
        <v>176</v>
      </c>
      <c r="C611" s="3454"/>
      <c r="D611" s="724">
        <f>E611+L611+F611+G611+H611+I611+J611+K611</f>
        <v>101411391</v>
      </c>
      <c r="E611" s="1147">
        <f>23178951+13574840</f>
        <v>36753791</v>
      </c>
      <c r="F611" s="1222">
        <f>19858300+156700</f>
        <v>20015000</v>
      </c>
      <c r="G611" s="1222">
        <f>10500000+1500000+9636300+1370000</f>
        <v>23006300</v>
      </c>
      <c r="H611" s="1222">
        <f>10500000+1500000+9636300</f>
        <v>21636300</v>
      </c>
      <c r="I611" s="2632">
        <v>0</v>
      </c>
      <c r="J611" s="2632">
        <v>0</v>
      </c>
      <c r="K611" s="2632">
        <v>0</v>
      </c>
      <c r="L611" s="1222">
        <v>0</v>
      </c>
      <c r="M611" s="3395"/>
      <c r="N611" s="3381"/>
    </row>
    <row r="612" spans="1:15" s="702" customFormat="1" ht="12" customHeight="1" thickBot="1">
      <c r="A612" s="3392"/>
      <c r="B612" s="358" t="s">
        <v>14</v>
      </c>
      <c r="C612" s="3388"/>
      <c r="D612" s="719">
        <f>E612+L612+F612+G612+H612+I612+J612+K612</f>
        <v>9152839</v>
      </c>
      <c r="E612" s="719">
        <f>4693764+1818167</f>
        <v>6511931</v>
      </c>
      <c r="F612" s="2633">
        <f>1360602+1280306</f>
        <v>2640908</v>
      </c>
      <c r="G612" s="1223">
        <v>0</v>
      </c>
      <c r="H612" s="1223">
        <v>0</v>
      </c>
      <c r="I612" s="1223">
        <v>0</v>
      </c>
      <c r="J612" s="1223">
        <v>0</v>
      </c>
      <c r="K612" s="1223">
        <v>0</v>
      </c>
      <c r="L612" s="2633">
        <v>0</v>
      </c>
      <c r="M612" s="3396"/>
      <c r="N612" s="3386"/>
    </row>
    <row r="613" spans="1:15" s="702" customFormat="1" hidden="1" thickBot="1">
      <c r="A613" s="3390"/>
      <c r="B613" s="237"/>
      <c r="C613" s="48" t="s">
        <v>99</v>
      </c>
      <c r="D613" s="104"/>
      <c r="E613" s="35"/>
      <c r="F613" s="35"/>
      <c r="G613" s="35"/>
      <c r="H613" s="35"/>
      <c r="I613" s="35"/>
      <c r="J613" s="35"/>
      <c r="K613" s="35"/>
      <c r="L613" s="35"/>
      <c r="M613" s="36"/>
      <c r="N613" s="3380" t="s">
        <v>92</v>
      </c>
    </row>
    <row r="614" spans="1:15" s="702" customFormat="1" hidden="1" thickBot="1">
      <c r="A614" s="3391"/>
      <c r="B614" s="17" t="s">
        <v>9</v>
      </c>
      <c r="C614" s="18"/>
      <c r="D614" s="102">
        <f>+D615</f>
        <v>0</v>
      </c>
      <c r="E614" s="102">
        <v>0</v>
      </c>
      <c r="F614" s="102"/>
      <c r="G614" s="102"/>
      <c r="H614" s="102"/>
      <c r="I614" s="251"/>
      <c r="J614" s="251"/>
      <c r="K614" s="251"/>
      <c r="L614" s="102"/>
      <c r="M614" s="2797"/>
      <c r="N614" s="3381"/>
      <c r="O614" s="701"/>
    </row>
    <row r="615" spans="1:15" s="702" customFormat="1" hidden="1" thickBot="1">
      <c r="A615" s="3391"/>
      <c r="B615" s="145" t="s">
        <v>22</v>
      </c>
      <c r="C615" s="360" t="s">
        <v>89</v>
      </c>
      <c r="D615" s="103">
        <f>+D616</f>
        <v>0</v>
      </c>
      <c r="E615" s="103">
        <v>0</v>
      </c>
      <c r="F615" s="103"/>
      <c r="G615" s="103"/>
      <c r="H615" s="103"/>
      <c r="I615" s="250"/>
      <c r="J615" s="250"/>
      <c r="K615" s="250"/>
      <c r="L615" s="103"/>
      <c r="M615" s="56"/>
      <c r="N615" s="3381"/>
    </row>
    <row r="616" spans="1:15" s="702" customFormat="1" hidden="1" thickBot="1">
      <c r="A616" s="3391"/>
      <c r="B616" s="356" t="s">
        <v>11</v>
      </c>
      <c r="C616" s="361"/>
      <c r="D616" s="44">
        <f>SUM(E616:H616)</f>
        <v>0</v>
      </c>
      <c r="E616" s="175">
        <v>0</v>
      </c>
      <c r="F616" s="72"/>
      <c r="G616" s="72"/>
      <c r="H616" s="72"/>
      <c r="I616" s="208"/>
      <c r="J616" s="208"/>
      <c r="K616" s="208"/>
      <c r="L616" s="72"/>
      <c r="M616" s="2738"/>
      <c r="N616" s="3381"/>
    </row>
    <row r="617" spans="1:15" s="702" customFormat="1" ht="14.25" hidden="1" customHeight="1">
      <c r="A617" s="3390" t="s">
        <v>79</v>
      </c>
      <c r="B617" s="237"/>
      <c r="C617" s="48" t="s">
        <v>99</v>
      </c>
      <c r="D617" s="33"/>
      <c r="E617" s="35"/>
      <c r="F617" s="35"/>
      <c r="G617" s="35"/>
      <c r="H617" s="35"/>
      <c r="I617" s="35"/>
      <c r="J617" s="35"/>
      <c r="K617" s="35"/>
      <c r="L617" s="35"/>
      <c r="M617" s="36"/>
      <c r="N617" s="3380" t="s">
        <v>77</v>
      </c>
    </row>
    <row r="618" spans="1:15" s="702" customFormat="1" hidden="1" thickBot="1">
      <c r="A618" s="3391"/>
      <c r="B618" s="17" t="s">
        <v>9</v>
      </c>
      <c r="C618" s="18"/>
      <c r="D618" s="102"/>
      <c r="E618" s="102"/>
      <c r="F618" s="102"/>
      <c r="G618" s="102"/>
      <c r="H618" s="241"/>
      <c r="I618" s="241"/>
      <c r="J618" s="241"/>
      <c r="K618" s="241"/>
      <c r="L618" s="102"/>
      <c r="M618" s="54">
        <f>+M619</f>
        <v>0</v>
      </c>
      <c r="N618" s="3381"/>
      <c r="O618" s="701"/>
    </row>
    <row r="619" spans="1:15" s="702" customFormat="1" hidden="1" thickBot="1">
      <c r="A619" s="3391"/>
      <c r="B619" s="145" t="s">
        <v>22</v>
      </c>
      <c r="C619" s="3387" t="s">
        <v>75</v>
      </c>
      <c r="D619" s="103"/>
      <c r="E619" s="103"/>
      <c r="F619" s="103"/>
      <c r="G619" s="103"/>
      <c r="H619" s="242"/>
      <c r="I619" s="242"/>
      <c r="J619" s="242"/>
      <c r="K619" s="242"/>
      <c r="L619" s="103"/>
      <c r="M619" s="65">
        <f>+M620+M621</f>
        <v>0</v>
      </c>
      <c r="N619" s="3381"/>
    </row>
    <row r="620" spans="1:15" s="702" customFormat="1" hidden="1" thickBot="1">
      <c r="A620" s="3391"/>
      <c r="B620" s="359" t="s">
        <v>11</v>
      </c>
      <c r="C620" s="3454"/>
      <c r="D620" s="716"/>
      <c r="E620" s="716"/>
      <c r="F620" s="57"/>
      <c r="G620" s="57"/>
      <c r="H620" s="243"/>
      <c r="I620" s="243"/>
      <c r="J620" s="243"/>
      <c r="K620" s="243"/>
      <c r="L620" s="57"/>
      <c r="M620" s="2783">
        <f>SUM(F620:K620)</f>
        <v>0</v>
      </c>
      <c r="N620" s="3381"/>
    </row>
    <row r="621" spans="1:15" s="702" customFormat="1" hidden="1" thickBot="1">
      <c r="A621" s="3391"/>
      <c r="B621" s="109" t="s">
        <v>97</v>
      </c>
      <c r="C621" s="3455"/>
      <c r="D621" s="716"/>
      <c r="E621" s="716"/>
      <c r="F621" s="244"/>
      <c r="G621" s="244"/>
      <c r="H621" s="244"/>
      <c r="I621" s="238"/>
      <c r="J621" s="238"/>
      <c r="K621" s="238"/>
      <c r="L621" s="244"/>
      <c r="M621" s="2783">
        <f>SUM(F621:K621)</f>
        <v>0</v>
      </c>
      <c r="N621" s="3381"/>
    </row>
    <row r="622" spans="1:15" s="702" customFormat="1" ht="12.75" hidden="1" customHeight="1" thickBot="1">
      <c r="A622" s="3391"/>
      <c r="B622" s="66" t="s">
        <v>20</v>
      </c>
      <c r="C622" s="18"/>
      <c r="D622" s="102"/>
      <c r="E622" s="102"/>
      <c r="F622" s="241"/>
      <c r="G622" s="241"/>
      <c r="H622" s="241"/>
      <c r="I622" s="241"/>
      <c r="J622" s="241"/>
      <c r="K622" s="241"/>
      <c r="L622" s="241"/>
      <c r="M622" s="3583" t="s">
        <v>21</v>
      </c>
      <c r="N622" s="3381"/>
    </row>
    <row r="623" spans="1:15" s="702" customFormat="1" ht="12.75" hidden="1" customHeight="1" thickBot="1">
      <c r="A623" s="3391"/>
      <c r="B623" s="145" t="s">
        <v>22</v>
      </c>
      <c r="C623" s="3387" t="s">
        <v>75</v>
      </c>
      <c r="D623" s="41"/>
      <c r="E623" s="41"/>
      <c r="F623" s="240"/>
      <c r="G623" s="245"/>
      <c r="H623" s="240"/>
      <c r="I623" s="240"/>
      <c r="J623" s="240"/>
      <c r="K623" s="240"/>
      <c r="L623" s="240"/>
      <c r="M623" s="3542"/>
      <c r="N623" s="3381"/>
    </row>
    <row r="624" spans="1:15" s="702" customFormat="1" ht="12.75" hidden="1" customHeight="1" thickBot="1">
      <c r="A624" s="3392"/>
      <c r="B624" s="248" t="s">
        <v>12</v>
      </c>
      <c r="C624" s="3388"/>
      <c r="D624" s="716"/>
      <c r="E624" s="716"/>
      <c r="F624" s="246"/>
      <c r="G624" s="247"/>
      <c r="H624" s="246"/>
      <c r="I624" s="246"/>
      <c r="J624" s="246"/>
      <c r="K624" s="246"/>
      <c r="L624" s="246"/>
      <c r="M624" s="3543"/>
      <c r="N624" s="3386"/>
    </row>
    <row r="625" spans="1:15" s="702" customFormat="1" ht="24.75" hidden="1" customHeight="1">
      <c r="A625" s="3390" t="s">
        <v>82</v>
      </c>
      <c r="B625" s="237"/>
      <c r="C625" s="48"/>
      <c r="D625" s="33"/>
      <c r="E625" s="33"/>
      <c r="F625" s="33"/>
      <c r="G625" s="35"/>
      <c r="H625" s="35"/>
      <c r="I625" s="35"/>
      <c r="J625" s="35"/>
      <c r="K625" s="35"/>
      <c r="L625" s="33"/>
      <c r="M625" s="36"/>
      <c r="N625" s="3380" t="s">
        <v>77</v>
      </c>
    </row>
    <row r="626" spans="1:15" s="702" customFormat="1" hidden="1" thickBot="1">
      <c r="A626" s="3391"/>
      <c r="B626" s="17" t="s">
        <v>9</v>
      </c>
      <c r="C626" s="18"/>
      <c r="D626" s="102"/>
      <c r="E626" s="102"/>
      <c r="F626" s="102"/>
      <c r="G626" s="102"/>
      <c r="H626" s="241"/>
      <c r="I626" s="241"/>
      <c r="J626" s="241"/>
      <c r="K626" s="241"/>
      <c r="L626" s="102"/>
      <c r="M626" s="54">
        <f>+M627</f>
        <v>0</v>
      </c>
      <c r="N626" s="3381"/>
      <c r="O626" s="701"/>
    </row>
    <row r="627" spans="1:15" s="702" customFormat="1" hidden="1" thickBot="1">
      <c r="A627" s="3391"/>
      <c r="B627" s="145" t="s">
        <v>22</v>
      </c>
      <c r="C627" s="3387" t="s">
        <v>75</v>
      </c>
      <c r="D627" s="103"/>
      <c r="E627" s="103"/>
      <c r="F627" s="103"/>
      <c r="G627" s="103"/>
      <c r="H627" s="244"/>
      <c r="I627" s="238"/>
      <c r="J627" s="238"/>
      <c r="K627" s="238"/>
      <c r="L627" s="103"/>
      <c r="M627" s="65">
        <f>+M628+M629</f>
        <v>0</v>
      </c>
      <c r="N627" s="3381"/>
    </row>
    <row r="628" spans="1:15" s="702" customFormat="1" hidden="1" thickBot="1">
      <c r="A628" s="3391"/>
      <c r="B628" s="359" t="s">
        <v>11</v>
      </c>
      <c r="C628" s="3454"/>
      <c r="D628" s="716"/>
      <c r="E628" s="716"/>
      <c r="F628" s="62"/>
      <c r="G628" s="62"/>
      <c r="H628" s="244"/>
      <c r="I628" s="238"/>
      <c r="J628" s="238"/>
      <c r="K628" s="238"/>
      <c r="L628" s="62"/>
      <c r="M628" s="2783">
        <f>SUM(F628:K628)</f>
        <v>0</v>
      </c>
      <c r="N628" s="3381"/>
    </row>
    <row r="629" spans="1:15" s="702" customFormat="1" hidden="1" thickBot="1">
      <c r="A629" s="3391"/>
      <c r="B629" s="109" t="s">
        <v>69</v>
      </c>
      <c r="C629" s="3455"/>
      <c r="D629" s="716"/>
      <c r="E629" s="716"/>
      <c r="F629" s="62"/>
      <c r="G629" s="244"/>
      <c r="H629" s="244"/>
      <c r="I629" s="238"/>
      <c r="J629" s="238"/>
      <c r="K629" s="238"/>
      <c r="L629" s="62"/>
      <c r="M629" s="2783">
        <f>SUM(F629:K629)</f>
        <v>0</v>
      </c>
      <c r="N629" s="3381"/>
    </row>
    <row r="630" spans="1:15" s="702" customFormat="1" ht="12.75" hidden="1" customHeight="1" thickBot="1">
      <c r="A630" s="3391"/>
      <c r="B630" s="66" t="s">
        <v>20</v>
      </c>
      <c r="C630" s="18"/>
      <c r="D630" s="102"/>
      <c r="E630" s="102"/>
      <c r="F630" s="241"/>
      <c r="G630" s="241"/>
      <c r="H630" s="241"/>
      <c r="I630" s="241"/>
      <c r="J630" s="241"/>
      <c r="K630" s="241"/>
      <c r="L630" s="241"/>
      <c r="M630" s="3583" t="s">
        <v>21</v>
      </c>
      <c r="N630" s="3381"/>
    </row>
    <row r="631" spans="1:15" s="702" customFormat="1" ht="12.75" hidden="1" customHeight="1" thickBot="1">
      <c r="A631" s="3391"/>
      <c r="B631" s="145" t="s">
        <v>22</v>
      </c>
      <c r="C631" s="3387" t="s">
        <v>75</v>
      </c>
      <c r="D631" s="342"/>
      <c r="E631" s="342"/>
      <c r="F631" s="245"/>
      <c r="G631" s="245"/>
      <c r="H631" s="240"/>
      <c r="I631" s="240"/>
      <c r="J631" s="240"/>
      <c r="K631" s="240"/>
      <c r="L631" s="245"/>
      <c r="M631" s="3542"/>
      <c r="N631" s="3381"/>
    </row>
    <row r="632" spans="1:15" s="702" customFormat="1" ht="12.75" hidden="1" customHeight="1" thickBot="1">
      <c r="A632" s="3392"/>
      <c r="B632" s="109" t="s">
        <v>12</v>
      </c>
      <c r="C632" s="3388"/>
      <c r="D632" s="716"/>
      <c r="E632" s="716"/>
      <c r="F632" s="247"/>
      <c r="G632" s="247"/>
      <c r="H632" s="246"/>
      <c r="I632" s="246"/>
      <c r="J632" s="246"/>
      <c r="K632" s="246"/>
      <c r="L632" s="247"/>
      <c r="M632" s="3543"/>
      <c r="N632" s="3386"/>
    </row>
    <row r="633" spans="1:15" s="702" customFormat="1" ht="14.25" hidden="1" customHeight="1">
      <c r="A633" s="3390" t="s">
        <v>83</v>
      </c>
      <c r="B633" s="237"/>
      <c r="C633" s="48"/>
      <c r="D633" s="104"/>
      <c r="E633" s="35"/>
      <c r="F633" s="35"/>
      <c r="G633" s="35"/>
      <c r="H633" s="35"/>
      <c r="I633" s="35"/>
      <c r="J633" s="35"/>
      <c r="K633" s="35"/>
      <c r="L633" s="35"/>
      <c r="M633" s="36"/>
      <c r="N633" s="3380" t="s">
        <v>77</v>
      </c>
    </row>
    <row r="634" spans="1:15" s="702" customFormat="1" hidden="1" thickBot="1">
      <c r="A634" s="3391"/>
      <c r="B634" s="17" t="s">
        <v>9</v>
      </c>
      <c r="C634" s="18"/>
      <c r="D634" s="102"/>
      <c r="E634" s="102"/>
      <c r="F634" s="102"/>
      <c r="G634" s="241"/>
      <c r="H634" s="241"/>
      <c r="I634" s="241"/>
      <c r="J634" s="241"/>
      <c r="K634" s="241"/>
      <c r="L634" s="102"/>
      <c r="M634" s="54">
        <f>+M635</f>
        <v>0</v>
      </c>
      <c r="N634" s="3381"/>
      <c r="O634" s="701"/>
    </row>
    <row r="635" spans="1:15" s="702" customFormat="1" hidden="1" thickBot="1">
      <c r="A635" s="3391"/>
      <c r="B635" s="145" t="s">
        <v>22</v>
      </c>
      <c r="C635" s="3387" t="s">
        <v>75</v>
      </c>
      <c r="D635" s="103"/>
      <c r="E635" s="103"/>
      <c r="F635" s="103"/>
      <c r="G635" s="242"/>
      <c r="H635" s="242"/>
      <c r="I635" s="242"/>
      <c r="J635" s="242"/>
      <c r="K635" s="242"/>
      <c r="L635" s="103"/>
      <c r="M635" s="65">
        <f>+M636</f>
        <v>0</v>
      </c>
      <c r="N635" s="3381"/>
    </row>
    <row r="636" spans="1:15" s="702" customFormat="1" hidden="1" thickBot="1">
      <c r="A636" s="3392"/>
      <c r="B636" s="358" t="s">
        <v>11</v>
      </c>
      <c r="C636" s="3388"/>
      <c r="D636" s="716"/>
      <c r="E636" s="716"/>
      <c r="F636" s="206"/>
      <c r="G636" s="254"/>
      <c r="H636" s="254"/>
      <c r="I636" s="243"/>
      <c r="J636" s="243"/>
      <c r="K636" s="243"/>
      <c r="L636" s="206"/>
      <c r="M636" s="2783">
        <f>SUM(F636:K636)</f>
        <v>0</v>
      </c>
      <c r="N636" s="3386"/>
    </row>
    <row r="637" spans="1:15" s="702" customFormat="1" ht="14.25" hidden="1" customHeight="1">
      <c r="A637" s="3390" t="s">
        <v>84</v>
      </c>
      <c r="B637" s="237"/>
      <c r="C637" s="48"/>
      <c r="D637" s="104"/>
      <c r="E637" s="35"/>
      <c r="F637" s="35"/>
      <c r="G637" s="35"/>
      <c r="H637" s="35"/>
      <c r="I637" s="35"/>
      <c r="J637" s="35"/>
      <c r="K637" s="35"/>
      <c r="L637" s="35"/>
      <c r="M637" s="36"/>
      <c r="N637" s="3380" t="s">
        <v>77</v>
      </c>
    </row>
    <row r="638" spans="1:15" s="702" customFormat="1" hidden="1" thickBot="1">
      <c r="A638" s="3391"/>
      <c r="B638" s="17" t="s">
        <v>9</v>
      </c>
      <c r="C638" s="18"/>
      <c r="D638" s="102"/>
      <c r="E638" s="241"/>
      <c r="F638" s="102"/>
      <c r="G638" s="102"/>
      <c r="H638" s="241"/>
      <c r="I638" s="241"/>
      <c r="J638" s="241"/>
      <c r="K638" s="241"/>
      <c r="L638" s="102"/>
      <c r="M638" s="54">
        <f>+M639</f>
        <v>0</v>
      </c>
      <c r="N638" s="3381"/>
      <c r="O638" s="701"/>
    </row>
    <row r="639" spans="1:15" s="702" customFormat="1" hidden="1" thickBot="1">
      <c r="A639" s="3391"/>
      <c r="B639" s="145" t="s">
        <v>22</v>
      </c>
      <c r="C639" s="3387" t="s">
        <v>75</v>
      </c>
      <c r="D639" s="103"/>
      <c r="E639" s="242"/>
      <c r="F639" s="103"/>
      <c r="G639" s="103"/>
      <c r="H639" s="242"/>
      <c r="I639" s="242"/>
      <c r="J639" s="242"/>
      <c r="K639" s="242"/>
      <c r="L639" s="103"/>
      <c r="M639" s="65">
        <f>+M640</f>
        <v>0</v>
      </c>
      <c r="N639" s="3381"/>
    </row>
    <row r="640" spans="1:15" s="702" customFormat="1" hidden="1" thickBot="1">
      <c r="A640" s="3392"/>
      <c r="B640" s="358" t="s">
        <v>11</v>
      </c>
      <c r="C640" s="3388"/>
      <c r="D640" s="716"/>
      <c r="E640" s="503"/>
      <c r="F640" s="206"/>
      <c r="G640" s="206"/>
      <c r="H640" s="254"/>
      <c r="I640" s="243"/>
      <c r="J640" s="243"/>
      <c r="K640" s="243"/>
      <c r="L640" s="206"/>
      <c r="M640" s="2783">
        <f>SUM(F640:K640)</f>
        <v>0</v>
      </c>
      <c r="N640" s="3386"/>
    </row>
    <row r="641" spans="1:15" s="702" customFormat="1" ht="24.75" customHeight="1">
      <c r="A641" s="3390" t="s">
        <v>78</v>
      </c>
      <c r="B641" s="237" t="s">
        <v>508</v>
      </c>
      <c r="C641" s="1213" t="s">
        <v>99</v>
      </c>
      <c r="D641" s="2222"/>
      <c r="E641" s="2221"/>
      <c r="F641" s="2221"/>
      <c r="G641" s="2221"/>
      <c r="H641" s="2221"/>
      <c r="I641" s="2221"/>
      <c r="J641" s="2221"/>
      <c r="K641" s="34"/>
      <c r="L641" s="2221"/>
      <c r="M641" s="36"/>
      <c r="N641" s="3380" t="s">
        <v>92</v>
      </c>
    </row>
    <row r="642" spans="1:15" s="702" customFormat="1" ht="12.75" customHeight="1">
      <c r="A642" s="3391"/>
      <c r="B642" s="1785" t="s">
        <v>9</v>
      </c>
      <c r="C642" s="2118"/>
      <c r="D642" s="1192">
        <f>+D643</f>
        <v>881879</v>
      </c>
      <c r="E642" s="1192">
        <f t="shared" ref="E642:J643" si="357">+E643</f>
        <v>197432</v>
      </c>
      <c r="F642" s="1192">
        <f t="shared" si="357"/>
        <v>104447</v>
      </c>
      <c r="G642" s="1192">
        <f t="shared" si="357"/>
        <v>145000</v>
      </c>
      <c r="H642" s="1192">
        <f t="shared" si="357"/>
        <v>145000</v>
      </c>
      <c r="I642" s="1192">
        <f t="shared" si="357"/>
        <v>145000</v>
      </c>
      <c r="J642" s="1192">
        <f t="shared" si="357"/>
        <v>145000</v>
      </c>
      <c r="K642" s="1197">
        <v>0</v>
      </c>
      <c r="L642" s="1192">
        <f>+L643</f>
        <v>0</v>
      </c>
      <c r="M642" s="1171">
        <f>+M643</f>
        <v>580000</v>
      </c>
      <c r="N642" s="3381"/>
      <c r="O642" s="701"/>
    </row>
    <row r="643" spans="1:15" s="702" customFormat="1" ht="12.75" customHeight="1">
      <c r="A643" s="3391"/>
      <c r="B643" s="1806" t="s">
        <v>22</v>
      </c>
      <c r="C643" s="3453" t="s">
        <v>89</v>
      </c>
      <c r="D643" s="1193">
        <f>+D644</f>
        <v>881879</v>
      </c>
      <c r="E643" s="1193">
        <f t="shared" si="357"/>
        <v>197432</v>
      </c>
      <c r="F643" s="1193">
        <f t="shared" si="357"/>
        <v>104447</v>
      </c>
      <c r="G643" s="1193">
        <f t="shared" si="357"/>
        <v>145000</v>
      </c>
      <c r="H643" s="1193">
        <f t="shared" si="357"/>
        <v>145000</v>
      </c>
      <c r="I643" s="1193">
        <f>145000</f>
        <v>145000</v>
      </c>
      <c r="J643" s="1193">
        <f>145000</f>
        <v>145000</v>
      </c>
      <c r="K643" s="1195">
        <v>0</v>
      </c>
      <c r="L643" s="1193">
        <f>+L644</f>
        <v>0</v>
      </c>
      <c r="M643" s="1174">
        <f>+M644</f>
        <v>580000</v>
      </c>
      <c r="N643" s="3381"/>
    </row>
    <row r="644" spans="1:15" s="702" customFormat="1" ht="12.75" customHeight="1" thickBot="1">
      <c r="A644" s="3392"/>
      <c r="B644" s="358" t="s">
        <v>11</v>
      </c>
      <c r="C644" s="3388"/>
      <c r="D644" s="1679">
        <f>E644+L644+F644+G644+H644+I644+J644+K644</f>
        <v>881879</v>
      </c>
      <c r="E644" s="1679">
        <f>116055+81377</f>
        <v>197432</v>
      </c>
      <c r="F644" s="1812">
        <f>135000-30553</f>
        <v>104447</v>
      </c>
      <c r="G644" s="1812">
        <f>135000+10000</f>
        <v>145000</v>
      </c>
      <c r="H644" s="1812">
        <f>135000+10000</f>
        <v>145000</v>
      </c>
      <c r="I644" s="1812">
        <f>145000</f>
        <v>145000</v>
      </c>
      <c r="J644" s="1812">
        <f>145000</f>
        <v>145000</v>
      </c>
      <c r="K644" s="1809">
        <v>0</v>
      </c>
      <c r="L644" s="1812">
        <v>0</v>
      </c>
      <c r="M644" s="2798">
        <f>SUM(G644:K644)</f>
        <v>580000</v>
      </c>
      <c r="N644" s="3386"/>
    </row>
    <row r="645" spans="1:15" s="702" customFormat="1" ht="27" customHeight="1">
      <c r="A645" s="3390" t="s">
        <v>79</v>
      </c>
      <c r="B645" s="237" t="s">
        <v>363</v>
      </c>
      <c r="C645" s="48" t="s">
        <v>72</v>
      </c>
      <c r="D645" s="2222"/>
      <c r="E645" s="2221"/>
      <c r="F645" s="2221"/>
      <c r="G645" s="2221"/>
      <c r="H645" s="2221"/>
      <c r="I645" s="2221"/>
      <c r="J645" s="2221"/>
      <c r="K645" s="34"/>
      <c r="L645" s="2221"/>
      <c r="M645" s="36"/>
      <c r="N645" s="3380" t="s">
        <v>77</v>
      </c>
    </row>
    <row r="646" spans="1:15" s="702" customFormat="1" ht="12">
      <c r="A646" s="3391"/>
      <c r="B646" s="492" t="s">
        <v>9</v>
      </c>
      <c r="C646" s="1169"/>
      <c r="D646" s="1192">
        <f>+D647</f>
        <v>6310603</v>
      </c>
      <c r="E646" s="1192">
        <f>+E647</f>
        <v>5831952</v>
      </c>
      <c r="F646" s="1192">
        <f t="shared" ref="F646:F647" si="358">+F647</f>
        <v>478651</v>
      </c>
      <c r="G646" s="1197">
        <v>0</v>
      </c>
      <c r="H646" s="1197">
        <v>0</v>
      </c>
      <c r="I646" s="1197">
        <v>0</v>
      </c>
      <c r="J646" s="1197">
        <v>0</v>
      </c>
      <c r="K646" s="1197">
        <v>0</v>
      </c>
      <c r="L646" s="1192">
        <f>+L647</f>
        <v>0</v>
      </c>
      <c r="M646" s="1171">
        <f>+M647</f>
        <v>0</v>
      </c>
      <c r="N646" s="3381"/>
      <c r="O646" s="701"/>
    </row>
    <row r="647" spans="1:15" s="702" customFormat="1" ht="12">
      <c r="A647" s="3391"/>
      <c r="B647" s="470" t="s">
        <v>22</v>
      </c>
      <c r="C647" s="3453" t="s">
        <v>75</v>
      </c>
      <c r="D647" s="1193">
        <f>+D648</f>
        <v>6310603</v>
      </c>
      <c r="E647" s="1193">
        <f>+E648</f>
        <v>5831952</v>
      </c>
      <c r="F647" s="1193">
        <f t="shared" si="358"/>
        <v>478651</v>
      </c>
      <c r="G647" s="1195">
        <v>0</v>
      </c>
      <c r="H647" s="1195">
        <v>0</v>
      </c>
      <c r="I647" s="1195">
        <v>0</v>
      </c>
      <c r="J647" s="1195">
        <v>0</v>
      </c>
      <c r="K647" s="1195">
        <v>0</v>
      </c>
      <c r="L647" s="1193">
        <f>+L648</f>
        <v>0</v>
      </c>
      <c r="M647" s="1174">
        <f>+M648</f>
        <v>0</v>
      </c>
      <c r="N647" s="3381"/>
    </row>
    <row r="648" spans="1:15" s="702" customFormat="1" thickBot="1">
      <c r="A648" s="3392"/>
      <c r="B648" s="358" t="s">
        <v>11</v>
      </c>
      <c r="C648" s="3388"/>
      <c r="D648" s="1257">
        <f>E648+L648+F648+G648+H648+I648+J648+K648</f>
        <v>6310603</v>
      </c>
      <c r="E648" s="1257">
        <f>3810194+2021758</f>
        <v>5831952</v>
      </c>
      <c r="F648" s="1430">
        <f>523048+60000-104397</f>
        <v>478651</v>
      </c>
      <c r="G648" s="2634">
        <v>0</v>
      </c>
      <c r="H648" s="2634">
        <v>0</v>
      </c>
      <c r="I648" s="2634">
        <v>0</v>
      </c>
      <c r="J648" s="2634">
        <v>0</v>
      </c>
      <c r="K648" s="2634">
        <v>0</v>
      </c>
      <c r="L648" s="1430"/>
      <c r="M648" s="2733">
        <f>SUM(G648:K648)</f>
        <v>0</v>
      </c>
      <c r="N648" s="3386"/>
    </row>
    <row r="649" spans="1:15" s="702" customFormat="1" ht="16.5" customHeight="1">
      <c r="A649" s="3390" t="s">
        <v>80</v>
      </c>
      <c r="B649" s="237" t="s">
        <v>274</v>
      </c>
      <c r="C649" s="48" t="s">
        <v>99</v>
      </c>
      <c r="D649" s="2222"/>
      <c r="E649" s="2220"/>
      <c r="F649" s="2221"/>
      <c r="G649" s="2221"/>
      <c r="H649" s="2221"/>
      <c r="I649" s="2221"/>
      <c r="J649" s="2221"/>
      <c r="K649" s="34"/>
      <c r="L649" s="2221"/>
      <c r="M649" s="36"/>
      <c r="N649" s="3380" t="s">
        <v>77</v>
      </c>
    </row>
    <row r="650" spans="1:15" s="702" customFormat="1" ht="12.75" customHeight="1">
      <c r="A650" s="3391"/>
      <c r="B650" s="17" t="s">
        <v>9</v>
      </c>
      <c r="C650" s="18"/>
      <c r="D650" s="2386">
        <f>+D651</f>
        <v>107257369</v>
      </c>
      <c r="E650" s="2386">
        <f t="shared" ref="E650:H650" si="359">+E651</f>
        <v>27220670</v>
      </c>
      <c r="F650" s="2386">
        <f t="shared" si="359"/>
        <v>26856601</v>
      </c>
      <c r="G650" s="2386">
        <f t="shared" si="359"/>
        <v>26265000</v>
      </c>
      <c r="H650" s="2386">
        <f t="shared" si="359"/>
        <v>26915098</v>
      </c>
      <c r="I650" s="2387">
        <v>0</v>
      </c>
      <c r="J650" s="2387">
        <v>0</v>
      </c>
      <c r="K650" s="2387">
        <v>0</v>
      </c>
      <c r="L650" s="2386">
        <f>+L651</f>
        <v>0</v>
      </c>
      <c r="M650" s="2799">
        <f>+M651</f>
        <v>53180098</v>
      </c>
      <c r="N650" s="3381"/>
      <c r="O650" s="701"/>
    </row>
    <row r="651" spans="1:15" s="702" customFormat="1" ht="12.75" customHeight="1">
      <c r="A651" s="3391"/>
      <c r="B651" s="470" t="s">
        <v>22</v>
      </c>
      <c r="C651" s="3544" t="s">
        <v>349</v>
      </c>
      <c r="D651" s="1553">
        <f>+D652+D653</f>
        <v>107257369</v>
      </c>
      <c r="E651" s="1553">
        <f t="shared" ref="E651" si="360">+E652+E653</f>
        <v>27220670</v>
      </c>
      <c r="F651" s="1553">
        <f t="shared" ref="F651:K651" si="361">+F652+F653</f>
        <v>26856601</v>
      </c>
      <c r="G651" s="1553">
        <f t="shared" si="361"/>
        <v>26265000</v>
      </c>
      <c r="H651" s="1553">
        <f t="shared" si="361"/>
        <v>26915098</v>
      </c>
      <c r="I651" s="1554">
        <f t="shared" si="361"/>
        <v>0</v>
      </c>
      <c r="J651" s="1554">
        <f t="shared" si="361"/>
        <v>0</v>
      </c>
      <c r="K651" s="1554">
        <f t="shared" si="361"/>
        <v>0</v>
      </c>
      <c r="L651" s="1553">
        <f>+L652+L653</f>
        <v>0</v>
      </c>
      <c r="M651" s="476">
        <f>+M652+M653</f>
        <v>53180098</v>
      </c>
      <c r="N651" s="3381"/>
    </row>
    <row r="652" spans="1:15" s="702" customFormat="1" ht="14.25" customHeight="1">
      <c r="A652" s="3391"/>
      <c r="B652" s="1037" t="s">
        <v>11</v>
      </c>
      <c r="C652" s="3454"/>
      <c r="D652" s="211">
        <f>E652+L652+F652+G652+H652+I652+J652+K652</f>
        <v>58213641</v>
      </c>
      <c r="E652" s="1562">
        <f>24142831+86188+3000000-23425991-8349</f>
        <v>3794679</v>
      </c>
      <c r="F652" s="1562">
        <f>26856601-25617737</f>
        <v>1238864</v>
      </c>
      <c r="G652" s="1562">
        <v>26265000</v>
      </c>
      <c r="H652" s="1562">
        <v>26915098</v>
      </c>
      <c r="I652" s="1555">
        <v>0</v>
      </c>
      <c r="J652" s="1555">
        <v>0</v>
      </c>
      <c r="K652" s="1555">
        <v>0</v>
      </c>
      <c r="L652" s="1562">
        <v>0</v>
      </c>
      <c r="M652" s="2733">
        <f>SUM(G652:K652)</f>
        <v>53180098</v>
      </c>
      <c r="N652" s="3381"/>
    </row>
    <row r="653" spans="1:15" s="702" customFormat="1" ht="14.25" customHeight="1">
      <c r="A653" s="3391"/>
      <c r="B653" s="1037" t="s">
        <v>69</v>
      </c>
      <c r="C653" s="3455"/>
      <c r="D653" s="1152">
        <f>E653+L653+F653+G653+H653+I653+J653+K653</f>
        <v>49043728</v>
      </c>
      <c r="E653" s="1562">
        <f>23425991</f>
        <v>23425991</v>
      </c>
      <c r="F653" s="1562">
        <v>25617737</v>
      </c>
      <c r="G653" s="1555">
        <v>0</v>
      </c>
      <c r="H653" s="1555">
        <v>0</v>
      </c>
      <c r="I653" s="1555">
        <v>0</v>
      </c>
      <c r="J653" s="1555">
        <v>0</v>
      </c>
      <c r="K653" s="1555"/>
      <c r="L653" s="1562">
        <v>0</v>
      </c>
      <c r="M653" s="2733">
        <f>SUM(G653:K653)</f>
        <v>0</v>
      </c>
      <c r="N653" s="3389"/>
    </row>
    <row r="654" spans="1:15" s="702" customFormat="1" ht="14.25" customHeight="1">
      <c r="A654" s="3391"/>
      <c r="B654" s="68" t="s">
        <v>20</v>
      </c>
      <c r="C654" s="75"/>
      <c r="D654" s="2388">
        <f>+D655</f>
        <v>49043728</v>
      </c>
      <c r="E654" s="2388">
        <f t="shared" ref="E654:E655" si="362">+E655</f>
        <v>23425991</v>
      </c>
      <c r="F654" s="2388">
        <f t="shared" ref="F654:F655" si="363">+F655</f>
        <v>25617737</v>
      </c>
      <c r="G654" s="2227">
        <f t="shared" ref="G654:G655" si="364">+G655</f>
        <v>0</v>
      </c>
      <c r="H654" s="2227">
        <f t="shared" ref="H654:H655" si="365">+H655</f>
        <v>0</v>
      </c>
      <c r="I654" s="2227">
        <f t="shared" ref="I654:I655" si="366">+I655</f>
        <v>0</v>
      </c>
      <c r="J654" s="2227">
        <f t="shared" ref="J654:J655" si="367">+J655</f>
        <v>0</v>
      </c>
      <c r="K654" s="2227">
        <f t="shared" ref="K654:K655" si="368">+K655</f>
        <v>0</v>
      </c>
      <c r="L654" s="2388">
        <f>+L655</f>
        <v>0</v>
      </c>
      <c r="M654" s="3581" t="s">
        <v>21</v>
      </c>
      <c r="N654" s="3585" t="s">
        <v>92</v>
      </c>
    </row>
    <row r="655" spans="1:15" s="702" customFormat="1" ht="14.25" customHeight="1">
      <c r="A655" s="3391"/>
      <c r="B655" s="145" t="s">
        <v>22</v>
      </c>
      <c r="C655" s="3382" t="s">
        <v>75</v>
      </c>
      <c r="D655" s="103">
        <f>+D656</f>
        <v>49043728</v>
      </c>
      <c r="E655" s="103">
        <f t="shared" si="362"/>
        <v>23425991</v>
      </c>
      <c r="F655" s="103">
        <f t="shared" si="363"/>
        <v>25617737</v>
      </c>
      <c r="G655" s="242">
        <f t="shared" si="364"/>
        <v>0</v>
      </c>
      <c r="H655" s="242">
        <f t="shared" si="365"/>
        <v>0</v>
      </c>
      <c r="I655" s="242">
        <f t="shared" si="366"/>
        <v>0</v>
      </c>
      <c r="J655" s="242">
        <f t="shared" si="367"/>
        <v>0</v>
      </c>
      <c r="K655" s="242">
        <f t="shared" si="368"/>
        <v>0</v>
      </c>
      <c r="L655" s="103">
        <f>+L656</f>
        <v>0</v>
      </c>
      <c r="M655" s="3542"/>
      <c r="N655" s="3381"/>
    </row>
    <row r="656" spans="1:15" s="702" customFormat="1" ht="14.25" customHeight="1" thickBot="1">
      <c r="A656" s="3392"/>
      <c r="B656" s="358" t="s">
        <v>69</v>
      </c>
      <c r="C656" s="3441"/>
      <c r="D656" s="211">
        <f>E656+L656+F656+G656+H656+I656+J656+K656</f>
        <v>49043728</v>
      </c>
      <c r="E656" s="960">
        <f>23425991</f>
        <v>23425991</v>
      </c>
      <c r="F656" s="960">
        <v>25617737</v>
      </c>
      <c r="G656" s="254">
        <v>0</v>
      </c>
      <c r="H656" s="254">
        <v>0</v>
      </c>
      <c r="I656" s="254">
        <v>0</v>
      </c>
      <c r="J656" s="254">
        <v>0</v>
      </c>
      <c r="K656" s="254">
        <v>0</v>
      </c>
      <c r="L656" s="960">
        <v>0</v>
      </c>
      <c r="M656" s="3543"/>
      <c r="N656" s="3386"/>
    </row>
    <row r="657" spans="1:15" s="702" customFormat="1" ht="15.75" customHeight="1">
      <c r="A657" s="3390" t="s">
        <v>81</v>
      </c>
      <c r="B657" s="237" t="s">
        <v>275</v>
      </c>
      <c r="C657" s="48" t="s">
        <v>72</v>
      </c>
      <c r="D657" s="2222"/>
      <c r="E657" s="2220"/>
      <c r="F657" s="2221"/>
      <c r="G657" s="2221"/>
      <c r="H657" s="2221"/>
      <c r="I657" s="2221"/>
      <c r="J657" s="2221"/>
      <c r="K657" s="34"/>
      <c r="L657" s="2221"/>
      <c r="M657" s="36"/>
      <c r="N657" s="3380" t="s">
        <v>77</v>
      </c>
    </row>
    <row r="658" spans="1:15" s="702" customFormat="1" ht="12.75" customHeight="1">
      <c r="A658" s="3391"/>
      <c r="B658" s="492" t="s">
        <v>9</v>
      </c>
      <c r="C658" s="1191"/>
      <c r="D658" s="1192">
        <f>+D659</f>
        <v>118091025</v>
      </c>
      <c r="E658" s="1192">
        <f t="shared" ref="E658:H658" si="369">+E659</f>
        <v>24291326</v>
      </c>
      <c r="F658" s="1192">
        <f t="shared" si="369"/>
        <v>34619699</v>
      </c>
      <c r="G658" s="1192">
        <f t="shared" si="369"/>
        <v>27900000</v>
      </c>
      <c r="H658" s="1192">
        <f t="shared" si="369"/>
        <v>31280000</v>
      </c>
      <c r="I658" s="1197">
        <v>0</v>
      </c>
      <c r="J658" s="1197">
        <v>0</v>
      </c>
      <c r="K658" s="1197">
        <v>0</v>
      </c>
      <c r="L658" s="1192">
        <f>+L659</f>
        <v>0</v>
      </c>
      <c r="M658" s="1116">
        <f>+M659</f>
        <v>59180000</v>
      </c>
      <c r="N658" s="3381"/>
      <c r="O658" s="701"/>
    </row>
    <row r="659" spans="1:15" s="702" customFormat="1" ht="12.75" customHeight="1">
      <c r="A659" s="3391"/>
      <c r="B659" s="470" t="s">
        <v>22</v>
      </c>
      <c r="C659" s="3453" t="s">
        <v>75</v>
      </c>
      <c r="D659" s="1193">
        <f>+D660+D661</f>
        <v>118091025</v>
      </c>
      <c r="E659" s="1193">
        <f t="shared" ref="E659" si="370">+E660+E661</f>
        <v>24291326</v>
      </c>
      <c r="F659" s="1193">
        <f t="shared" ref="F659:K659" si="371">+F660+F661</f>
        <v>34619699</v>
      </c>
      <c r="G659" s="1193">
        <f t="shared" si="371"/>
        <v>27900000</v>
      </c>
      <c r="H659" s="1193">
        <f t="shared" si="371"/>
        <v>31280000</v>
      </c>
      <c r="I659" s="1195">
        <f t="shared" si="371"/>
        <v>0</v>
      </c>
      <c r="J659" s="1195">
        <f t="shared" si="371"/>
        <v>0</v>
      </c>
      <c r="K659" s="1195">
        <f t="shared" si="371"/>
        <v>0</v>
      </c>
      <c r="L659" s="1193">
        <f>+L660+L661</f>
        <v>0</v>
      </c>
      <c r="M659" s="1174">
        <f>+M660+M661</f>
        <v>59180000</v>
      </c>
      <c r="N659" s="3381"/>
    </row>
    <row r="660" spans="1:15" s="702" customFormat="1" ht="12">
      <c r="A660" s="3391"/>
      <c r="B660" s="1037" t="s">
        <v>11</v>
      </c>
      <c r="C660" s="3454"/>
      <c r="D660" s="1113">
        <f>E660+L660+F660+G660+H660+I660+J660+K660</f>
        <v>113612674</v>
      </c>
      <c r="E660" s="1185">
        <f>22110000-674</f>
        <v>22109326</v>
      </c>
      <c r="F660" s="1185">
        <f>29200000+3123348</f>
        <v>32323348</v>
      </c>
      <c r="G660" s="1185">
        <f>30550000-2650000</f>
        <v>27900000</v>
      </c>
      <c r="H660" s="1185">
        <v>31280000</v>
      </c>
      <c r="I660" s="1130">
        <v>0</v>
      </c>
      <c r="J660" s="1130">
        <v>0</v>
      </c>
      <c r="K660" s="1130">
        <v>0</v>
      </c>
      <c r="L660" s="1185"/>
      <c r="M660" s="2733">
        <f>SUM(G660:K660)</f>
        <v>59180000</v>
      </c>
      <c r="N660" s="3381"/>
    </row>
    <row r="661" spans="1:15" s="702" customFormat="1" ht="13.5" customHeight="1">
      <c r="A661" s="3391"/>
      <c r="B661" s="1583" t="s">
        <v>104</v>
      </c>
      <c r="C661" s="3455"/>
      <c r="D661" s="1113">
        <f>E661+L661+F661+G661+H661+I661+J661+K661</f>
        <v>4478351</v>
      </c>
      <c r="E661" s="1185">
        <f>5000+1565000+235000+335000+53000+30000+200000-241000</f>
        <v>2182000</v>
      </c>
      <c r="F661" s="1185">
        <f>550000+325000+906351+515000</f>
        <v>2296351</v>
      </c>
      <c r="G661" s="2510">
        <v>0</v>
      </c>
      <c r="H661" s="2510">
        <v>0</v>
      </c>
      <c r="I661" s="2510">
        <v>0</v>
      </c>
      <c r="J661" s="2510">
        <v>0</v>
      </c>
      <c r="K661" s="2510">
        <v>0</v>
      </c>
      <c r="L661" s="1185"/>
      <c r="M661" s="2733">
        <f>SUM(G661:K661)</f>
        <v>0</v>
      </c>
      <c r="N661" s="3381"/>
    </row>
    <row r="662" spans="1:15" s="702" customFormat="1" ht="12.75" customHeight="1">
      <c r="A662" s="3391"/>
      <c r="B662" s="492" t="s">
        <v>20</v>
      </c>
      <c r="C662" s="1191"/>
      <c r="D662" s="1115">
        <f t="shared" ref="D662:F663" si="372">+D663</f>
        <v>4478351</v>
      </c>
      <c r="E662" s="1192">
        <f t="shared" si="372"/>
        <v>2182000</v>
      </c>
      <c r="F662" s="1192">
        <f t="shared" si="372"/>
        <v>2296351</v>
      </c>
      <c r="G662" s="1197">
        <v>0</v>
      </c>
      <c r="H662" s="1197">
        <v>0</v>
      </c>
      <c r="I662" s="1197">
        <v>0</v>
      </c>
      <c r="J662" s="1197">
        <v>0</v>
      </c>
      <c r="K662" s="1197">
        <v>0</v>
      </c>
      <c r="L662" s="1192">
        <f>+L663</f>
        <v>0</v>
      </c>
      <c r="M662" s="3541" t="s">
        <v>21</v>
      </c>
      <c r="N662" s="3381"/>
    </row>
    <row r="663" spans="1:15" s="702" customFormat="1" ht="13.5" customHeight="1">
      <c r="A663" s="3391"/>
      <c r="B663" s="470" t="s">
        <v>22</v>
      </c>
      <c r="C663" s="3448" t="s">
        <v>75</v>
      </c>
      <c r="D663" s="1184">
        <f t="shared" si="372"/>
        <v>4478351</v>
      </c>
      <c r="E663" s="1193">
        <f t="shared" si="372"/>
        <v>2182000</v>
      </c>
      <c r="F663" s="1193">
        <f t="shared" si="372"/>
        <v>2296351</v>
      </c>
      <c r="G663" s="1195">
        <v>0</v>
      </c>
      <c r="H663" s="1195">
        <v>0</v>
      </c>
      <c r="I663" s="1195">
        <v>0</v>
      </c>
      <c r="J663" s="1195">
        <v>0</v>
      </c>
      <c r="K663" s="1195">
        <v>0</v>
      </c>
      <c r="L663" s="1193">
        <f>+L664</f>
        <v>0</v>
      </c>
      <c r="M663" s="3542"/>
      <c r="N663" s="3381"/>
    </row>
    <row r="664" spans="1:15" s="702" customFormat="1" ht="13.5" customHeight="1" thickBot="1">
      <c r="A664" s="3392"/>
      <c r="B664" s="297" t="s">
        <v>104</v>
      </c>
      <c r="C664" s="3439"/>
      <c r="D664" s="719">
        <f>E664+L664+F664+G664+H664+I664+J664+K664</f>
        <v>4478351</v>
      </c>
      <c r="E664" s="2800">
        <f>5000+1565000+235000+335000+53000+30000+200000-241000</f>
        <v>2182000</v>
      </c>
      <c r="F664" s="1185">
        <f>550000+325000+906351+515000</f>
        <v>2296351</v>
      </c>
      <c r="G664" s="743">
        <v>0</v>
      </c>
      <c r="H664" s="743">
        <v>0</v>
      </c>
      <c r="I664" s="743">
        <v>0</v>
      </c>
      <c r="J664" s="743">
        <v>0</v>
      </c>
      <c r="K664" s="743">
        <v>0</v>
      </c>
      <c r="L664" s="2800"/>
      <c r="M664" s="3543"/>
      <c r="N664" s="3386"/>
    </row>
    <row r="665" spans="1:15" s="702" customFormat="1" ht="12.75" customHeight="1">
      <c r="A665" s="3390" t="s">
        <v>82</v>
      </c>
      <c r="B665" s="237" t="s">
        <v>319</v>
      </c>
      <c r="C665" s="1213" t="s">
        <v>72</v>
      </c>
      <c r="D665" s="2222"/>
      <c r="E665" s="2220"/>
      <c r="F665" s="2221"/>
      <c r="G665" s="2221"/>
      <c r="H665" s="2221"/>
      <c r="I665" s="2221"/>
      <c r="J665" s="2221"/>
      <c r="K665" s="34"/>
      <c r="L665" s="2221"/>
      <c r="M665" s="2801"/>
      <c r="N665" s="3380" t="s">
        <v>77</v>
      </c>
    </row>
    <row r="666" spans="1:15" s="702" customFormat="1" ht="12.75" customHeight="1">
      <c r="A666" s="3391"/>
      <c r="B666" s="1785" t="s">
        <v>9</v>
      </c>
      <c r="C666" s="560"/>
      <c r="D666" s="102">
        <f>+D667</f>
        <v>3000000</v>
      </c>
      <c r="E666" s="102">
        <f t="shared" ref="E666:H667" si="373">+E667</f>
        <v>0</v>
      </c>
      <c r="F666" s="102">
        <f t="shared" si="373"/>
        <v>3000000</v>
      </c>
      <c r="G666" s="102">
        <f t="shared" si="373"/>
        <v>0</v>
      </c>
      <c r="H666" s="102">
        <f t="shared" si="373"/>
        <v>0</v>
      </c>
      <c r="I666" s="241">
        <v>0</v>
      </c>
      <c r="J666" s="241">
        <v>0</v>
      </c>
      <c r="K666" s="241">
        <v>0</v>
      </c>
      <c r="L666" s="102">
        <f>+L667</f>
        <v>0</v>
      </c>
      <c r="M666" s="2802">
        <f>+M667</f>
        <v>0</v>
      </c>
      <c r="N666" s="3381"/>
      <c r="O666" s="701"/>
    </row>
    <row r="667" spans="1:15" s="702" customFormat="1" ht="12.75" customHeight="1">
      <c r="A667" s="3391"/>
      <c r="B667" s="1806" t="s">
        <v>22</v>
      </c>
      <c r="C667" s="3445" t="s">
        <v>75</v>
      </c>
      <c r="D667" s="103">
        <f>+D668</f>
        <v>3000000</v>
      </c>
      <c r="E667" s="103">
        <f t="shared" si="373"/>
        <v>0</v>
      </c>
      <c r="F667" s="103">
        <f t="shared" si="373"/>
        <v>3000000</v>
      </c>
      <c r="G667" s="103">
        <f t="shared" si="373"/>
        <v>0</v>
      </c>
      <c r="H667" s="103">
        <f t="shared" si="373"/>
        <v>0</v>
      </c>
      <c r="I667" s="242">
        <v>0</v>
      </c>
      <c r="J667" s="242">
        <v>0</v>
      </c>
      <c r="K667" s="242">
        <v>0</v>
      </c>
      <c r="L667" s="103">
        <f>+L668</f>
        <v>0</v>
      </c>
      <c r="M667" s="65">
        <f>+M668</f>
        <v>0</v>
      </c>
      <c r="N667" s="3381"/>
    </row>
    <row r="668" spans="1:15" s="702" customFormat="1" ht="13.5" customHeight="1">
      <c r="A668" s="3391"/>
      <c r="B668" s="2383" t="s">
        <v>11</v>
      </c>
      <c r="C668" s="3445"/>
      <c r="D668" s="239">
        <f>E668+L668+F668+G668+H668+I668+J668+K668</f>
        <v>3000000</v>
      </c>
      <c r="E668" s="239">
        <v>0</v>
      </c>
      <c r="F668" s="72">
        <v>3000000</v>
      </c>
      <c r="G668" s="72"/>
      <c r="H668" s="72"/>
      <c r="I668" s="238">
        <v>0</v>
      </c>
      <c r="J668" s="238">
        <v>0</v>
      </c>
      <c r="K668" s="238">
        <v>0</v>
      </c>
      <c r="L668" s="72">
        <v>0</v>
      </c>
      <c r="M668" s="2733">
        <f>SUM(G668:K668)</f>
        <v>0</v>
      </c>
      <c r="N668" s="3381"/>
    </row>
    <row r="669" spans="1:15" s="702" customFormat="1" ht="12.75" customHeight="1">
      <c r="A669" s="3391"/>
      <c r="B669" s="1785" t="s">
        <v>20</v>
      </c>
      <c r="C669" s="560"/>
      <c r="D669" s="1595">
        <f>+E669+L669+F669</f>
        <v>1747300</v>
      </c>
      <c r="E669" s="2803"/>
      <c r="F669" s="102">
        <f>+F670</f>
        <v>1747300</v>
      </c>
      <c r="G669" s="241"/>
      <c r="H669" s="241"/>
      <c r="I669" s="241"/>
      <c r="J669" s="241"/>
      <c r="K669" s="241"/>
      <c r="L669" s="102"/>
      <c r="M669" s="3577"/>
      <c r="N669" s="3381"/>
    </row>
    <row r="670" spans="1:15" s="702" customFormat="1" ht="12.75" customHeight="1">
      <c r="A670" s="3391"/>
      <c r="B670" s="1806" t="s">
        <v>22</v>
      </c>
      <c r="C670" s="3579"/>
      <c r="D670" s="55">
        <f>+E670+L670+F670</f>
        <v>1747300</v>
      </c>
      <c r="E670" s="103"/>
      <c r="F670" s="103">
        <f>+F671</f>
        <v>1747300</v>
      </c>
      <c r="G670" s="242"/>
      <c r="H670" s="242"/>
      <c r="I670" s="242"/>
      <c r="J670" s="242"/>
      <c r="K670" s="242"/>
      <c r="L670" s="103"/>
      <c r="M670" s="3577"/>
      <c r="N670" s="3381"/>
    </row>
    <row r="671" spans="1:15" s="702" customFormat="1" ht="13.5" customHeight="1" thickBot="1">
      <c r="A671" s="3391"/>
      <c r="B671" s="355" t="s">
        <v>250</v>
      </c>
      <c r="C671" s="3580"/>
      <c r="D671" s="1679">
        <f>+E671+L671+F671</f>
        <v>1747300</v>
      </c>
      <c r="E671" s="1679"/>
      <c r="F671" s="1812">
        <v>1747300</v>
      </c>
      <c r="G671" s="1809"/>
      <c r="H671" s="1809"/>
      <c r="I671" s="1809"/>
      <c r="J671" s="1809"/>
      <c r="K671" s="1809"/>
      <c r="L671" s="1812"/>
      <c r="M671" s="3578"/>
      <c r="N671" s="3386"/>
    </row>
    <row r="672" spans="1:15" s="702" customFormat="1" ht="17.25" customHeight="1">
      <c r="A672" s="3390" t="s">
        <v>83</v>
      </c>
      <c r="B672" s="237" t="s">
        <v>344</v>
      </c>
      <c r="C672" s="48" t="s">
        <v>72</v>
      </c>
      <c r="D672" s="2222"/>
      <c r="E672" s="2221"/>
      <c r="F672" s="2221"/>
      <c r="G672" s="2221"/>
      <c r="H672" s="2221"/>
      <c r="I672" s="2221"/>
      <c r="J672" s="2221"/>
      <c r="K672" s="34"/>
      <c r="L672" s="2221"/>
      <c r="M672" s="36"/>
      <c r="N672" s="3380" t="s">
        <v>77</v>
      </c>
    </row>
    <row r="673" spans="1:14" s="702" customFormat="1" ht="12">
      <c r="A673" s="3391"/>
      <c r="B673" s="492" t="s">
        <v>9</v>
      </c>
      <c r="C673" s="1169"/>
      <c r="D673" s="1192">
        <f>+D674</f>
        <v>29999995</v>
      </c>
      <c r="E673" s="1192">
        <f t="shared" ref="E673:K674" si="374">+E674</f>
        <v>9999995</v>
      </c>
      <c r="F673" s="1192">
        <f t="shared" si="374"/>
        <v>10000000</v>
      </c>
      <c r="G673" s="1192">
        <f t="shared" si="374"/>
        <v>10000000</v>
      </c>
      <c r="H673" s="1192">
        <f t="shared" si="374"/>
        <v>0</v>
      </c>
      <c r="I673" s="1192">
        <f t="shared" si="374"/>
        <v>0</v>
      </c>
      <c r="J673" s="1192">
        <f t="shared" si="374"/>
        <v>0</v>
      </c>
      <c r="K673" s="1192">
        <f t="shared" si="374"/>
        <v>0</v>
      </c>
      <c r="L673" s="1192">
        <f>+L674</f>
        <v>0</v>
      </c>
      <c r="M673" s="1171">
        <f>+M674</f>
        <v>10000000</v>
      </c>
      <c r="N673" s="3381"/>
    </row>
    <row r="674" spans="1:14" s="702" customFormat="1" ht="12">
      <c r="A674" s="3391"/>
      <c r="B674" s="470" t="s">
        <v>22</v>
      </c>
      <c r="C674" s="3448" t="s">
        <v>75</v>
      </c>
      <c r="D674" s="1193">
        <f>+D675</f>
        <v>29999995</v>
      </c>
      <c r="E674" s="1193">
        <f t="shared" si="374"/>
        <v>9999995</v>
      </c>
      <c r="F674" s="1193">
        <f t="shared" si="374"/>
        <v>10000000</v>
      </c>
      <c r="G674" s="1193">
        <f t="shared" si="374"/>
        <v>10000000</v>
      </c>
      <c r="H674" s="1193">
        <f t="shared" si="374"/>
        <v>0</v>
      </c>
      <c r="I674" s="1193">
        <f t="shared" si="374"/>
        <v>0</v>
      </c>
      <c r="J674" s="1193">
        <f t="shared" si="374"/>
        <v>0</v>
      </c>
      <c r="K674" s="1193">
        <f t="shared" si="374"/>
        <v>0</v>
      </c>
      <c r="L674" s="1193">
        <f>+L675</f>
        <v>0</v>
      </c>
      <c r="M674" s="1174">
        <f>+M675</f>
        <v>10000000</v>
      </c>
      <c r="N674" s="3381"/>
    </row>
    <row r="675" spans="1:14" s="702" customFormat="1" thickBot="1">
      <c r="A675" s="3392"/>
      <c r="B675" s="355" t="s">
        <v>11</v>
      </c>
      <c r="C675" s="3401"/>
      <c r="D675" s="1405">
        <f>E675+L675+F675+G675+H675+I675+J675+K675</f>
        <v>29999995</v>
      </c>
      <c r="E675" s="1430">
        <f>10000000-5</f>
        <v>9999995</v>
      </c>
      <c r="F675" s="1430">
        <v>10000000</v>
      </c>
      <c r="G675" s="1430">
        <v>10000000</v>
      </c>
      <c r="H675" s="1430"/>
      <c r="I675" s="1584"/>
      <c r="J675" s="1463"/>
      <c r="K675" s="1430"/>
      <c r="L675" s="1430"/>
      <c r="M675" s="2733">
        <f>SUM(G675:K675)</f>
        <v>10000000</v>
      </c>
      <c r="N675" s="3386"/>
    </row>
    <row r="676" spans="1:14" s="702" customFormat="1" ht="27" customHeight="1">
      <c r="A676" s="3390" t="s">
        <v>84</v>
      </c>
      <c r="B676" s="237" t="s">
        <v>553</v>
      </c>
      <c r="C676" s="48" t="s">
        <v>72</v>
      </c>
      <c r="D676" s="2222"/>
      <c r="E676" s="2221"/>
      <c r="F676" s="2221"/>
      <c r="G676" s="2221"/>
      <c r="H676" s="2221"/>
      <c r="I676" s="2221"/>
      <c r="J676" s="2221"/>
      <c r="K676" s="34"/>
      <c r="L676" s="2221"/>
      <c r="M676" s="36"/>
      <c r="N676" s="3380" t="s">
        <v>77</v>
      </c>
    </row>
    <row r="677" spans="1:14" s="702" customFormat="1" ht="12">
      <c r="A677" s="3391"/>
      <c r="B677" s="1785" t="s">
        <v>9</v>
      </c>
      <c r="C677" s="2118"/>
      <c r="D677" s="1192">
        <f>+D678</f>
        <v>2779364</v>
      </c>
      <c r="E677" s="1192">
        <f t="shared" ref="E677:K678" si="375">+E678</f>
        <v>0</v>
      </c>
      <c r="F677" s="1192">
        <f t="shared" si="375"/>
        <v>129364</v>
      </c>
      <c r="G677" s="1192">
        <f t="shared" si="375"/>
        <v>2650000</v>
      </c>
      <c r="H677" s="1192">
        <f t="shared" si="375"/>
        <v>0</v>
      </c>
      <c r="I677" s="1192">
        <f t="shared" si="375"/>
        <v>0</v>
      </c>
      <c r="J677" s="1192">
        <f t="shared" si="375"/>
        <v>0</v>
      </c>
      <c r="K677" s="1192">
        <f t="shared" si="375"/>
        <v>0</v>
      </c>
      <c r="L677" s="1192">
        <f>+L678</f>
        <v>0</v>
      </c>
      <c r="M677" s="1171">
        <f>+M678</f>
        <v>2650000</v>
      </c>
      <c r="N677" s="3381"/>
    </row>
    <row r="678" spans="1:14" s="702" customFormat="1" ht="12">
      <c r="A678" s="3391"/>
      <c r="B678" s="1806" t="s">
        <v>22</v>
      </c>
      <c r="C678" s="3448" t="s">
        <v>75</v>
      </c>
      <c r="D678" s="1193">
        <f>+D679</f>
        <v>2779364</v>
      </c>
      <c r="E678" s="1193">
        <f t="shared" si="375"/>
        <v>0</v>
      </c>
      <c r="F678" s="1193">
        <f t="shared" si="375"/>
        <v>129364</v>
      </c>
      <c r="G678" s="1193">
        <f t="shared" si="375"/>
        <v>2650000</v>
      </c>
      <c r="H678" s="1193">
        <f t="shared" si="375"/>
        <v>0</v>
      </c>
      <c r="I678" s="1193">
        <f t="shared" si="375"/>
        <v>0</v>
      </c>
      <c r="J678" s="1193">
        <f t="shared" si="375"/>
        <v>0</v>
      </c>
      <c r="K678" s="1193">
        <f t="shared" si="375"/>
        <v>0</v>
      </c>
      <c r="L678" s="1193">
        <f>+L679</f>
        <v>0</v>
      </c>
      <c r="M678" s="1174">
        <f>+M679</f>
        <v>2650000</v>
      </c>
      <c r="N678" s="3381"/>
    </row>
    <row r="679" spans="1:14" s="702" customFormat="1" thickBot="1">
      <c r="A679" s="3392"/>
      <c r="B679" s="355" t="s">
        <v>11</v>
      </c>
      <c r="C679" s="3401"/>
      <c r="D679" s="1405">
        <f>E679+L679+F679+G679+H679+I679+J679+K679</f>
        <v>2779364</v>
      </c>
      <c r="E679" s="1812">
        <v>0</v>
      </c>
      <c r="F679" s="1812">
        <v>129364</v>
      </c>
      <c r="G679" s="1812">
        <v>2650000</v>
      </c>
      <c r="H679" s="1812"/>
      <c r="I679" s="1584"/>
      <c r="J679" s="1463"/>
      <c r="K679" s="1812"/>
      <c r="L679" s="1812"/>
      <c r="M679" s="2798">
        <f>SUM(G679:K679)</f>
        <v>2650000</v>
      </c>
      <c r="N679" s="3386"/>
    </row>
    <row r="681" spans="1:14" hidden="1">
      <c r="B681" s="201" t="s">
        <v>332</v>
      </c>
    </row>
    <row r="682" spans="1:14" hidden="1">
      <c r="B682" s="201" t="s">
        <v>333</v>
      </c>
      <c r="D682" s="362">
        <f>D446+D461</f>
        <v>799122</v>
      </c>
      <c r="E682" s="362">
        <f t="shared" ref="E682:K682" si="376">E446+E461</f>
        <v>45734</v>
      </c>
      <c r="F682" s="362">
        <f t="shared" si="376"/>
        <v>224074</v>
      </c>
      <c r="G682" s="362">
        <f t="shared" si="376"/>
        <v>376810</v>
      </c>
      <c r="H682" s="362">
        <f t="shared" si="376"/>
        <v>152504</v>
      </c>
      <c r="I682" s="362">
        <f t="shared" si="376"/>
        <v>0</v>
      </c>
      <c r="J682" s="362">
        <f t="shared" si="376"/>
        <v>0</v>
      </c>
      <c r="K682" s="362">
        <f t="shared" si="376"/>
        <v>0</v>
      </c>
      <c r="L682" s="362">
        <f>L446+L461</f>
        <v>0</v>
      </c>
    </row>
    <row r="683" spans="1:14" hidden="1">
      <c r="B683" s="201" t="s">
        <v>334</v>
      </c>
      <c r="D683" s="362">
        <f t="shared" ref="D683:K683" si="377">D22-D446-D461</f>
        <v>829603396</v>
      </c>
      <c r="E683" s="362">
        <f t="shared" si="377"/>
        <v>213718604</v>
      </c>
      <c r="F683" s="362">
        <f t="shared" si="377"/>
        <v>274155817</v>
      </c>
      <c r="G683" s="362">
        <f t="shared" si="377"/>
        <v>155792195</v>
      </c>
      <c r="H683" s="362">
        <f t="shared" si="377"/>
        <v>124569412</v>
      </c>
      <c r="I683" s="362">
        <f t="shared" si="377"/>
        <v>61367368</v>
      </c>
      <c r="J683" s="362">
        <f t="shared" si="377"/>
        <v>0</v>
      </c>
      <c r="K683" s="362">
        <f t="shared" si="377"/>
        <v>0</v>
      </c>
      <c r="L683" s="362">
        <f>L22-L446-L461</f>
        <v>0</v>
      </c>
    </row>
    <row r="684" spans="1:14" hidden="1">
      <c r="B684" s="201" t="s">
        <v>335</v>
      </c>
      <c r="D684" s="745">
        <f>D682+D683</f>
        <v>830402518</v>
      </c>
      <c r="E684" s="745">
        <f t="shared" ref="E684:K684" si="378">E682+E683</f>
        <v>213764338</v>
      </c>
      <c r="F684" s="745">
        <f t="shared" si="378"/>
        <v>274379891</v>
      </c>
      <c r="G684" s="745">
        <f t="shared" si="378"/>
        <v>156169005</v>
      </c>
      <c r="H684" s="745">
        <f t="shared" si="378"/>
        <v>124721916</v>
      </c>
      <c r="I684" s="745">
        <f t="shared" si="378"/>
        <v>61367368</v>
      </c>
      <c r="J684" s="745">
        <f t="shared" si="378"/>
        <v>0</v>
      </c>
      <c r="K684" s="745">
        <f t="shared" si="378"/>
        <v>0</v>
      </c>
      <c r="L684" s="745">
        <f>L682+L683</f>
        <v>0</v>
      </c>
    </row>
    <row r="685" spans="1:14" s="637" customFormat="1" hidden="1">
      <c r="B685" s="637" t="s">
        <v>40</v>
      </c>
      <c r="D685" s="634">
        <f t="shared" ref="D685:K685" si="379">D22-D684</f>
        <v>0</v>
      </c>
      <c r="E685" s="634">
        <f t="shared" si="379"/>
        <v>0</v>
      </c>
      <c r="F685" s="634">
        <f t="shared" si="379"/>
        <v>0</v>
      </c>
      <c r="G685" s="634">
        <f t="shared" si="379"/>
        <v>0</v>
      </c>
      <c r="H685" s="634">
        <f t="shared" si="379"/>
        <v>0</v>
      </c>
      <c r="I685" s="634">
        <f t="shared" si="379"/>
        <v>0</v>
      </c>
      <c r="J685" s="634">
        <f t="shared" si="379"/>
        <v>0</v>
      </c>
      <c r="K685" s="634">
        <f t="shared" si="379"/>
        <v>0</v>
      </c>
      <c r="L685" s="634">
        <f>L22-L684</f>
        <v>0</v>
      </c>
    </row>
    <row r="686" spans="1:14" hidden="1"/>
    <row r="687" spans="1:14" hidden="1"/>
    <row r="688" spans="1:14" hidden="1">
      <c r="B688" s="201" t="s">
        <v>384</v>
      </c>
    </row>
    <row r="689" spans="2:12" hidden="1">
      <c r="B689" s="201" t="s">
        <v>333</v>
      </c>
      <c r="D689" s="362">
        <f>D546+D609+D582+D654</f>
        <v>222366505</v>
      </c>
      <c r="E689" s="362">
        <f t="shared" ref="E689:K689" si="380">E546+E609+E582+E654</f>
        <v>103918059</v>
      </c>
      <c r="F689" s="362">
        <f t="shared" si="380"/>
        <v>56967276</v>
      </c>
      <c r="G689" s="362">
        <f t="shared" si="380"/>
        <v>31425585</v>
      </c>
      <c r="H689" s="362">
        <f t="shared" si="380"/>
        <v>30055585</v>
      </c>
      <c r="I689" s="362">
        <f t="shared" si="380"/>
        <v>0</v>
      </c>
      <c r="J689" s="362">
        <f t="shared" si="380"/>
        <v>0</v>
      </c>
      <c r="K689" s="362">
        <f t="shared" si="380"/>
        <v>0</v>
      </c>
      <c r="L689" s="362">
        <f>L546+L609+L582+L654</f>
        <v>0</v>
      </c>
    </row>
    <row r="690" spans="2:12" hidden="1">
      <c r="B690" s="201" t="s">
        <v>334</v>
      </c>
      <c r="D690" s="362">
        <f>D559+D662+D669</f>
        <v>6225651</v>
      </c>
      <c r="E690" s="362">
        <f t="shared" ref="E690:K690" si="381">E559+E662+E669</f>
        <v>2182000</v>
      </c>
      <c r="F690" s="362">
        <f t="shared" si="381"/>
        <v>4043651</v>
      </c>
      <c r="G690" s="362">
        <f>G559+G662+G669</f>
        <v>0</v>
      </c>
      <c r="H690" s="362">
        <f t="shared" si="381"/>
        <v>0</v>
      </c>
      <c r="I690" s="362">
        <f t="shared" si="381"/>
        <v>0</v>
      </c>
      <c r="J690" s="362">
        <f t="shared" si="381"/>
        <v>0</v>
      </c>
      <c r="K690" s="362">
        <f t="shared" si="381"/>
        <v>0</v>
      </c>
      <c r="L690" s="362">
        <f>L559+L662+L669</f>
        <v>0</v>
      </c>
    </row>
    <row r="691" spans="2:12" hidden="1">
      <c r="B691" s="201" t="s">
        <v>335</v>
      </c>
      <c r="D691" s="745">
        <f>D689+D690</f>
        <v>228592156</v>
      </c>
      <c r="E691" s="745">
        <f t="shared" ref="E691:K691" si="382">E689+E690</f>
        <v>106100059</v>
      </c>
      <c r="F691" s="745">
        <f t="shared" si="382"/>
        <v>61010927</v>
      </c>
      <c r="G691" s="745">
        <f t="shared" si="382"/>
        <v>31425585</v>
      </c>
      <c r="H691" s="745">
        <f t="shared" si="382"/>
        <v>30055585</v>
      </c>
      <c r="I691" s="745">
        <f t="shared" si="382"/>
        <v>0</v>
      </c>
      <c r="J691" s="745">
        <f t="shared" si="382"/>
        <v>0</v>
      </c>
      <c r="K691" s="745">
        <f t="shared" si="382"/>
        <v>0</v>
      </c>
      <c r="L691" s="745">
        <f>L689+L690</f>
        <v>0</v>
      </c>
    </row>
    <row r="692" spans="2:12" s="637" customFormat="1" hidden="1">
      <c r="B692" s="637" t="s">
        <v>40</v>
      </c>
      <c r="D692" s="634">
        <f t="shared" ref="D692:K692" si="383">D535-D691</f>
        <v>0</v>
      </c>
      <c r="E692" s="634">
        <f t="shared" si="383"/>
        <v>0</v>
      </c>
      <c r="F692" s="634">
        <f t="shared" si="383"/>
        <v>0</v>
      </c>
      <c r="G692" s="634">
        <f t="shared" si="383"/>
        <v>0</v>
      </c>
      <c r="H692" s="634">
        <f t="shared" si="383"/>
        <v>0</v>
      </c>
      <c r="I692" s="634">
        <f t="shared" si="383"/>
        <v>0</v>
      </c>
      <c r="J692" s="634">
        <f t="shared" si="383"/>
        <v>0</v>
      </c>
      <c r="K692" s="634">
        <f t="shared" si="383"/>
        <v>0</v>
      </c>
      <c r="L692" s="634">
        <f>L535-L691</f>
        <v>0</v>
      </c>
    </row>
  </sheetData>
  <mergeCells count="328">
    <mergeCell ref="A676:A679"/>
    <mergeCell ref="N676:N679"/>
    <mergeCell ref="C678:C679"/>
    <mergeCell ref="N665:N671"/>
    <mergeCell ref="A550:A553"/>
    <mergeCell ref="A516:A524"/>
    <mergeCell ref="N654:N656"/>
    <mergeCell ref="N604:N612"/>
    <mergeCell ref="N600:N603"/>
    <mergeCell ref="N590:N592"/>
    <mergeCell ref="M630:M632"/>
    <mergeCell ref="N613:N616"/>
    <mergeCell ref="C619:C621"/>
    <mergeCell ref="A600:A603"/>
    <mergeCell ref="N597:N599"/>
    <mergeCell ref="C598:C599"/>
    <mergeCell ref="A593:A599"/>
    <mergeCell ref="A625:A632"/>
    <mergeCell ref="C631:C632"/>
    <mergeCell ref="M597:M599"/>
    <mergeCell ref="N593:N596"/>
    <mergeCell ref="C595:C596"/>
    <mergeCell ref="N625:N632"/>
    <mergeCell ref="N617:N624"/>
    <mergeCell ref="M669:M671"/>
    <mergeCell ref="C670:C671"/>
    <mergeCell ref="A665:A671"/>
    <mergeCell ref="C432:C433"/>
    <mergeCell ref="C610:C612"/>
    <mergeCell ref="M654:M656"/>
    <mergeCell ref="M609:M612"/>
    <mergeCell ref="M622:M624"/>
    <mergeCell ref="C602:C603"/>
    <mergeCell ref="C623:C624"/>
    <mergeCell ref="M461:M463"/>
    <mergeCell ref="C580:C581"/>
    <mergeCell ref="A562:A565"/>
    <mergeCell ref="A570:A577"/>
    <mergeCell ref="C556:C558"/>
    <mergeCell ref="C560:C561"/>
    <mergeCell ref="N554:N561"/>
    <mergeCell ref="A633:A636"/>
    <mergeCell ref="N404:N406"/>
    <mergeCell ref="M489:M497"/>
    <mergeCell ref="N464:N478"/>
    <mergeCell ref="C505:C506"/>
    <mergeCell ref="C482:C485"/>
    <mergeCell ref="M473:M479"/>
    <mergeCell ref="C490:C497"/>
    <mergeCell ref="N480:N496"/>
    <mergeCell ref="C552:C553"/>
    <mergeCell ref="A554:A561"/>
    <mergeCell ref="C451:C457"/>
    <mergeCell ref="C462:C463"/>
    <mergeCell ref="C564:C565"/>
    <mergeCell ref="A566:A569"/>
    <mergeCell ref="N566:N569"/>
    <mergeCell ref="C568:C569"/>
    <mergeCell ref="N550:N553"/>
    <mergeCell ref="M559:M561"/>
    <mergeCell ref="M504:M506"/>
    <mergeCell ref="C418:C421"/>
    <mergeCell ref="N562:N565"/>
    <mergeCell ref="M422:M424"/>
    <mergeCell ref="N398:N403"/>
    <mergeCell ref="N431:N433"/>
    <mergeCell ref="M431:M433"/>
    <mergeCell ref="A434:A448"/>
    <mergeCell ref="N434:N442"/>
    <mergeCell ref="N416:N421"/>
    <mergeCell ref="M535:M540"/>
    <mergeCell ref="C427:C430"/>
    <mergeCell ref="A541:A549"/>
    <mergeCell ref="C547:C549"/>
    <mergeCell ref="M546:M549"/>
    <mergeCell ref="N541:N549"/>
    <mergeCell ref="C543:C545"/>
    <mergeCell ref="A526:A537"/>
    <mergeCell ref="N531:N540"/>
    <mergeCell ref="C518:C521"/>
    <mergeCell ref="C523:C524"/>
    <mergeCell ref="A672:A675"/>
    <mergeCell ref="N672:N675"/>
    <mergeCell ref="C674:C675"/>
    <mergeCell ref="C627:C629"/>
    <mergeCell ref="A617:A624"/>
    <mergeCell ref="C606:C607"/>
    <mergeCell ref="M662:M664"/>
    <mergeCell ref="A641:A644"/>
    <mergeCell ref="C655:C656"/>
    <mergeCell ref="A649:A656"/>
    <mergeCell ref="C651:C653"/>
    <mergeCell ref="N649:N653"/>
    <mergeCell ref="A645:A648"/>
    <mergeCell ref="N645:N648"/>
    <mergeCell ref="C639:C640"/>
    <mergeCell ref="C647:C648"/>
    <mergeCell ref="N633:N636"/>
    <mergeCell ref="C635:C636"/>
    <mergeCell ref="A604:A612"/>
    <mergeCell ref="N641:N644"/>
    <mergeCell ref="C643:C644"/>
    <mergeCell ref="A637:A640"/>
    <mergeCell ref="N637:N640"/>
    <mergeCell ref="A613:A616"/>
    <mergeCell ref="A204:A215"/>
    <mergeCell ref="A192:A203"/>
    <mergeCell ref="A288:A299"/>
    <mergeCell ref="C290:C294"/>
    <mergeCell ref="M295:M299"/>
    <mergeCell ref="C400:C403"/>
    <mergeCell ref="A377:A385"/>
    <mergeCell ref="C384:C385"/>
    <mergeCell ref="A386:A397"/>
    <mergeCell ref="A276:A287"/>
    <mergeCell ref="A240:A251"/>
    <mergeCell ref="A336:A349"/>
    <mergeCell ref="M247:M251"/>
    <mergeCell ref="M319:M323"/>
    <mergeCell ref="A252:A263"/>
    <mergeCell ref="C254:C258"/>
    <mergeCell ref="A312:A323"/>
    <mergeCell ref="C242:C246"/>
    <mergeCell ref="C278:C282"/>
    <mergeCell ref="M283:M287"/>
    <mergeCell ref="A264:A275"/>
    <mergeCell ref="A324:A335"/>
    <mergeCell ref="A350:A361"/>
    <mergeCell ref="A362:A375"/>
    <mergeCell ref="N252:N258"/>
    <mergeCell ref="A407:A415"/>
    <mergeCell ref="C338:C343"/>
    <mergeCell ref="C345:C349"/>
    <mergeCell ref="N199:N203"/>
    <mergeCell ref="M370:M375"/>
    <mergeCell ref="C314:C318"/>
    <mergeCell ref="C284:C287"/>
    <mergeCell ref="N276:N282"/>
    <mergeCell ref="N264:N270"/>
    <mergeCell ref="C266:C270"/>
    <mergeCell ref="C272:C275"/>
    <mergeCell ref="M357:M361"/>
    <mergeCell ref="C358:C361"/>
    <mergeCell ref="C248:C251"/>
    <mergeCell ref="N259:N263"/>
    <mergeCell ref="N319:N323"/>
    <mergeCell ref="N240:N246"/>
    <mergeCell ref="M259:M263"/>
    <mergeCell ref="C260:C263"/>
    <mergeCell ref="M199:M203"/>
    <mergeCell ref="A228:A239"/>
    <mergeCell ref="C409:C412"/>
    <mergeCell ref="N362:N368"/>
    <mergeCell ref="N187:N191"/>
    <mergeCell ref="N181:N186"/>
    <mergeCell ref="C182:C186"/>
    <mergeCell ref="M187:M191"/>
    <mergeCell ref="M235:M239"/>
    <mergeCell ref="M211:M215"/>
    <mergeCell ref="C200:C203"/>
    <mergeCell ref="N235:N239"/>
    <mergeCell ref="N228:N234"/>
    <mergeCell ref="C230:C234"/>
    <mergeCell ref="C206:C210"/>
    <mergeCell ref="N193:N198"/>
    <mergeCell ref="C194:C198"/>
    <mergeCell ref="C188:C191"/>
    <mergeCell ref="C236:C239"/>
    <mergeCell ref="N211:N215"/>
    <mergeCell ref="C212:C215"/>
    <mergeCell ref="A156:A167"/>
    <mergeCell ref="A3:N3"/>
    <mergeCell ref="C5:C6"/>
    <mergeCell ref="D5:D6"/>
    <mergeCell ref="N5:N6"/>
    <mergeCell ref="A8:A33"/>
    <mergeCell ref="M5:M6"/>
    <mergeCell ref="M22:M33"/>
    <mergeCell ref="M43:M51"/>
    <mergeCell ref="A5:A6"/>
    <mergeCell ref="B5:B6"/>
    <mergeCell ref="G5:K5"/>
    <mergeCell ref="C152:C155"/>
    <mergeCell ref="N129:N136"/>
    <mergeCell ref="C130:C136"/>
    <mergeCell ref="N151:N155"/>
    <mergeCell ref="N145:N150"/>
    <mergeCell ref="N137:N143"/>
    <mergeCell ref="N114:N120"/>
    <mergeCell ref="C115:C120"/>
    <mergeCell ref="M151:M155"/>
    <mergeCell ref="C138:C143"/>
    <mergeCell ref="A128:A143"/>
    <mergeCell ref="M137:M143"/>
    <mergeCell ref="A180:A191"/>
    <mergeCell ref="A168:A179"/>
    <mergeCell ref="A79:A90"/>
    <mergeCell ref="N80:N85"/>
    <mergeCell ref="C81:C85"/>
    <mergeCell ref="N86:N90"/>
    <mergeCell ref="C87:C90"/>
    <mergeCell ref="C93:C97"/>
    <mergeCell ref="A103:A111"/>
    <mergeCell ref="N104:N108"/>
    <mergeCell ref="C105:C108"/>
    <mergeCell ref="N109:N111"/>
    <mergeCell ref="C110:C111"/>
    <mergeCell ref="A91:A102"/>
    <mergeCell ref="N92:N97"/>
    <mergeCell ref="N98:N102"/>
    <mergeCell ref="C99:C102"/>
    <mergeCell ref="M98:M102"/>
    <mergeCell ref="M86:M90"/>
    <mergeCell ref="N121:N127"/>
    <mergeCell ref="C122:C127"/>
    <mergeCell ref="M109:M111"/>
    <mergeCell ref="A144:A155"/>
    <mergeCell ref="C146:C150"/>
    <mergeCell ref="A113:A127"/>
    <mergeCell ref="M121:M127"/>
    <mergeCell ref="C55:C60"/>
    <mergeCell ref="A67:A78"/>
    <mergeCell ref="N61:N66"/>
    <mergeCell ref="C62:C66"/>
    <mergeCell ref="N68:N73"/>
    <mergeCell ref="N74:N78"/>
    <mergeCell ref="M74:M78"/>
    <mergeCell ref="A53:A66"/>
    <mergeCell ref="M61:M66"/>
    <mergeCell ref="N54:N60"/>
    <mergeCell ref="C75:C78"/>
    <mergeCell ref="C69:C72"/>
    <mergeCell ref="N288:N294"/>
    <mergeCell ref="N386:N392"/>
    <mergeCell ref="N393:N397"/>
    <mergeCell ref="C320:C323"/>
    <mergeCell ref="C326:C330"/>
    <mergeCell ref="M331:M335"/>
    <mergeCell ref="M271:M275"/>
    <mergeCell ref="N336:N349"/>
    <mergeCell ref="C332:C335"/>
    <mergeCell ref="N271:N275"/>
    <mergeCell ref="N324:N335"/>
    <mergeCell ref="C352:C356"/>
    <mergeCell ref="N283:N287"/>
    <mergeCell ref="N312:N318"/>
    <mergeCell ref="C394:C397"/>
    <mergeCell ref="M393:M397"/>
    <mergeCell ref="N383:N385"/>
    <mergeCell ref="N377:N382"/>
    <mergeCell ref="C379:C382"/>
    <mergeCell ref="C388:C392"/>
    <mergeCell ref="N295:N299"/>
    <mergeCell ref="C296:C299"/>
    <mergeCell ref="M383:M385"/>
    <mergeCell ref="O114:O120"/>
    <mergeCell ref="O158:O162"/>
    <mergeCell ref="O170:O174"/>
    <mergeCell ref="N169:N174"/>
    <mergeCell ref="C170:C174"/>
    <mergeCell ref="N175:N179"/>
    <mergeCell ref="N157:N162"/>
    <mergeCell ref="C158:C162"/>
    <mergeCell ref="M163:M167"/>
    <mergeCell ref="N163:N167"/>
    <mergeCell ref="C164:C167"/>
    <mergeCell ref="M175:M179"/>
    <mergeCell ref="C176:C179"/>
    <mergeCell ref="N247:N251"/>
    <mergeCell ref="N350:N356"/>
    <mergeCell ref="N357:N361"/>
    <mergeCell ref="C667:C668"/>
    <mergeCell ref="N204:N210"/>
    <mergeCell ref="A216:A227"/>
    <mergeCell ref="N216:N222"/>
    <mergeCell ref="C218:C222"/>
    <mergeCell ref="M223:M227"/>
    <mergeCell ref="N223:N227"/>
    <mergeCell ref="C224:C227"/>
    <mergeCell ref="N498:N506"/>
    <mergeCell ref="C500:C503"/>
    <mergeCell ref="A425:A433"/>
    <mergeCell ref="N585:N588"/>
    <mergeCell ref="C587:C589"/>
    <mergeCell ref="A498:A506"/>
    <mergeCell ref="A480:A497"/>
    <mergeCell ref="C663:C664"/>
    <mergeCell ref="A657:A664"/>
    <mergeCell ref="C659:C661"/>
    <mergeCell ref="N657:N664"/>
    <mergeCell ref="A416:A424"/>
    <mergeCell ref="A507:A515"/>
    <mergeCell ref="A300:A311"/>
    <mergeCell ref="N300:N306"/>
    <mergeCell ref="C302:C306"/>
    <mergeCell ref="M307:M311"/>
    <mergeCell ref="N307:N311"/>
    <mergeCell ref="C308:C311"/>
    <mergeCell ref="A464:A479"/>
    <mergeCell ref="N516:N524"/>
    <mergeCell ref="N507:N515"/>
    <mergeCell ref="M513:M515"/>
    <mergeCell ref="M522:M524"/>
    <mergeCell ref="A398:A406"/>
    <mergeCell ref="M413:M415"/>
    <mergeCell ref="N425:N430"/>
    <mergeCell ref="N422:N424"/>
    <mergeCell ref="C423:C424"/>
    <mergeCell ref="M404:M406"/>
    <mergeCell ref="C405:C406"/>
    <mergeCell ref="N407:N412"/>
    <mergeCell ref="N413:N415"/>
    <mergeCell ref="C447:C448"/>
    <mergeCell ref="C414:C415"/>
    <mergeCell ref="C436:C442"/>
    <mergeCell ref="M446:M448"/>
    <mergeCell ref="N570:N573"/>
    <mergeCell ref="C572:C574"/>
    <mergeCell ref="N575:N577"/>
    <mergeCell ref="C576:C577"/>
    <mergeCell ref="N578:N581"/>
    <mergeCell ref="A585:A592"/>
    <mergeCell ref="C591:C592"/>
    <mergeCell ref="M575:M577"/>
    <mergeCell ref="M582:M584"/>
    <mergeCell ref="M590:M592"/>
    <mergeCell ref="C583:C584"/>
    <mergeCell ref="A578:A584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5" firstPageNumber="14" orientation="landscape" useFirstPageNumber="1" r:id="rId1"/>
  <headerFooter alignWithMargins="0">
    <oddHeader>&amp;C&amp;"Arial,Kursywa"Wieloletnia prognoza finansowa  Województwa Zachodniopomorskiego&amp;"Arial,Normalny"
_______________________________________________________________________________________________________________________________</oddHeader>
    <oddFooter>&amp;C&amp;8&amp;P</oddFooter>
  </headerFooter>
  <rowBreaks count="6" manualBreakCount="6">
    <brk id="51" max="13" man="1"/>
    <brk id="167" max="13" man="1"/>
    <brk id="251" max="13" man="1"/>
    <brk id="299" max="13" man="1"/>
    <brk id="361" max="13" man="1"/>
    <brk id="644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545"/>
  <sheetViews>
    <sheetView showGridLines="0" view="pageBreakPreview" zoomScale="110" zoomScaleSheetLayoutView="110" workbookViewId="0">
      <pane xSplit="3" ySplit="6" topLeftCell="D7" activePane="bottomRight" state="frozen"/>
      <selection activeCell="A7" sqref="A7:J7"/>
      <selection pane="topRight" activeCell="A7" sqref="A7:J7"/>
      <selection pane="bottomLeft" activeCell="A7" sqref="A7:J7"/>
      <selection pane="bottomRight" activeCell="B1" sqref="B1"/>
    </sheetView>
  </sheetViews>
  <sheetFormatPr defaultColWidth="9.140625" defaultRowHeight="12.75"/>
  <cols>
    <col min="1" max="1" width="4" style="2806" customWidth="1"/>
    <col min="2" max="2" width="53.42578125" style="2805" customWidth="1"/>
    <col min="3" max="3" width="10.42578125" style="2805" customWidth="1"/>
    <col min="4" max="4" width="14.5703125" style="2805" customWidth="1"/>
    <col min="5" max="5" width="12.85546875" style="2805" customWidth="1"/>
    <col min="6" max="6" width="13.140625" style="2805" customWidth="1"/>
    <col min="7" max="7" width="11.140625" style="2805" customWidth="1"/>
    <col min="8" max="8" width="11.5703125" style="2805" customWidth="1"/>
    <col min="9" max="9" width="10" style="2805" customWidth="1"/>
    <col min="10" max="10" width="10.85546875" style="2805" customWidth="1"/>
    <col min="11" max="11" width="9.42578125" style="2805" bestFit="1" customWidth="1"/>
    <col min="12" max="12" width="9.42578125" style="2810" hidden="1" customWidth="1"/>
    <col min="13" max="13" width="12" style="2805" customWidth="1"/>
    <col min="14" max="14" width="14.5703125" style="2805" customWidth="1"/>
    <col min="15" max="15" width="14" style="2805" hidden="1" customWidth="1"/>
    <col min="16" max="16" width="12.140625" style="2805" hidden="1" customWidth="1"/>
    <col min="17" max="17" width="9.5703125" style="2805" customWidth="1"/>
    <col min="18" max="18" width="14.28515625" style="2805" customWidth="1"/>
    <col min="19" max="19" width="12" style="2805" customWidth="1"/>
    <col min="20" max="21" width="9.140625" style="2805"/>
    <col min="22" max="22" width="12.5703125" style="2805" customWidth="1"/>
    <col min="23" max="16384" width="9.140625" style="2805"/>
  </cols>
  <sheetData>
    <row r="1" spans="1:16" s="2804" customFormat="1" ht="15" customHeight="1">
      <c r="A1" s="1200"/>
      <c r="B1" s="1200"/>
      <c r="C1" s="1200"/>
      <c r="D1" s="1200"/>
      <c r="E1" s="1200"/>
      <c r="F1" s="1200"/>
      <c r="G1" s="1200"/>
      <c r="H1" s="261" t="s">
        <v>522</v>
      </c>
      <c r="I1" s="261"/>
      <c r="J1" s="261"/>
      <c r="K1" s="261"/>
      <c r="L1" s="261"/>
      <c r="M1" s="3"/>
      <c r="N1" s="4"/>
      <c r="O1" s="338"/>
    </row>
    <row r="2" spans="1:16" ht="18.75">
      <c r="A2" s="1200"/>
      <c r="B2" s="1200"/>
      <c r="C2" s="1200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339"/>
    </row>
    <row r="3" spans="1:16" ht="34.5" customHeight="1" thickBot="1">
      <c r="A3" s="3642" t="s">
        <v>106</v>
      </c>
      <c r="B3" s="3643"/>
      <c r="C3" s="3643"/>
      <c r="D3" s="3643"/>
      <c r="E3" s="3643"/>
      <c r="F3" s="3643"/>
      <c r="G3" s="3643"/>
      <c r="H3" s="3643"/>
      <c r="I3" s="3643"/>
      <c r="J3" s="3643"/>
      <c r="K3" s="3643"/>
      <c r="L3" s="3643"/>
      <c r="M3" s="3643"/>
      <c r="N3" s="3644"/>
      <c r="O3" s="2806"/>
    </row>
    <row r="4" spans="1:16" ht="52.5" customHeight="1">
      <c r="A4" s="3517" t="s">
        <v>65</v>
      </c>
      <c r="B4" s="3519" t="s">
        <v>66</v>
      </c>
      <c r="C4" s="3645" t="s">
        <v>62</v>
      </c>
      <c r="D4" s="3645" t="s">
        <v>107</v>
      </c>
      <c r="E4" s="2693" t="s">
        <v>216</v>
      </c>
      <c r="F4" s="2981" t="s">
        <v>542</v>
      </c>
      <c r="G4" s="3521" t="s">
        <v>544</v>
      </c>
      <c r="H4" s="3522"/>
      <c r="I4" s="3522"/>
      <c r="J4" s="3522"/>
      <c r="K4" s="3523"/>
      <c r="L4" s="3658"/>
      <c r="M4" s="3650" t="s">
        <v>563</v>
      </c>
      <c r="N4" s="3648" t="s">
        <v>64</v>
      </c>
      <c r="O4" s="2817"/>
    </row>
    <row r="5" spans="1:16" ht="20.25" customHeight="1">
      <c r="A5" s="3518"/>
      <c r="B5" s="3520"/>
      <c r="C5" s="3646"/>
      <c r="D5" s="3647"/>
      <c r="E5" s="1108" t="s">
        <v>541</v>
      </c>
      <c r="F5" s="2678" t="s">
        <v>5</v>
      </c>
      <c r="G5" s="2678" t="s">
        <v>169</v>
      </c>
      <c r="H5" s="2678" t="s">
        <v>170</v>
      </c>
      <c r="I5" s="2678" t="s">
        <v>210</v>
      </c>
      <c r="J5" s="2678" t="s">
        <v>211</v>
      </c>
      <c r="K5" s="2678" t="s">
        <v>209</v>
      </c>
      <c r="L5" s="3659"/>
      <c r="M5" s="3651"/>
      <c r="N5" s="3649"/>
      <c r="O5" s="2817"/>
    </row>
    <row r="6" spans="1:16" s="2807" customFormat="1" ht="13.5" customHeight="1">
      <c r="A6" s="3105">
        <v>1</v>
      </c>
      <c r="B6" s="3106">
        <v>2</v>
      </c>
      <c r="C6" s="3107" t="s">
        <v>108</v>
      </c>
      <c r="D6" s="3107" t="s">
        <v>109</v>
      </c>
      <c r="E6" s="2729">
        <v>5</v>
      </c>
      <c r="F6" s="2729">
        <v>6</v>
      </c>
      <c r="G6" s="2729">
        <v>7</v>
      </c>
      <c r="H6" s="2729">
        <v>8</v>
      </c>
      <c r="I6" s="2729">
        <v>9</v>
      </c>
      <c r="J6" s="2729">
        <v>10</v>
      </c>
      <c r="K6" s="2729">
        <v>11</v>
      </c>
      <c r="L6" s="2729"/>
      <c r="M6" s="3108">
        <v>12</v>
      </c>
      <c r="N6" s="3109">
        <v>13</v>
      </c>
      <c r="O6" s="3322"/>
    </row>
    <row r="7" spans="1:16" ht="14.25" customHeight="1">
      <c r="A7" s="3110"/>
      <c r="B7" s="3111" t="s">
        <v>67</v>
      </c>
      <c r="C7" s="3112"/>
      <c r="D7" s="3113">
        <f>+D8+D9</f>
        <v>138408529</v>
      </c>
      <c r="E7" s="3113">
        <f t="shared" ref="E7:K7" si="0">+E8+E9</f>
        <v>22448591</v>
      </c>
      <c r="F7" s="3113">
        <f t="shared" si="0"/>
        <v>24445506</v>
      </c>
      <c r="G7" s="3113">
        <f t="shared" si="0"/>
        <v>36058250</v>
      </c>
      <c r="H7" s="3113">
        <f t="shared" si="0"/>
        <v>22802075</v>
      </c>
      <c r="I7" s="3113">
        <f t="shared" si="0"/>
        <v>13854760</v>
      </c>
      <c r="J7" s="3113">
        <f t="shared" si="0"/>
        <v>10200659</v>
      </c>
      <c r="K7" s="3113">
        <f t="shared" si="0"/>
        <v>8598688</v>
      </c>
      <c r="L7" s="3113">
        <f>+L8+L9</f>
        <v>0</v>
      </c>
      <c r="M7" s="3114">
        <f t="shared" ref="M7" si="1">+M8+M9</f>
        <v>91514432</v>
      </c>
      <c r="N7" s="1922"/>
      <c r="O7" s="2809">
        <f>+M7-M10</f>
        <v>0</v>
      </c>
      <c r="P7" s="2808"/>
    </row>
    <row r="8" spans="1:16" ht="11.25" customHeight="1">
      <c r="A8" s="1919"/>
      <c r="B8" s="3111" t="s">
        <v>68</v>
      </c>
      <c r="C8" s="3112"/>
      <c r="D8" s="3113">
        <f t="shared" ref="D8:M8" si="2">+D25+D45+D86+D62+D123+D136+D158+D188+D206+D221+D239+D265+D110-D114</f>
        <v>137672492</v>
      </c>
      <c r="E8" s="3113">
        <f t="shared" si="2"/>
        <v>22342877</v>
      </c>
      <c r="F8" s="3113">
        <f t="shared" si="2"/>
        <v>23815183</v>
      </c>
      <c r="G8" s="3113">
        <f t="shared" si="2"/>
        <v>36058250</v>
      </c>
      <c r="H8" s="3113">
        <f t="shared" si="2"/>
        <v>22802075</v>
      </c>
      <c r="I8" s="3113">
        <f t="shared" si="2"/>
        <v>13854760</v>
      </c>
      <c r="J8" s="3113">
        <f t="shared" si="2"/>
        <v>10200659</v>
      </c>
      <c r="K8" s="3113">
        <f t="shared" si="2"/>
        <v>8598688</v>
      </c>
      <c r="L8" s="3113">
        <f>+L25+L45+L86+L62+L123+L136+L158+L188+L206+L221+L239+L265+L110-L114</f>
        <v>0</v>
      </c>
      <c r="M8" s="3114">
        <f t="shared" si="2"/>
        <v>91514432</v>
      </c>
      <c r="N8" s="1922"/>
      <c r="O8" s="2809"/>
      <c r="P8" s="2808"/>
    </row>
    <row r="9" spans="1:16" ht="11.25" customHeight="1">
      <c r="A9" s="1919"/>
      <c r="B9" s="3115" t="s">
        <v>8</v>
      </c>
      <c r="C9" s="3116"/>
      <c r="D9" s="3117">
        <f t="shared" ref="D9:K9" si="3">+D74+D98+D148+D176+D254</f>
        <v>736037</v>
      </c>
      <c r="E9" s="3117">
        <f t="shared" si="3"/>
        <v>105714</v>
      </c>
      <c r="F9" s="3117">
        <f t="shared" si="3"/>
        <v>630323</v>
      </c>
      <c r="G9" s="3117">
        <f t="shared" si="3"/>
        <v>0</v>
      </c>
      <c r="H9" s="3117">
        <f t="shared" si="3"/>
        <v>0</v>
      </c>
      <c r="I9" s="3117">
        <f t="shared" si="3"/>
        <v>0</v>
      </c>
      <c r="J9" s="3117">
        <f t="shared" si="3"/>
        <v>0</v>
      </c>
      <c r="K9" s="3117">
        <f t="shared" si="3"/>
        <v>0</v>
      </c>
      <c r="L9" s="3117">
        <f>+L74+L98+L148+L176+L254</f>
        <v>0</v>
      </c>
      <c r="M9" s="3114">
        <f>+M74+M98+M148+M176+M254</f>
        <v>0</v>
      </c>
      <c r="N9" s="1922"/>
      <c r="O9" s="2817"/>
    </row>
    <row r="10" spans="1:16" ht="12.75" customHeight="1">
      <c r="A10" s="1919"/>
      <c r="B10" s="1251" t="s">
        <v>9</v>
      </c>
      <c r="C10" s="1251"/>
      <c r="D10" s="1596">
        <f>+D11+D15</f>
        <v>139044529</v>
      </c>
      <c r="E10" s="1596">
        <f t="shared" ref="E10:K10" si="4">+E11+E15</f>
        <v>22448591</v>
      </c>
      <c r="F10" s="1596">
        <f t="shared" si="4"/>
        <v>24512492</v>
      </c>
      <c r="G10" s="1596">
        <f t="shared" si="4"/>
        <v>36369255</v>
      </c>
      <c r="H10" s="1596">
        <f t="shared" si="4"/>
        <v>23060084</v>
      </c>
      <c r="I10" s="1596">
        <f t="shared" si="4"/>
        <v>13854760</v>
      </c>
      <c r="J10" s="1596">
        <f t="shared" si="4"/>
        <v>10200659</v>
      </c>
      <c r="K10" s="1596">
        <f t="shared" si="4"/>
        <v>8598688</v>
      </c>
      <c r="L10" s="1596">
        <f>+L11+L15</f>
        <v>0</v>
      </c>
      <c r="M10" s="1215">
        <f>M11+M15</f>
        <v>91514432</v>
      </c>
      <c r="N10" s="3118"/>
      <c r="O10" s="2809"/>
      <c r="P10" s="2808"/>
    </row>
    <row r="11" spans="1:16" s="329" customFormat="1" ht="12.75" customHeight="1">
      <c r="A11" s="1919"/>
      <c r="B11" s="3119" t="s">
        <v>22</v>
      </c>
      <c r="C11" s="3119"/>
      <c r="D11" s="3120">
        <f>D12+D13+D14</f>
        <v>18576496</v>
      </c>
      <c r="E11" s="3120">
        <f t="shared" ref="E11:K11" si="5">E12+E13+E14</f>
        <v>3349156</v>
      </c>
      <c r="F11" s="3120">
        <f t="shared" si="5"/>
        <v>2968115</v>
      </c>
      <c r="G11" s="3120">
        <f t="shared" si="5"/>
        <v>4045295</v>
      </c>
      <c r="H11" s="3120">
        <f t="shared" si="5"/>
        <v>3269251</v>
      </c>
      <c r="I11" s="3120">
        <f t="shared" si="5"/>
        <v>2108867</v>
      </c>
      <c r="J11" s="3120">
        <f t="shared" si="5"/>
        <v>1539628</v>
      </c>
      <c r="K11" s="3120">
        <f t="shared" si="5"/>
        <v>1296184</v>
      </c>
      <c r="L11" s="3120">
        <f>L12+L13+L14</f>
        <v>0</v>
      </c>
      <c r="M11" s="3121">
        <f>M12+M13</f>
        <v>11690211</v>
      </c>
      <c r="N11" s="1922"/>
      <c r="O11" s="3323"/>
    </row>
    <row r="12" spans="1:16" ht="13.5" customHeight="1">
      <c r="A12" s="1919"/>
      <c r="B12" s="1921" t="s">
        <v>11</v>
      </c>
      <c r="C12" s="1921"/>
      <c r="D12" s="3122">
        <f t="shared" ref="D12:K12" si="6">D47+D88+D64+D76+D27+D100+D112+D125+D160+D178+D190+D223</f>
        <v>14105741</v>
      </c>
      <c r="E12" s="3122">
        <f t="shared" si="6"/>
        <v>3349156</v>
      </c>
      <c r="F12" s="3122">
        <f t="shared" si="6"/>
        <v>2351334</v>
      </c>
      <c r="G12" s="3122">
        <f t="shared" si="6"/>
        <v>2091870</v>
      </c>
      <c r="H12" s="3122">
        <f t="shared" si="6"/>
        <v>1814995</v>
      </c>
      <c r="I12" s="3122">
        <f t="shared" si="6"/>
        <v>1731310</v>
      </c>
      <c r="J12" s="3122">
        <f t="shared" si="6"/>
        <v>1470892</v>
      </c>
      <c r="K12" s="3122">
        <f t="shared" si="6"/>
        <v>1296184</v>
      </c>
      <c r="L12" s="3122">
        <f>L47+L88+L64+L76+L27+L100+L112+L125+L160+L178+L190+L223</f>
        <v>0</v>
      </c>
      <c r="M12" s="1431">
        <f>SUM(G12:K12)</f>
        <v>8405251</v>
      </c>
      <c r="N12" s="1922"/>
      <c r="O12" s="2809"/>
    </row>
    <row r="13" spans="1:16" ht="13.5" customHeight="1">
      <c r="A13" s="1919"/>
      <c r="B13" s="1920" t="s">
        <v>12</v>
      </c>
      <c r="C13" s="1921"/>
      <c r="D13" s="1243">
        <f t="shared" ref="D13:K13" si="7">D50+D31+D77+D113+D163+D179+D193+D208+D226+D241+D256+D270</f>
        <v>3834755</v>
      </c>
      <c r="E13" s="1243">
        <f t="shared" si="7"/>
        <v>0</v>
      </c>
      <c r="F13" s="1243">
        <f t="shared" si="7"/>
        <v>549795</v>
      </c>
      <c r="G13" s="1243">
        <f t="shared" si="7"/>
        <v>1642420</v>
      </c>
      <c r="H13" s="1243">
        <f t="shared" si="7"/>
        <v>1196247</v>
      </c>
      <c r="I13" s="1243">
        <f t="shared" si="7"/>
        <v>377557</v>
      </c>
      <c r="J13" s="1243">
        <f t="shared" si="7"/>
        <v>68736</v>
      </c>
      <c r="K13" s="1243">
        <f t="shared" si="7"/>
        <v>0</v>
      </c>
      <c r="L13" s="1243">
        <f>L50+L31+L77+L113+L163+L179+L193+L208+L226+L241+L256+L270</f>
        <v>0</v>
      </c>
      <c r="M13" s="1431">
        <f>SUM(G13:K13)</f>
        <v>3284960</v>
      </c>
      <c r="N13" s="1922"/>
      <c r="O13" s="2809">
        <f>D13-D20</f>
        <v>0</v>
      </c>
    </row>
    <row r="14" spans="1:16" s="2810" customFormat="1" ht="13.5" customHeight="1">
      <c r="A14" s="1919"/>
      <c r="B14" s="1920" t="s">
        <v>437</v>
      </c>
      <c r="C14" s="1921"/>
      <c r="D14" s="1243">
        <f>D114</f>
        <v>636000</v>
      </c>
      <c r="E14" s="1243">
        <f t="shared" ref="E14:K14" si="8">E114</f>
        <v>0</v>
      </c>
      <c r="F14" s="1243">
        <f t="shared" si="8"/>
        <v>66986</v>
      </c>
      <c r="G14" s="1243">
        <f t="shared" si="8"/>
        <v>311005</v>
      </c>
      <c r="H14" s="1243">
        <f t="shared" si="8"/>
        <v>258009</v>
      </c>
      <c r="I14" s="1243">
        <f t="shared" si="8"/>
        <v>0</v>
      </c>
      <c r="J14" s="1243">
        <f t="shared" si="8"/>
        <v>0</v>
      </c>
      <c r="K14" s="1243">
        <f t="shared" si="8"/>
        <v>0</v>
      </c>
      <c r="L14" s="1243">
        <f>L114</f>
        <v>0</v>
      </c>
      <c r="M14" s="2677">
        <v>0</v>
      </c>
      <c r="N14" s="1922"/>
      <c r="O14" s="2809"/>
    </row>
    <row r="15" spans="1:16" s="329" customFormat="1" ht="13.5" customHeight="1">
      <c r="A15" s="1919"/>
      <c r="B15" s="3123" t="s">
        <v>17</v>
      </c>
      <c r="C15" s="3123"/>
      <c r="D15" s="3120">
        <f>D17+D16</f>
        <v>120468033</v>
      </c>
      <c r="E15" s="3120">
        <f t="shared" ref="E15:K15" si="9">E17+E16</f>
        <v>19099435</v>
      </c>
      <c r="F15" s="3120">
        <f t="shared" si="9"/>
        <v>21544377</v>
      </c>
      <c r="G15" s="3120">
        <f t="shared" si="9"/>
        <v>32323960</v>
      </c>
      <c r="H15" s="3120">
        <f t="shared" si="9"/>
        <v>19790833</v>
      </c>
      <c r="I15" s="3120">
        <f t="shared" si="9"/>
        <v>11745893</v>
      </c>
      <c r="J15" s="3120">
        <f t="shared" si="9"/>
        <v>8661031</v>
      </c>
      <c r="K15" s="3120">
        <f t="shared" si="9"/>
        <v>7302504</v>
      </c>
      <c r="L15" s="3120">
        <f>L17+L16</f>
        <v>0</v>
      </c>
      <c r="M15" s="3121">
        <f t="shared" ref="M15" si="10">M17+M16</f>
        <v>79824221</v>
      </c>
      <c r="N15" s="1922"/>
      <c r="O15" s="3323"/>
    </row>
    <row r="16" spans="1:16" s="366" customFormat="1" ht="13.5" customHeight="1">
      <c r="A16" s="1919"/>
      <c r="B16" s="3124" t="s">
        <v>18</v>
      </c>
      <c r="C16" s="3123"/>
      <c r="D16" s="3125">
        <f>+D33</f>
        <v>410798</v>
      </c>
      <c r="E16" s="3125">
        <f t="shared" ref="E16:K16" si="11">+E33</f>
        <v>217909</v>
      </c>
      <c r="F16" s="3125">
        <f t="shared" si="11"/>
        <v>154321</v>
      </c>
      <c r="G16" s="3125">
        <f t="shared" si="11"/>
        <v>25351</v>
      </c>
      <c r="H16" s="3125">
        <f t="shared" si="11"/>
        <v>13217</v>
      </c>
      <c r="I16" s="3125">
        <f t="shared" si="11"/>
        <v>0</v>
      </c>
      <c r="J16" s="3125">
        <f t="shared" si="11"/>
        <v>0</v>
      </c>
      <c r="K16" s="3125">
        <f t="shared" si="11"/>
        <v>0</v>
      </c>
      <c r="L16" s="3125">
        <f>+L33</f>
        <v>0</v>
      </c>
      <c r="M16" s="1431">
        <f>SUM(G16:K16)</f>
        <v>38568</v>
      </c>
      <c r="N16" s="1922"/>
      <c r="O16" s="3323"/>
    </row>
    <row r="17" spans="1:16" ht="13.5" customHeight="1">
      <c r="A17" s="1919"/>
      <c r="B17" s="3126" t="s">
        <v>19</v>
      </c>
      <c r="C17" s="1921"/>
      <c r="D17" s="2670">
        <f t="shared" ref="D17:K17" si="12">+D52+D37+D91+D67+D79+D103+D116+D129+D138+D150+D167+D181+D197+D212+D230+D245+D258+D274</f>
        <v>120057235</v>
      </c>
      <c r="E17" s="2670">
        <f t="shared" si="12"/>
        <v>18881526</v>
      </c>
      <c r="F17" s="2670">
        <f t="shared" si="12"/>
        <v>21390056</v>
      </c>
      <c r="G17" s="2670">
        <f t="shared" si="12"/>
        <v>32298609</v>
      </c>
      <c r="H17" s="2670">
        <f t="shared" si="12"/>
        <v>19777616</v>
      </c>
      <c r="I17" s="2670">
        <f t="shared" si="12"/>
        <v>11745893</v>
      </c>
      <c r="J17" s="2670">
        <f t="shared" si="12"/>
        <v>8661031</v>
      </c>
      <c r="K17" s="2670">
        <f t="shared" si="12"/>
        <v>7302504</v>
      </c>
      <c r="L17" s="2670">
        <f>+L52+L37+L91+L67+L79+L103+L116+L129+L138+L150+L167+L181+L197+L212+L230+L245+L258+L274</f>
        <v>0</v>
      </c>
      <c r="M17" s="1431">
        <f>SUM(G17:K17)</f>
        <v>79785653</v>
      </c>
      <c r="N17" s="3118"/>
      <c r="O17" s="2809"/>
    </row>
    <row r="18" spans="1:16" ht="13.5" customHeight="1">
      <c r="A18" s="1919"/>
      <c r="B18" s="3127" t="s">
        <v>20</v>
      </c>
      <c r="C18" s="1251"/>
      <c r="D18" s="1596">
        <f>D19+D21</f>
        <v>124302788</v>
      </c>
      <c r="E18" s="1596">
        <f>E19+E21</f>
        <v>18796774</v>
      </c>
      <c r="F18" s="1596">
        <f t="shared" ref="F18:K18" si="13">F19+F21</f>
        <v>23712141</v>
      </c>
      <c r="G18" s="1596">
        <f t="shared" si="13"/>
        <v>33349433</v>
      </c>
      <c r="H18" s="1596">
        <f t="shared" si="13"/>
        <v>20288719</v>
      </c>
      <c r="I18" s="1596">
        <f t="shared" si="13"/>
        <v>12123450</v>
      </c>
      <c r="J18" s="1596">
        <f t="shared" si="13"/>
        <v>8729767</v>
      </c>
      <c r="K18" s="1596">
        <f t="shared" si="13"/>
        <v>7302504</v>
      </c>
      <c r="L18" s="1596">
        <f>L19+L21</f>
        <v>0</v>
      </c>
      <c r="M18" s="3655" t="s">
        <v>52</v>
      </c>
      <c r="N18" s="1922"/>
      <c r="O18" s="3324">
        <f>+D7-D10</f>
        <v>-636000</v>
      </c>
    </row>
    <row r="19" spans="1:16" ht="13.5" customHeight="1">
      <c r="A19" s="1919"/>
      <c r="B19" s="3128" t="s">
        <v>22</v>
      </c>
      <c r="C19" s="3129"/>
      <c r="D19" s="3130">
        <f>D20</f>
        <v>3834755</v>
      </c>
      <c r="E19" s="3130">
        <f t="shared" ref="E19:K19" si="14">E20</f>
        <v>0</v>
      </c>
      <c r="F19" s="3130">
        <f t="shared" si="14"/>
        <v>549795</v>
      </c>
      <c r="G19" s="3130">
        <f t="shared" si="14"/>
        <v>1642420</v>
      </c>
      <c r="H19" s="3130">
        <f t="shared" si="14"/>
        <v>1196247</v>
      </c>
      <c r="I19" s="3130">
        <f t="shared" si="14"/>
        <v>377557</v>
      </c>
      <c r="J19" s="3130">
        <f t="shared" si="14"/>
        <v>68736</v>
      </c>
      <c r="K19" s="3130">
        <f t="shared" si="14"/>
        <v>0</v>
      </c>
      <c r="L19" s="3130">
        <f>L20</f>
        <v>0</v>
      </c>
      <c r="M19" s="3655"/>
      <c r="N19" s="1922"/>
      <c r="O19" s="2817"/>
    </row>
    <row r="20" spans="1:16" ht="13.5" customHeight="1">
      <c r="A20" s="1919"/>
      <c r="B20" s="3131" t="s">
        <v>12</v>
      </c>
      <c r="C20" s="3132"/>
      <c r="D20" s="2670">
        <f t="shared" ref="D20:K20" si="15">+D57+D40+D82+D119+D172+D184+D202+D217+D235+D250+D261+D279</f>
        <v>3834755</v>
      </c>
      <c r="E20" s="2670">
        <f t="shared" si="15"/>
        <v>0</v>
      </c>
      <c r="F20" s="2670">
        <f t="shared" si="15"/>
        <v>549795</v>
      </c>
      <c r="G20" s="2670">
        <f t="shared" si="15"/>
        <v>1642420</v>
      </c>
      <c r="H20" s="2670">
        <f t="shared" si="15"/>
        <v>1196247</v>
      </c>
      <c r="I20" s="2670">
        <f t="shared" si="15"/>
        <v>377557</v>
      </c>
      <c r="J20" s="2670">
        <f t="shared" si="15"/>
        <v>68736</v>
      </c>
      <c r="K20" s="2670">
        <f t="shared" si="15"/>
        <v>0</v>
      </c>
      <c r="L20" s="2670">
        <f>+L57+L40+L82+L119+L172+L184+L202+L217+L235+L250+L261+L279</f>
        <v>0</v>
      </c>
      <c r="M20" s="3655"/>
      <c r="N20" s="1922"/>
      <c r="O20" s="2817"/>
    </row>
    <row r="21" spans="1:16" s="2807" customFormat="1" ht="13.5" customHeight="1">
      <c r="A21" s="1923"/>
      <c r="B21" s="3133" t="s">
        <v>17</v>
      </c>
      <c r="C21" s="3134"/>
      <c r="D21" s="3130">
        <f>D23+D22</f>
        <v>120468033</v>
      </c>
      <c r="E21" s="3130">
        <f t="shared" ref="E21:K21" si="16">E23+E22</f>
        <v>18796774</v>
      </c>
      <c r="F21" s="3130">
        <f t="shared" si="16"/>
        <v>23162346</v>
      </c>
      <c r="G21" s="3130">
        <f t="shared" si="16"/>
        <v>31707013</v>
      </c>
      <c r="H21" s="3130">
        <f t="shared" si="16"/>
        <v>19092472</v>
      </c>
      <c r="I21" s="3130">
        <f t="shared" si="16"/>
        <v>11745893</v>
      </c>
      <c r="J21" s="3130">
        <f t="shared" si="16"/>
        <v>8661031</v>
      </c>
      <c r="K21" s="3130">
        <f t="shared" si="16"/>
        <v>7302504</v>
      </c>
      <c r="L21" s="3130">
        <f>L23+L22</f>
        <v>0</v>
      </c>
      <c r="M21" s="3655"/>
      <c r="N21" s="3135"/>
      <c r="O21" s="3322"/>
    </row>
    <row r="22" spans="1:16" s="2811" customFormat="1" ht="13.5" customHeight="1">
      <c r="A22" s="1923"/>
      <c r="B22" s="3124" t="s">
        <v>18</v>
      </c>
      <c r="C22" s="3134"/>
      <c r="D22" s="3136">
        <f>+D42</f>
        <v>410798</v>
      </c>
      <c r="E22" s="3136">
        <f t="shared" ref="E22:K22" si="17">+E42</f>
        <v>84212</v>
      </c>
      <c r="F22" s="3136">
        <f t="shared" si="17"/>
        <v>176983</v>
      </c>
      <c r="G22" s="3136">
        <f t="shared" si="17"/>
        <v>114384</v>
      </c>
      <c r="H22" s="3136">
        <f t="shared" si="17"/>
        <v>35219</v>
      </c>
      <c r="I22" s="3136">
        <f t="shared" si="17"/>
        <v>0</v>
      </c>
      <c r="J22" s="3136">
        <f t="shared" si="17"/>
        <v>0</v>
      </c>
      <c r="K22" s="3136">
        <f t="shared" si="17"/>
        <v>0</v>
      </c>
      <c r="L22" s="3136">
        <f>+L42</f>
        <v>0</v>
      </c>
      <c r="M22" s="3656"/>
      <c r="N22" s="3137"/>
      <c r="O22" s="3322"/>
    </row>
    <row r="23" spans="1:16" ht="13.5" customHeight="1" thickBot="1">
      <c r="A23" s="1924"/>
      <c r="B23" s="3138" t="s">
        <v>19</v>
      </c>
      <c r="C23" s="3138"/>
      <c r="D23" s="3139">
        <f t="shared" ref="D23:K23" si="18">+D59+D43+D60+D96+D72+D84+D108+D121+D134+D146+D156+D174+D186+D204+D219+D237+D252+D263+D281</f>
        <v>120057235</v>
      </c>
      <c r="E23" s="3139">
        <f t="shared" si="18"/>
        <v>18712562</v>
      </c>
      <c r="F23" s="3139">
        <f t="shared" si="18"/>
        <v>22985363</v>
      </c>
      <c r="G23" s="3139">
        <f t="shared" si="18"/>
        <v>31592629</v>
      </c>
      <c r="H23" s="3139">
        <f t="shared" si="18"/>
        <v>19057253</v>
      </c>
      <c r="I23" s="3139">
        <f t="shared" si="18"/>
        <v>11745893</v>
      </c>
      <c r="J23" s="3139">
        <f t="shared" si="18"/>
        <v>8661031</v>
      </c>
      <c r="K23" s="3139">
        <f t="shared" si="18"/>
        <v>7302504</v>
      </c>
      <c r="L23" s="3139">
        <f>+L59+L43+L60+L96+L72+L84+L108+L121+L134+L146+L156+L174+L186+L204+L219+L237+L252+L263+L281</f>
        <v>0</v>
      </c>
      <c r="M23" s="3657"/>
      <c r="N23" s="1925"/>
      <c r="O23" s="2809">
        <f>D23-D17</f>
        <v>0</v>
      </c>
    </row>
    <row r="24" spans="1:16" ht="38.25" customHeight="1">
      <c r="A24" s="3652" t="s">
        <v>54</v>
      </c>
      <c r="B24" s="1585" t="s">
        <v>255</v>
      </c>
      <c r="C24" s="1586" t="s">
        <v>99</v>
      </c>
      <c r="D24" s="942"/>
      <c r="E24" s="2221"/>
      <c r="F24" s="2221"/>
      <c r="G24" s="2221"/>
      <c r="H24" s="2221"/>
      <c r="I24" s="2221"/>
      <c r="J24" s="2221"/>
      <c r="K24" s="34"/>
      <c r="L24" s="2221"/>
      <c r="M24" s="1215"/>
      <c r="N24" s="3605" t="s">
        <v>264</v>
      </c>
      <c r="O24" s="2817"/>
    </row>
    <row r="25" spans="1:16" s="2807" customFormat="1">
      <c r="A25" s="3610"/>
      <c r="B25" s="1587" t="s">
        <v>9</v>
      </c>
      <c r="C25" s="1251"/>
      <c r="D25" s="1214">
        <f t="shared" ref="D25:I25" si="19">+D26+D32</f>
        <v>487290</v>
      </c>
      <c r="E25" s="1214">
        <f t="shared" ref="E25" si="20">+E26+E32</f>
        <v>257169</v>
      </c>
      <c r="F25" s="1214">
        <f t="shared" si="19"/>
        <v>183147</v>
      </c>
      <c r="G25" s="1214">
        <f t="shared" si="19"/>
        <v>30624</v>
      </c>
      <c r="H25" s="1214">
        <f t="shared" si="19"/>
        <v>16350</v>
      </c>
      <c r="I25" s="3140">
        <f t="shared" si="19"/>
        <v>0</v>
      </c>
      <c r="J25" s="3140">
        <v>0</v>
      </c>
      <c r="K25" s="3140">
        <v>0</v>
      </c>
      <c r="L25" s="1214">
        <f>+L26+L32</f>
        <v>0</v>
      </c>
      <c r="M25" s="1171">
        <f>+M26+M32</f>
        <v>46974</v>
      </c>
      <c r="N25" s="3607"/>
      <c r="O25" s="3325"/>
      <c r="P25" s="2812"/>
    </row>
    <row r="26" spans="1:16" s="2807" customFormat="1" ht="13.5" customHeight="1">
      <c r="A26" s="3610"/>
      <c r="B26" s="1597" t="s">
        <v>22</v>
      </c>
      <c r="C26" s="3631" t="s">
        <v>292</v>
      </c>
      <c r="D26" s="1412">
        <f t="shared" ref="D26" si="21">+D27+D31</f>
        <v>76492</v>
      </c>
      <c r="E26" s="1412">
        <f t="shared" ref="E26" si="22">+E27+E31</f>
        <v>39260</v>
      </c>
      <c r="F26" s="1412">
        <f>+F27+F31</f>
        <v>28826</v>
      </c>
      <c r="G26" s="1412">
        <f>+G27+G31</f>
        <v>5273</v>
      </c>
      <c r="H26" s="1412">
        <f>+H27</f>
        <v>3133</v>
      </c>
      <c r="I26" s="3141">
        <f>+I27</f>
        <v>0</v>
      </c>
      <c r="J26" s="3141">
        <v>0</v>
      </c>
      <c r="K26" s="3141">
        <v>0</v>
      </c>
      <c r="L26" s="1412">
        <f>+L27+L31</f>
        <v>0</v>
      </c>
      <c r="M26" s="1734">
        <f>+M27+M31</f>
        <v>8406</v>
      </c>
      <c r="N26" s="3607"/>
      <c r="O26" s="3322"/>
    </row>
    <row r="27" spans="1:16" s="2807" customFormat="1" ht="11.25" customHeight="1">
      <c r="A27" s="3610"/>
      <c r="B27" s="2219" t="s">
        <v>11</v>
      </c>
      <c r="C27" s="3632"/>
      <c r="D27" s="1113">
        <f>E27+L27+F27+G27+H27+I27+J27+K27</f>
        <v>76492</v>
      </c>
      <c r="E27" s="1147">
        <f>+E29+E30</f>
        <v>39260</v>
      </c>
      <c r="F27" s="1182">
        <f t="shared" ref="F27:H27" si="23">+F29+F30</f>
        <v>28826</v>
      </c>
      <c r="G27" s="1182">
        <f t="shared" si="23"/>
        <v>5273</v>
      </c>
      <c r="H27" s="1182">
        <f t="shared" si="23"/>
        <v>3133</v>
      </c>
      <c r="I27" s="2397">
        <v>0</v>
      </c>
      <c r="J27" s="2397">
        <v>0</v>
      </c>
      <c r="K27" s="2397">
        <v>0</v>
      </c>
      <c r="L27" s="1182">
        <f>+L29+L30</f>
        <v>0</v>
      </c>
      <c r="M27" s="1431">
        <f>SUM(G27:K27)</f>
        <v>8406</v>
      </c>
      <c r="N27" s="3607"/>
      <c r="O27" s="3322"/>
    </row>
    <row r="28" spans="1:16" s="2813" customFormat="1" ht="13.5" hidden="1" customHeight="1">
      <c r="A28" s="3653"/>
      <c r="B28" s="3142" t="s">
        <v>139</v>
      </c>
      <c r="C28" s="3654"/>
      <c r="D28" s="1189"/>
      <c r="E28" s="3143"/>
      <c r="F28" s="1880"/>
      <c r="G28" s="1880"/>
      <c r="H28" s="1880"/>
      <c r="I28" s="3143"/>
      <c r="J28" s="3143"/>
      <c r="K28" s="2397"/>
      <c r="L28" s="1880"/>
      <c r="M28" s="1739"/>
      <c r="N28" s="3607"/>
      <c r="O28" s="3322"/>
    </row>
    <row r="29" spans="1:16" s="2813" customFormat="1" ht="13.5" hidden="1" customHeight="1">
      <c r="A29" s="3653"/>
      <c r="B29" s="3142" t="s">
        <v>100</v>
      </c>
      <c r="C29" s="3654"/>
      <c r="D29" s="1189">
        <f>+E29+L29+F29+G29+H29</f>
        <v>52982</v>
      </c>
      <c r="E29" s="1880">
        <f>3119+23397</f>
        <v>26516</v>
      </c>
      <c r="F29" s="1880">
        <f>12591-1089+6985+605</f>
        <v>19092</v>
      </c>
      <c r="G29" s="1880">
        <f>10929-2878-103-3462</f>
        <v>4486</v>
      </c>
      <c r="H29" s="1880">
        <f>2920-32</f>
        <v>2888</v>
      </c>
      <c r="I29" s="3143"/>
      <c r="J29" s="3143"/>
      <c r="K29" s="2397"/>
      <c r="L29" s="1880">
        <v>0</v>
      </c>
      <c r="M29" s="3144">
        <f>SUM(F29:H29)</f>
        <v>26466</v>
      </c>
      <c r="N29" s="3607"/>
      <c r="O29" s="3322"/>
    </row>
    <row r="30" spans="1:16" s="2813" customFormat="1" ht="13.5" hidden="1" customHeight="1">
      <c r="A30" s="3653"/>
      <c r="B30" s="3142" t="s">
        <v>245</v>
      </c>
      <c r="C30" s="3654"/>
      <c r="D30" s="1189">
        <f>+E30+L30+F30+G30+H30</f>
        <v>23510</v>
      </c>
      <c r="E30" s="1880">
        <f>4426+664+7654</f>
        <v>12744</v>
      </c>
      <c r="F30" s="1880">
        <f>6473+784+1089+301+1087</f>
        <v>9734</v>
      </c>
      <c r="G30" s="1880">
        <f>599+85+103</f>
        <v>787</v>
      </c>
      <c r="H30" s="1880">
        <f>186+27+32</f>
        <v>245</v>
      </c>
      <c r="I30" s="3143"/>
      <c r="J30" s="3143"/>
      <c r="K30" s="2397"/>
      <c r="L30" s="1880">
        <v>0</v>
      </c>
      <c r="M30" s="3144">
        <f>SUM(F30:H30)</f>
        <v>10766</v>
      </c>
      <c r="N30" s="3607"/>
      <c r="O30" s="3322"/>
    </row>
    <row r="31" spans="1:16" s="2807" customFormat="1" ht="14.25" hidden="1" customHeight="1">
      <c r="A31" s="3610"/>
      <c r="B31" s="2219" t="s">
        <v>12</v>
      </c>
      <c r="C31" s="3632"/>
      <c r="D31" s="1113">
        <f>E31+L31+F31+G31+H31+I31+J31+K31</f>
        <v>0</v>
      </c>
      <c r="E31" s="2397">
        <v>0</v>
      </c>
      <c r="F31" s="1182"/>
      <c r="G31" s="1182"/>
      <c r="H31" s="1182"/>
      <c r="I31" s="2397"/>
      <c r="J31" s="2397"/>
      <c r="K31" s="2397"/>
      <c r="L31" s="1182"/>
      <c r="M31" s="1739">
        <f>SUM(F31:H31)</f>
        <v>0</v>
      </c>
      <c r="N31" s="3607"/>
      <c r="O31" s="3322"/>
    </row>
    <row r="32" spans="1:16" s="2807" customFormat="1">
      <c r="A32" s="3610"/>
      <c r="B32" s="3145" t="s">
        <v>17</v>
      </c>
      <c r="C32" s="3632"/>
      <c r="D32" s="1179">
        <f>+D37+D33</f>
        <v>410798</v>
      </c>
      <c r="E32" s="1179">
        <f t="shared" ref="E32" si="24">+E37+E33</f>
        <v>217909</v>
      </c>
      <c r="F32" s="1179">
        <f>+F37+F33</f>
        <v>154321</v>
      </c>
      <c r="G32" s="1179">
        <f>+G37+G33</f>
        <v>25351</v>
      </c>
      <c r="H32" s="1179">
        <f>+H33</f>
        <v>13217</v>
      </c>
      <c r="I32" s="1219">
        <v>0</v>
      </c>
      <c r="J32" s="1219">
        <v>0</v>
      </c>
      <c r="K32" s="1219">
        <v>0</v>
      </c>
      <c r="L32" s="1179">
        <f>+L37+L33</f>
        <v>0</v>
      </c>
      <c r="M32" s="1433">
        <f>+M37+M33</f>
        <v>38568</v>
      </c>
      <c r="N32" s="3607"/>
      <c r="O32" s="3322"/>
    </row>
    <row r="33" spans="1:15" s="2811" customFormat="1" ht="12" customHeight="1">
      <c r="A33" s="3610"/>
      <c r="B33" s="2219" t="s">
        <v>18</v>
      </c>
      <c r="C33" s="3632"/>
      <c r="D33" s="1113">
        <f>E33+L33+F33+G33+H33+I33+J33+K33</f>
        <v>410798</v>
      </c>
      <c r="E33" s="1147">
        <f>+E35+E36</f>
        <v>217909</v>
      </c>
      <c r="F33" s="1182">
        <f t="shared" ref="F33:H33" si="25">+F35+F36</f>
        <v>154321</v>
      </c>
      <c r="G33" s="1182">
        <f t="shared" si="25"/>
        <v>25351</v>
      </c>
      <c r="H33" s="1182">
        <f t="shared" si="25"/>
        <v>13217</v>
      </c>
      <c r="I33" s="2397">
        <v>0</v>
      </c>
      <c r="J33" s="2397">
        <v>0</v>
      </c>
      <c r="K33" s="2397">
        <v>0</v>
      </c>
      <c r="L33" s="1182">
        <f>+L35+L36</f>
        <v>0</v>
      </c>
      <c r="M33" s="1431">
        <f>SUM(G33:K33)</f>
        <v>38568</v>
      </c>
      <c r="N33" s="3607"/>
      <c r="O33" s="3325">
        <f>D33-D42</f>
        <v>0</v>
      </c>
    </row>
    <row r="34" spans="1:15" s="2813" customFormat="1" ht="13.5" hidden="1" customHeight="1">
      <c r="A34" s="3610"/>
      <c r="B34" s="3142" t="s">
        <v>139</v>
      </c>
      <c r="C34" s="3632"/>
      <c r="D34" s="1189"/>
      <c r="E34" s="2397"/>
      <c r="F34" s="1880"/>
      <c r="G34" s="1880"/>
      <c r="H34" s="1880"/>
      <c r="I34" s="3143"/>
      <c r="J34" s="3143"/>
      <c r="K34" s="3143"/>
      <c r="L34" s="1880"/>
      <c r="M34" s="3144"/>
      <c r="N34" s="3607"/>
      <c r="O34" s="3322"/>
    </row>
    <row r="35" spans="1:15" s="2813" customFormat="1" ht="13.5" hidden="1" customHeight="1">
      <c r="A35" s="3610"/>
      <c r="B35" s="3142" t="s">
        <v>100</v>
      </c>
      <c r="C35" s="3632"/>
      <c r="D35" s="1189">
        <f>+E35+L35+F35+G35+H35</f>
        <v>277590</v>
      </c>
      <c r="E35" s="1880">
        <f>16375+129312</f>
        <v>145687</v>
      </c>
      <c r="F35" s="1880">
        <f>1482+13343+1112+47172+3706-6169+35092+3440</f>
        <v>99178</v>
      </c>
      <c r="G35" s="1880">
        <f>1482+15195+1853+32381+6486-16307-582-19617</f>
        <v>20891</v>
      </c>
      <c r="H35" s="1880">
        <f>3706+371+6085+1853-181</f>
        <v>11834</v>
      </c>
      <c r="I35" s="3143"/>
      <c r="J35" s="3143"/>
      <c r="K35" s="3143"/>
      <c r="L35" s="1880">
        <v>0</v>
      </c>
      <c r="M35" s="3144">
        <f>SUM(F35:H35)</f>
        <v>131903</v>
      </c>
      <c r="N35" s="3607"/>
      <c r="O35" s="3322"/>
    </row>
    <row r="36" spans="1:15" s="2813" customFormat="1" ht="13.5" hidden="1" customHeight="1">
      <c r="A36" s="3610"/>
      <c r="B36" s="3142" t="s">
        <v>245</v>
      </c>
      <c r="C36" s="3632"/>
      <c r="D36" s="1189">
        <f>+E36+L36+F36+G36+H36</f>
        <v>133208</v>
      </c>
      <c r="E36" s="1880">
        <f>25085+3762+43375</f>
        <v>72222</v>
      </c>
      <c r="F36" s="1880">
        <f>28654+2364+4931+731+4444+6169+1692+6158</f>
        <v>55143</v>
      </c>
      <c r="G36" s="1880">
        <f>2663+220+445+67+483+582</f>
        <v>4460</v>
      </c>
      <c r="H36" s="1880">
        <f>672+222+138+21+149+181</f>
        <v>1383</v>
      </c>
      <c r="I36" s="3143"/>
      <c r="J36" s="3143"/>
      <c r="K36" s="3143"/>
      <c r="L36" s="1880">
        <v>0</v>
      </c>
      <c r="M36" s="3144">
        <f>SUM(F36:H36)</f>
        <v>60986</v>
      </c>
      <c r="N36" s="3607"/>
      <c r="O36" s="3322"/>
    </row>
    <row r="37" spans="1:15" s="2807" customFormat="1" ht="13.5" hidden="1" customHeight="1" collapsed="1">
      <c r="A37" s="3610"/>
      <c r="B37" s="2219" t="s">
        <v>19</v>
      </c>
      <c r="C37" s="3632"/>
      <c r="D37" s="1113">
        <f>E37+L37+F37+G37+H37+I37+J37+K37</f>
        <v>0</v>
      </c>
      <c r="E37" s="2397">
        <v>0</v>
      </c>
      <c r="F37" s="1182"/>
      <c r="G37" s="1182"/>
      <c r="H37" s="1182"/>
      <c r="I37" s="2397"/>
      <c r="J37" s="2397"/>
      <c r="K37" s="2397"/>
      <c r="L37" s="1182"/>
      <c r="M37" s="1739">
        <f>SUM(F37:H37)</f>
        <v>0</v>
      </c>
      <c r="N37" s="3608"/>
      <c r="O37" s="3325"/>
    </row>
    <row r="38" spans="1:15" s="2807" customFormat="1">
      <c r="A38" s="3611"/>
      <c r="B38" s="1587" t="s">
        <v>20</v>
      </c>
      <c r="C38" s="1251"/>
      <c r="D38" s="1220">
        <f>+D39+D41</f>
        <v>410798</v>
      </c>
      <c r="E38" s="1220">
        <f>+E39+E41</f>
        <v>84212</v>
      </c>
      <c r="F38" s="1220">
        <f t="shared" ref="F38:I38" si="26">+F39+F41</f>
        <v>176983</v>
      </c>
      <c r="G38" s="1220">
        <f t="shared" si="26"/>
        <v>114384</v>
      </c>
      <c r="H38" s="1220">
        <f t="shared" si="26"/>
        <v>35219</v>
      </c>
      <c r="I38" s="3146">
        <f t="shared" si="26"/>
        <v>0</v>
      </c>
      <c r="J38" s="3146">
        <v>0</v>
      </c>
      <c r="K38" s="3146">
        <v>0</v>
      </c>
      <c r="L38" s="1220">
        <f>+L39+L41</f>
        <v>0</v>
      </c>
      <c r="M38" s="3601" t="s">
        <v>52</v>
      </c>
      <c r="N38" s="2289"/>
      <c r="O38" s="3325">
        <f>F38-'[1]Tab. 6B Polit społ i rozwój prz'!$G$37</f>
        <v>-60809</v>
      </c>
    </row>
    <row r="39" spans="1:15" s="2807" customFormat="1" ht="13.5" hidden="1" customHeight="1">
      <c r="A39" s="3611"/>
      <c r="B39" s="1597" t="s">
        <v>22</v>
      </c>
      <c r="C39" s="3633" t="s">
        <v>256</v>
      </c>
      <c r="D39" s="1179">
        <f>+D40</f>
        <v>0</v>
      </c>
      <c r="E39" s="1179"/>
      <c r="F39" s="1179"/>
      <c r="G39" s="1179"/>
      <c r="H39" s="1179"/>
      <c r="I39" s="1219"/>
      <c r="J39" s="1219"/>
      <c r="K39" s="1219"/>
      <c r="L39" s="1179"/>
      <c r="M39" s="3601"/>
      <c r="N39" s="2289"/>
      <c r="O39" s="3322"/>
    </row>
    <row r="40" spans="1:15" s="2807" customFormat="1" ht="13.5" hidden="1" customHeight="1">
      <c r="A40" s="3611"/>
      <c r="B40" s="2219" t="s">
        <v>12</v>
      </c>
      <c r="C40" s="3632"/>
      <c r="D40" s="1113">
        <f>E40+L40+F40+G40+H40+I40+J40+K40</f>
        <v>0</v>
      </c>
      <c r="E40" s="1189"/>
      <c r="F40" s="1189"/>
      <c r="G40" s="1189"/>
      <c r="H40" s="1189"/>
      <c r="I40" s="3147"/>
      <c r="J40" s="3147"/>
      <c r="K40" s="3147"/>
      <c r="L40" s="1189"/>
      <c r="M40" s="3601"/>
      <c r="N40" s="2289"/>
      <c r="O40" s="3322"/>
    </row>
    <row r="41" spans="1:15" s="2807" customFormat="1">
      <c r="A41" s="3611"/>
      <c r="B41" s="3145" t="s">
        <v>17</v>
      </c>
      <c r="C41" s="3634"/>
      <c r="D41" s="1179">
        <f>+D43+D42</f>
        <v>410798</v>
      </c>
      <c r="E41" s="1179">
        <f t="shared" ref="E41" si="27">+E43+E42</f>
        <v>84212</v>
      </c>
      <c r="F41" s="1179">
        <f t="shared" ref="F41:I41" si="28">+F43+F42</f>
        <v>176983</v>
      </c>
      <c r="G41" s="1179">
        <f>+G43+G42</f>
        <v>114384</v>
      </c>
      <c r="H41" s="1179">
        <f t="shared" si="28"/>
        <v>35219</v>
      </c>
      <c r="I41" s="1219">
        <f t="shared" si="28"/>
        <v>0</v>
      </c>
      <c r="J41" s="1219">
        <v>0</v>
      </c>
      <c r="K41" s="1219">
        <v>0</v>
      </c>
      <c r="L41" s="1179">
        <f>+L43+L42</f>
        <v>0</v>
      </c>
      <c r="M41" s="3601"/>
      <c r="N41" s="2984" t="s">
        <v>100</v>
      </c>
      <c r="O41" s="3322"/>
    </row>
    <row r="42" spans="1:15" s="2811" customFormat="1" ht="15.75" customHeight="1" thickBot="1">
      <c r="A42" s="3611"/>
      <c r="B42" s="2219" t="s">
        <v>18</v>
      </c>
      <c r="C42" s="3634"/>
      <c r="D42" s="1113">
        <f>E42+L42+F42+G42+H42+I42+J42+K42</f>
        <v>410798</v>
      </c>
      <c r="E42" s="1182">
        <f>88766-60286+55732</f>
        <v>84212</v>
      </c>
      <c r="F42" s="1182">
        <f>154696+9365+11231+62500-69130+8321</f>
        <v>176983</v>
      </c>
      <c r="G42" s="1182">
        <f>103495-26700+4444-33621+72166-5400</f>
        <v>114384</v>
      </c>
      <c r="H42" s="1182">
        <f>60792+32027-15824-25800-3036-12940</f>
        <v>35219</v>
      </c>
      <c r="I42" s="2397">
        <f>13068+45594+149-58811</f>
        <v>0</v>
      </c>
      <c r="J42" s="2397">
        <v>0</v>
      </c>
      <c r="K42" s="2397">
        <v>0</v>
      </c>
      <c r="L42" s="1182">
        <v>0</v>
      </c>
      <c r="M42" s="3601"/>
      <c r="N42" s="2289"/>
      <c r="O42" s="3322"/>
    </row>
    <row r="43" spans="1:15" ht="13.5" hidden="1" customHeight="1" thickBot="1">
      <c r="A43" s="3612"/>
      <c r="B43" s="1598" t="s">
        <v>19</v>
      </c>
      <c r="C43" s="3635"/>
      <c r="D43" s="1113">
        <f>E43+L43+F43+G43+H43+I43+J43+K43</f>
        <v>0</v>
      </c>
      <c r="E43" s="1424">
        <v>0</v>
      </c>
      <c r="F43" s="1423"/>
      <c r="G43" s="1423"/>
      <c r="H43" s="1423"/>
      <c r="I43" s="1423"/>
      <c r="J43" s="1423"/>
      <c r="K43" s="1423"/>
      <c r="L43" s="1423"/>
      <c r="M43" s="3548"/>
      <c r="N43" s="2290"/>
      <c r="O43" s="2817"/>
    </row>
    <row r="44" spans="1:15" ht="24" customHeight="1">
      <c r="A44" s="3636" t="s">
        <v>259</v>
      </c>
      <c r="B44" s="1003" t="s">
        <v>391</v>
      </c>
      <c r="C44" s="1004" t="s">
        <v>99</v>
      </c>
      <c r="D44" s="942"/>
      <c r="E44" s="942"/>
      <c r="F44" s="942"/>
      <c r="G44" s="942"/>
      <c r="H44" s="942"/>
      <c r="I44" s="942"/>
      <c r="J44" s="942"/>
      <c r="K44" s="942"/>
      <c r="L44" s="942"/>
      <c r="M44" s="942"/>
      <c r="N44" s="3605" t="s">
        <v>265</v>
      </c>
      <c r="O44" s="2817"/>
    </row>
    <row r="45" spans="1:15">
      <c r="A45" s="3610"/>
      <c r="B45" s="1587" t="s">
        <v>9</v>
      </c>
      <c r="C45" s="1005"/>
      <c r="D45" s="1596">
        <f t="shared" ref="D45" si="29">+D46+D51</f>
        <v>1324368</v>
      </c>
      <c r="E45" s="3140">
        <f t="shared" ref="E45" si="30">+E46+E51</f>
        <v>0</v>
      </c>
      <c r="F45" s="1214">
        <f t="shared" ref="F45:G45" si="31">+F46+F51</f>
        <v>689604</v>
      </c>
      <c r="G45" s="1214">
        <f t="shared" si="31"/>
        <v>634764</v>
      </c>
      <c r="H45" s="3140">
        <f t="shared" ref="H45:K45" si="32">+H46+H51</f>
        <v>0</v>
      </c>
      <c r="I45" s="3140">
        <f t="shared" si="32"/>
        <v>0</v>
      </c>
      <c r="J45" s="3140">
        <f t="shared" si="32"/>
        <v>0</v>
      </c>
      <c r="K45" s="3140">
        <f t="shared" si="32"/>
        <v>0</v>
      </c>
      <c r="L45" s="3140">
        <f>+L46+L51</f>
        <v>0</v>
      </c>
      <c r="M45" s="1171">
        <f>+M46+M51</f>
        <v>634764</v>
      </c>
      <c r="N45" s="3607"/>
      <c r="O45" s="2809"/>
    </row>
    <row r="46" spans="1:15" ht="12.75" customHeight="1">
      <c r="A46" s="3610"/>
      <c r="B46" s="1588" t="s">
        <v>22</v>
      </c>
      <c r="C46" s="3613" t="s">
        <v>262</v>
      </c>
      <c r="D46" s="1412">
        <f t="shared" ref="D46:M46" si="33">+D47+D50</f>
        <v>198655</v>
      </c>
      <c r="E46" s="3141">
        <f t="shared" ref="E46" si="34">+E47+E50</f>
        <v>0</v>
      </c>
      <c r="F46" s="1412">
        <f t="shared" si="33"/>
        <v>103441</v>
      </c>
      <c r="G46" s="1412">
        <f t="shared" si="33"/>
        <v>95214</v>
      </c>
      <c r="H46" s="3141">
        <f t="shared" ref="H46:K46" si="35">+H47+H50</f>
        <v>0</v>
      </c>
      <c r="I46" s="3141">
        <f t="shared" si="35"/>
        <v>0</v>
      </c>
      <c r="J46" s="3141">
        <f t="shared" si="35"/>
        <v>0</v>
      </c>
      <c r="K46" s="3141">
        <f t="shared" si="35"/>
        <v>0</v>
      </c>
      <c r="L46" s="3141">
        <f>+L47+L50</f>
        <v>0</v>
      </c>
      <c r="M46" s="1734">
        <f t="shared" si="33"/>
        <v>95214</v>
      </c>
      <c r="N46" s="3607"/>
      <c r="O46" s="2817"/>
    </row>
    <row r="47" spans="1:15" ht="12" customHeight="1">
      <c r="A47" s="3610"/>
      <c r="B47" s="1589" t="s">
        <v>11</v>
      </c>
      <c r="C47" s="3614"/>
      <c r="D47" s="1113">
        <f>E47+L47+F47+G47+H47+I47+J47+K47</f>
        <v>198655</v>
      </c>
      <c r="E47" s="3148">
        <f t="shared" ref="E47:G47" si="36">+E48+E49</f>
        <v>0</v>
      </c>
      <c r="F47" s="1182">
        <f t="shared" si="36"/>
        <v>103441</v>
      </c>
      <c r="G47" s="1182">
        <f t="shared" si="36"/>
        <v>95214</v>
      </c>
      <c r="H47" s="3148">
        <f t="shared" ref="H47:K47" si="37">+H48+H49</f>
        <v>0</v>
      </c>
      <c r="I47" s="3148">
        <f t="shared" si="37"/>
        <v>0</v>
      </c>
      <c r="J47" s="3148">
        <f t="shared" si="37"/>
        <v>0</v>
      </c>
      <c r="K47" s="3148">
        <f t="shared" si="37"/>
        <v>0</v>
      </c>
      <c r="L47" s="3148">
        <f>+L48+L49</f>
        <v>0</v>
      </c>
      <c r="M47" s="1431">
        <f>SUM(G47:K47)</f>
        <v>95214</v>
      </c>
      <c r="N47" s="3607"/>
      <c r="O47" s="2817"/>
    </row>
    <row r="48" spans="1:15" s="2814" customFormat="1" ht="13.5" hidden="1" customHeight="1">
      <c r="A48" s="3610"/>
      <c r="B48" s="3149" t="s">
        <v>245</v>
      </c>
      <c r="C48" s="3614"/>
      <c r="D48" s="3150">
        <f>SUM(E48:K48)</f>
        <v>101173</v>
      </c>
      <c r="E48" s="1485">
        <v>0</v>
      </c>
      <c r="F48" s="3151">
        <v>51272</v>
      </c>
      <c r="G48" s="3151">
        <v>49901</v>
      </c>
      <c r="H48" s="3152">
        <v>0</v>
      </c>
      <c r="I48" s="3152">
        <v>0</v>
      </c>
      <c r="J48" s="3152">
        <v>0</v>
      </c>
      <c r="K48" s="3152">
        <v>0</v>
      </c>
      <c r="L48" s="3152">
        <v>0</v>
      </c>
      <c r="M48" s="1431">
        <f t="shared" ref="M48:M49" si="38">SUM(F48:K48)</f>
        <v>101173</v>
      </c>
      <c r="N48" s="3607"/>
      <c r="O48" s="2817"/>
    </row>
    <row r="49" spans="1:15" s="2814" customFormat="1" ht="13.5" hidden="1" customHeight="1">
      <c r="A49" s="3610"/>
      <c r="B49" s="3153" t="s">
        <v>260</v>
      </c>
      <c r="C49" s="3614"/>
      <c r="D49" s="3154">
        <f>SUM(E49:K49)</f>
        <v>97482</v>
      </c>
      <c r="E49" s="1486">
        <v>0</v>
      </c>
      <c r="F49" s="3155">
        <v>52169</v>
      </c>
      <c r="G49" s="3155">
        <v>45313</v>
      </c>
      <c r="H49" s="3156">
        <v>0</v>
      </c>
      <c r="I49" s="3156">
        <v>0</v>
      </c>
      <c r="J49" s="3156">
        <v>0</v>
      </c>
      <c r="K49" s="3156">
        <v>0</v>
      </c>
      <c r="L49" s="3156">
        <v>0</v>
      </c>
      <c r="M49" s="1431">
        <f t="shared" si="38"/>
        <v>97482</v>
      </c>
      <c r="N49" s="3607"/>
      <c r="O49" s="2817"/>
    </row>
    <row r="50" spans="1:15" ht="12.75" hidden="1" customHeight="1">
      <c r="A50" s="3610"/>
      <c r="B50" s="1589" t="s">
        <v>12</v>
      </c>
      <c r="C50" s="3614"/>
      <c r="D50" s="1189">
        <f>SUM(E50:F50)</f>
        <v>0</v>
      </c>
      <c r="E50" s="2397">
        <v>0</v>
      </c>
      <c r="F50" s="1182"/>
      <c r="G50" s="1182"/>
      <c r="H50" s="2397"/>
      <c r="I50" s="2397"/>
      <c r="J50" s="2397"/>
      <c r="K50" s="2397"/>
      <c r="L50" s="2397"/>
      <c r="M50" s="3144">
        <f>SUM(F50:K50)</f>
        <v>0</v>
      </c>
      <c r="N50" s="3607"/>
      <c r="O50" s="2817"/>
    </row>
    <row r="51" spans="1:15" ht="12" customHeight="1">
      <c r="A51" s="3610"/>
      <c r="B51" s="1588" t="s">
        <v>17</v>
      </c>
      <c r="C51" s="3614"/>
      <c r="D51" s="1179">
        <f>+D52</f>
        <v>1125713</v>
      </c>
      <c r="E51" s="1219">
        <f t="shared" ref="E51:K51" si="39">+E52</f>
        <v>0</v>
      </c>
      <c r="F51" s="1179">
        <f t="shared" si="39"/>
        <v>586163</v>
      </c>
      <c r="G51" s="1179">
        <f t="shared" si="39"/>
        <v>539550</v>
      </c>
      <c r="H51" s="1219">
        <f t="shared" si="39"/>
        <v>0</v>
      </c>
      <c r="I51" s="1219">
        <f t="shared" si="39"/>
        <v>0</v>
      </c>
      <c r="J51" s="1219">
        <f t="shared" si="39"/>
        <v>0</v>
      </c>
      <c r="K51" s="1219">
        <f t="shared" si="39"/>
        <v>0</v>
      </c>
      <c r="L51" s="1219">
        <f>+L52</f>
        <v>0</v>
      </c>
      <c r="M51" s="1433">
        <f>+M52</f>
        <v>539550</v>
      </c>
      <c r="N51" s="3607"/>
      <c r="O51" s="2817"/>
    </row>
    <row r="52" spans="1:15" ht="12" customHeight="1" collapsed="1">
      <c r="A52" s="3610"/>
      <c r="B52" s="1589" t="s">
        <v>19</v>
      </c>
      <c r="C52" s="3614"/>
      <c r="D52" s="1113">
        <f>E52+L52+F52+G52+H52+I52+J52+K52</f>
        <v>1125713</v>
      </c>
      <c r="E52" s="2397">
        <f t="shared" ref="E52:G52" si="40">+E53+E54</f>
        <v>0</v>
      </c>
      <c r="F52" s="1182">
        <f t="shared" si="40"/>
        <v>586163</v>
      </c>
      <c r="G52" s="1182">
        <f t="shared" si="40"/>
        <v>539550</v>
      </c>
      <c r="H52" s="2397">
        <f t="shared" ref="H52:K52" si="41">+H53+H54</f>
        <v>0</v>
      </c>
      <c r="I52" s="2397">
        <f t="shared" si="41"/>
        <v>0</v>
      </c>
      <c r="J52" s="2397">
        <f t="shared" si="41"/>
        <v>0</v>
      </c>
      <c r="K52" s="2397">
        <f t="shared" si="41"/>
        <v>0</v>
      </c>
      <c r="L52" s="2397">
        <f>+L53+L54</f>
        <v>0</v>
      </c>
      <c r="M52" s="1431">
        <f>SUM(G52:K52)</f>
        <v>539550</v>
      </c>
      <c r="N52" s="3608"/>
      <c r="O52" s="2817"/>
    </row>
    <row r="53" spans="1:15" s="2814" customFormat="1" ht="13.5" hidden="1" customHeight="1">
      <c r="A53" s="3610"/>
      <c r="B53" s="1740" t="s">
        <v>245</v>
      </c>
      <c r="C53" s="1744"/>
      <c r="D53" s="1741">
        <f>SUM(E53:K53)</f>
        <v>573315</v>
      </c>
      <c r="E53" s="1487">
        <v>0</v>
      </c>
      <c r="F53" s="1742">
        <v>290542</v>
      </c>
      <c r="G53" s="1742">
        <v>282773</v>
      </c>
      <c r="H53" s="1487">
        <v>0</v>
      </c>
      <c r="I53" s="1487">
        <v>0</v>
      </c>
      <c r="J53" s="1487">
        <v>0</v>
      </c>
      <c r="K53" s="1487">
        <v>0</v>
      </c>
      <c r="L53" s="1487">
        <v>0</v>
      </c>
      <c r="M53" s="1431">
        <f t="shared" ref="M53:M54" si="42">SUM(F53:K53)</f>
        <v>573315</v>
      </c>
      <c r="N53" s="1549"/>
      <c r="O53" s="2817"/>
    </row>
    <row r="54" spans="1:15" s="2814" customFormat="1" ht="12.75" hidden="1" customHeight="1">
      <c r="A54" s="3610"/>
      <c r="B54" s="3157" t="s">
        <v>260</v>
      </c>
      <c r="C54" s="3158"/>
      <c r="D54" s="3159">
        <f>SUM(E54:K54)</f>
        <v>552398</v>
      </c>
      <c r="E54" s="1488">
        <v>0</v>
      </c>
      <c r="F54" s="3160">
        <v>295621</v>
      </c>
      <c r="G54" s="3160">
        <v>256777</v>
      </c>
      <c r="H54" s="1488">
        <v>0</v>
      </c>
      <c r="I54" s="1488">
        <v>0</v>
      </c>
      <c r="J54" s="1488">
        <v>0</v>
      </c>
      <c r="K54" s="1488">
        <v>0</v>
      </c>
      <c r="L54" s="1488">
        <v>0</v>
      </c>
      <c r="M54" s="1431">
        <f t="shared" si="42"/>
        <v>552398</v>
      </c>
      <c r="N54" s="1549"/>
      <c r="O54" s="2817"/>
    </row>
    <row r="55" spans="1:15">
      <c r="A55" s="3611"/>
      <c r="B55" s="1587" t="s">
        <v>20</v>
      </c>
      <c r="C55" s="1251"/>
      <c r="D55" s="1432">
        <f t="shared" ref="D55:G55" si="43">+D56+D58</f>
        <v>1125713</v>
      </c>
      <c r="E55" s="3161">
        <f t="shared" ref="E55" si="44">+E56+E58</f>
        <v>0</v>
      </c>
      <c r="F55" s="1432">
        <f t="shared" si="43"/>
        <v>586163</v>
      </c>
      <c r="G55" s="1432">
        <f t="shared" si="43"/>
        <v>539550</v>
      </c>
      <c r="H55" s="3161">
        <f t="shared" ref="H55:K55" si="45">+H56+H58</f>
        <v>0</v>
      </c>
      <c r="I55" s="3161">
        <f t="shared" si="45"/>
        <v>0</v>
      </c>
      <c r="J55" s="3161">
        <f t="shared" si="45"/>
        <v>0</v>
      </c>
      <c r="K55" s="3161">
        <f t="shared" si="45"/>
        <v>0</v>
      </c>
      <c r="L55" s="3161">
        <f>+L56+L58</f>
        <v>0</v>
      </c>
      <c r="M55" s="3601" t="s">
        <v>52</v>
      </c>
      <c r="N55" s="3616" t="s">
        <v>260</v>
      </c>
      <c r="O55" s="2809">
        <f>F55-'[1]Tab. 6B Polit społ i rozwój prz'!$G$54</f>
        <v>0</v>
      </c>
    </row>
    <row r="56" spans="1:15" ht="13.5" hidden="1" customHeight="1">
      <c r="A56" s="3611"/>
      <c r="B56" s="1588" t="s">
        <v>22</v>
      </c>
      <c r="C56" s="3637" t="s">
        <v>261</v>
      </c>
      <c r="D56" s="1179">
        <f>+D57</f>
        <v>0</v>
      </c>
      <c r="E56" s="1219">
        <f t="shared" ref="E56:K56" si="46">+E57</f>
        <v>0</v>
      </c>
      <c r="F56" s="1179">
        <f t="shared" si="46"/>
        <v>0</v>
      </c>
      <c r="G56" s="1179">
        <f t="shared" si="46"/>
        <v>0</v>
      </c>
      <c r="H56" s="1219">
        <f t="shared" si="46"/>
        <v>0</v>
      </c>
      <c r="I56" s="1219">
        <f t="shared" si="46"/>
        <v>0</v>
      </c>
      <c r="J56" s="1219">
        <f t="shared" si="46"/>
        <v>0</v>
      </c>
      <c r="K56" s="1219">
        <f t="shared" si="46"/>
        <v>0</v>
      </c>
      <c r="L56" s="1219">
        <f>+L57</f>
        <v>0</v>
      </c>
      <c r="M56" s="3601"/>
      <c r="N56" s="3616"/>
      <c r="O56" s="2817"/>
    </row>
    <row r="57" spans="1:15" ht="13.5" hidden="1" customHeight="1">
      <c r="A57" s="3611"/>
      <c r="B57" s="1589" t="s">
        <v>12</v>
      </c>
      <c r="C57" s="3638"/>
      <c r="D57" s="1189">
        <f>SUM(E57:F57)</f>
        <v>0</v>
      </c>
      <c r="E57" s="3147"/>
      <c r="F57" s="1189"/>
      <c r="G57" s="1189"/>
      <c r="H57" s="3147"/>
      <c r="I57" s="3147"/>
      <c r="J57" s="3147"/>
      <c r="K57" s="3147"/>
      <c r="L57" s="3147"/>
      <c r="M57" s="3601"/>
      <c r="N57" s="3616"/>
      <c r="O57" s="2817"/>
    </row>
    <row r="58" spans="1:15" ht="12.75" customHeight="1">
      <c r="A58" s="3611"/>
      <c r="B58" s="1588" t="s">
        <v>17</v>
      </c>
      <c r="C58" s="3638"/>
      <c r="D58" s="1179">
        <f t="shared" ref="D58:K58" si="47">+D59</f>
        <v>1125713</v>
      </c>
      <c r="E58" s="1219">
        <f t="shared" si="47"/>
        <v>0</v>
      </c>
      <c r="F58" s="1179">
        <f t="shared" si="47"/>
        <v>586163</v>
      </c>
      <c r="G58" s="1179">
        <f t="shared" si="47"/>
        <v>539550</v>
      </c>
      <c r="H58" s="1219">
        <f t="shared" si="47"/>
        <v>0</v>
      </c>
      <c r="I58" s="1219">
        <f t="shared" si="47"/>
        <v>0</v>
      </c>
      <c r="J58" s="1219">
        <f t="shared" si="47"/>
        <v>0</v>
      </c>
      <c r="K58" s="1219">
        <f t="shared" si="47"/>
        <v>0</v>
      </c>
      <c r="L58" s="1219">
        <f>+L59</f>
        <v>0</v>
      </c>
      <c r="M58" s="3601"/>
      <c r="N58" s="3616"/>
      <c r="O58" s="2817"/>
    </row>
    <row r="59" spans="1:15" ht="11.25" customHeight="1" thickBot="1">
      <c r="A59" s="3612"/>
      <c r="B59" s="1733" t="s">
        <v>19</v>
      </c>
      <c r="C59" s="3639"/>
      <c r="D59" s="1405">
        <f>E59+L59+F59+G59+H59+I59+J59+K59</f>
        <v>1125713</v>
      </c>
      <c r="E59" s="1429">
        <v>0</v>
      </c>
      <c r="F59" s="1423">
        <v>586163</v>
      </c>
      <c r="G59" s="1423">
        <v>539550</v>
      </c>
      <c r="H59" s="1424">
        <v>0</v>
      </c>
      <c r="I59" s="1424">
        <v>0</v>
      </c>
      <c r="J59" s="1424">
        <v>0</v>
      </c>
      <c r="K59" s="1424">
        <v>0</v>
      </c>
      <c r="L59" s="1424">
        <v>0</v>
      </c>
      <c r="M59" s="3548"/>
      <c r="N59" s="3617"/>
      <c r="O59" s="2817"/>
    </row>
    <row r="60" spans="1:15" ht="0.6" customHeight="1" thickBot="1">
      <c r="A60" s="2987"/>
      <c r="B60" s="2219" t="s">
        <v>19</v>
      </c>
      <c r="C60" s="2985"/>
      <c r="D60" s="2231">
        <f>SUM(E60:F60)</f>
        <v>0</v>
      </c>
      <c r="E60" s="1202">
        <v>0</v>
      </c>
      <c r="F60" s="1202"/>
      <c r="G60" s="1202"/>
      <c r="H60" s="1202"/>
      <c r="I60" s="1202"/>
      <c r="J60" s="1202"/>
      <c r="K60" s="1202"/>
      <c r="L60" s="1202"/>
      <c r="M60" s="2982"/>
      <c r="N60" s="3162"/>
      <c r="O60" s="2817"/>
    </row>
    <row r="61" spans="1:15" ht="27" customHeight="1">
      <c r="A61" s="3629" t="s">
        <v>56</v>
      </c>
      <c r="B61" s="1585" t="s">
        <v>408</v>
      </c>
      <c r="C61" s="1586" t="s">
        <v>99</v>
      </c>
      <c r="D61" s="942"/>
      <c r="E61" s="2221"/>
      <c r="F61" s="2221"/>
      <c r="G61" s="2221"/>
      <c r="H61" s="2221"/>
      <c r="I61" s="2221"/>
      <c r="J61" s="2221"/>
      <c r="K61" s="34"/>
      <c r="L61" s="2221"/>
      <c r="M61" s="1215"/>
      <c r="N61" s="3640" t="s">
        <v>367</v>
      </c>
      <c r="O61" s="2817"/>
    </row>
    <row r="62" spans="1:15" ht="12" customHeight="1">
      <c r="A62" s="3629"/>
      <c r="B62" s="1587" t="s">
        <v>9</v>
      </c>
      <c r="C62" s="1251"/>
      <c r="D62" s="1214">
        <f t="shared" ref="D62:K62" si="48">+D63+D66</f>
        <v>12441351</v>
      </c>
      <c r="E62" s="1214">
        <f t="shared" ref="E62" si="49">+E63+E66</f>
        <v>3012582</v>
      </c>
      <c r="F62" s="1214">
        <f t="shared" si="48"/>
        <v>2030017</v>
      </c>
      <c r="G62" s="1214">
        <f t="shared" si="48"/>
        <v>1885382</v>
      </c>
      <c r="H62" s="1214">
        <f t="shared" si="48"/>
        <v>1885382</v>
      </c>
      <c r="I62" s="1214">
        <f t="shared" si="48"/>
        <v>1855719</v>
      </c>
      <c r="J62" s="1214">
        <f t="shared" si="48"/>
        <v>886134</v>
      </c>
      <c r="K62" s="1214">
        <f t="shared" si="48"/>
        <v>886135</v>
      </c>
      <c r="L62" s="1214">
        <f>+L63+L66</f>
        <v>0</v>
      </c>
      <c r="M62" s="1171">
        <f>+M63+M66</f>
        <v>7398752</v>
      </c>
      <c r="N62" s="3607"/>
      <c r="O62" s="2817"/>
    </row>
    <row r="63" spans="1:15" ht="12" customHeight="1">
      <c r="A63" s="3629"/>
      <c r="B63" s="1588" t="s">
        <v>22</v>
      </c>
      <c r="C63" s="3631" t="s">
        <v>110</v>
      </c>
      <c r="D63" s="1412">
        <f t="shared" ref="D63:K63" si="50">+D64+D65</f>
        <v>1955780</v>
      </c>
      <c r="E63" s="1412">
        <f t="shared" ref="E63" si="51">+E64+E65</f>
        <v>473578</v>
      </c>
      <c r="F63" s="1412">
        <f t="shared" si="50"/>
        <v>319119</v>
      </c>
      <c r="G63" s="1412">
        <f t="shared" si="50"/>
        <v>296382</v>
      </c>
      <c r="H63" s="1412">
        <f t="shared" si="50"/>
        <v>296382</v>
      </c>
      <c r="I63" s="1412">
        <f t="shared" si="50"/>
        <v>291719</v>
      </c>
      <c r="J63" s="1412">
        <f t="shared" si="50"/>
        <v>139300</v>
      </c>
      <c r="K63" s="1412">
        <f t="shared" si="50"/>
        <v>139300</v>
      </c>
      <c r="L63" s="1412">
        <f>+L64+L65</f>
        <v>0</v>
      </c>
      <c r="M63" s="1422">
        <f>+M64+M65</f>
        <v>1163083</v>
      </c>
      <c r="N63" s="3607"/>
      <c r="O63" s="2817"/>
    </row>
    <row r="64" spans="1:15" ht="12" customHeight="1">
      <c r="A64" s="3629"/>
      <c r="B64" s="1589" t="s">
        <v>11</v>
      </c>
      <c r="C64" s="3632"/>
      <c r="D64" s="1113">
        <f>E64+L64+F64+G64+H64+I64+J64+K64</f>
        <v>1955780</v>
      </c>
      <c r="E64" s="1147">
        <f>273708+199870</f>
        <v>473578</v>
      </c>
      <c r="F64" s="1182">
        <f>219137+40716-186+30030+29422</f>
        <v>319119</v>
      </c>
      <c r="G64" s="1182">
        <f>354390-58008</f>
        <v>296382</v>
      </c>
      <c r="H64" s="1182">
        <f>354390-58008</f>
        <v>296382</v>
      </c>
      <c r="I64" s="1182">
        <v>291719</v>
      </c>
      <c r="J64" s="1182">
        <v>139300</v>
      </c>
      <c r="K64" s="1182">
        <v>139300</v>
      </c>
      <c r="L64" s="1182">
        <v>0</v>
      </c>
      <c r="M64" s="1431">
        <f>SUM(G64:K64)</f>
        <v>1163083</v>
      </c>
      <c r="N64" s="3607"/>
      <c r="O64" s="2817"/>
    </row>
    <row r="65" spans="1:15" ht="12" customHeight="1">
      <c r="A65" s="3629"/>
      <c r="B65" s="1589" t="s">
        <v>12</v>
      </c>
      <c r="C65" s="3632"/>
      <c r="D65" s="1189"/>
      <c r="E65" s="1182"/>
      <c r="F65" s="1182"/>
      <c r="G65" s="1182"/>
      <c r="H65" s="1182"/>
      <c r="I65" s="1182"/>
      <c r="J65" s="1182"/>
      <c r="K65" s="1182"/>
      <c r="L65" s="1182"/>
      <c r="M65" s="1431">
        <f>SUM(F65:K65)</f>
        <v>0</v>
      </c>
      <c r="N65" s="3607"/>
      <c r="O65" s="2817"/>
    </row>
    <row r="66" spans="1:15" ht="12" customHeight="1">
      <c r="A66" s="3629"/>
      <c r="B66" s="1590" t="s">
        <v>17</v>
      </c>
      <c r="C66" s="3632"/>
      <c r="D66" s="1179">
        <f>+D67</f>
        <v>10485571</v>
      </c>
      <c r="E66" s="1179">
        <f t="shared" ref="E66:K66" si="52">+E67</f>
        <v>2539004</v>
      </c>
      <c r="F66" s="1179">
        <f t="shared" si="52"/>
        <v>1710898</v>
      </c>
      <c r="G66" s="1179">
        <f t="shared" si="52"/>
        <v>1589000</v>
      </c>
      <c r="H66" s="1179">
        <f t="shared" si="52"/>
        <v>1589000</v>
      </c>
      <c r="I66" s="1179">
        <f t="shared" si="52"/>
        <v>1564000</v>
      </c>
      <c r="J66" s="1179">
        <f t="shared" si="52"/>
        <v>746834</v>
      </c>
      <c r="K66" s="1179">
        <f t="shared" si="52"/>
        <v>746835</v>
      </c>
      <c r="L66" s="1179">
        <f>+L67</f>
        <v>0</v>
      </c>
      <c r="M66" s="1248">
        <f>+M67</f>
        <v>6235669</v>
      </c>
      <c r="N66" s="3607"/>
      <c r="O66" s="2817"/>
    </row>
    <row r="67" spans="1:15" ht="11.25" customHeight="1">
      <c r="A67" s="3629"/>
      <c r="B67" s="1589" t="s">
        <v>19</v>
      </c>
      <c r="C67" s="3632"/>
      <c r="D67" s="1113">
        <f>E67+L67+F67+G67+H67+I67+J67+K67</f>
        <v>10485571</v>
      </c>
      <c r="E67" s="1147">
        <f>1467433+1071571</f>
        <v>2539004</v>
      </c>
      <c r="F67" s="1182">
        <f>1174863+218294-1000+161000+157741</f>
        <v>1710898</v>
      </c>
      <c r="G67" s="1182">
        <f>1900000-311000</f>
        <v>1589000</v>
      </c>
      <c r="H67" s="1182">
        <f>1900000-311000</f>
        <v>1589000</v>
      </c>
      <c r="I67" s="1182">
        <v>1564000</v>
      </c>
      <c r="J67" s="1182">
        <v>746834</v>
      </c>
      <c r="K67" s="1182">
        <v>746835</v>
      </c>
      <c r="L67" s="1182">
        <v>0</v>
      </c>
      <c r="M67" s="1431">
        <f>SUM(G67:K67)</f>
        <v>6235669</v>
      </c>
      <c r="N67" s="3608"/>
      <c r="O67" s="2817"/>
    </row>
    <row r="68" spans="1:15">
      <c r="A68" s="3629"/>
      <c r="B68" s="1587" t="s">
        <v>20</v>
      </c>
      <c r="C68" s="1251"/>
      <c r="D68" s="1432">
        <f t="shared" ref="D68" si="53">+D69+D71</f>
        <v>10485571</v>
      </c>
      <c r="E68" s="1432">
        <f t="shared" ref="E68" si="54">+E69+E71</f>
        <v>2539004</v>
      </c>
      <c r="F68" s="1432">
        <f>+F69+F71</f>
        <v>1710898</v>
      </c>
      <c r="G68" s="1432">
        <f t="shared" ref="G68:K68" si="55">+G69+G71</f>
        <v>1589000</v>
      </c>
      <c r="H68" s="1432">
        <f t="shared" si="55"/>
        <v>1589000</v>
      </c>
      <c r="I68" s="1432">
        <f t="shared" si="55"/>
        <v>1564000</v>
      </c>
      <c r="J68" s="1432">
        <f t="shared" si="55"/>
        <v>746834</v>
      </c>
      <c r="K68" s="1432">
        <f t="shared" si="55"/>
        <v>746835</v>
      </c>
      <c r="L68" s="1432">
        <f>+L69+L71</f>
        <v>0</v>
      </c>
      <c r="M68" s="3601" t="s">
        <v>52</v>
      </c>
      <c r="N68" s="1840"/>
      <c r="O68" s="3326">
        <f>'[2]Tab. 6B Polit społ i rozwój prz'!$M$162+'[2]Tab. 6B Polit społ i rozwój prz'!$P$162-E68</f>
        <v>-1071571</v>
      </c>
    </row>
    <row r="69" spans="1:15" ht="12" customHeight="1">
      <c r="A69" s="3629"/>
      <c r="B69" s="1588" t="s">
        <v>22</v>
      </c>
      <c r="C69" s="3633" t="s">
        <v>110</v>
      </c>
      <c r="D69" s="1179">
        <f t="shared" ref="D69:K69" si="56">+D70</f>
        <v>0</v>
      </c>
      <c r="E69" s="1179">
        <f t="shared" si="56"/>
        <v>0</v>
      </c>
      <c r="F69" s="1179">
        <f t="shared" si="56"/>
        <v>0</v>
      </c>
      <c r="G69" s="1179">
        <f t="shared" si="56"/>
        <v>0</v>
      </c>
      <c r="H69" s="1179">
        <f t="shared" si="56"/>
        <v>0</v>
      </c>
      <c r="I69" s="1179">
        <f t="shared" si="56"/>
        <v>0</v>
      </c>
      <c r="J69" s="1179">
        <f t="shared" si="56"/>
        <v>0</v>
      </c>
      <c r="K69" s="1179">
        <f t="shared" si="56"/>
        <v>0</v>
      </c>
      <c r="L69" s="1179">
        <f>+L70</f>
        <v>0</v>
      </c>
      <c r="M69" s="3601"/>
      <c r="N69" s="1840"/>
      <c r="O69" s="2817"/>
    </row>
    <row r="70" spans="1:15" ht="12" customHeight="1">
      <c r="A70" s="3629"/>
      <c r="B70" s="1589" t="s">
        <v>12</v>
      </c>
      <c r="C70" s="3632"/>
      <c r="D70" s="1189"/>
      <c r="E70" s="1189">
        <v>0</v>
      </c>
      <c r="F70" s="1189"/>
      <c r="G70" s="1189"/>
      <c r="H70" s="1189"/>
      <c r="I70" s="1189"/>
      <c r="J70" s="1189"/>
      <c r="K70" s="1189"/>
      <c r="L70" s="1189"/>
      <c r="M70" s="3601"/>
      <c r="N70" s="1840"/>
      <c r="O70" s="2817"/>
    </row>
    <row r="71" spans="1:15" ht="12" customHeight="1">
      <c r="A71" s="3629"/>
      <c r="B71" s="1590" t="s">
        <v>17</v>
      </c>
      <c r="C71" s="3634"/>
      <c r="D71" s="1179">
        <f t="shared" ref="D71:K71" si="57">+D72</f>
        <v>10485571</v>
      </c>
      <c r="E71" s="1179">
        <f t="shared" si="57"/>
        <v>2539004</v>
      </c>
      <c r="F71" s="1179">
        <f t="shared" si="57"/>
        <v>1710898</v>
      </c>
      <c r="G71" s="1179">
        <f t="shared" si="57"/>
        <v>1589000</v>
      </c>
      <c r="H71" s="1179">
        <f t="shared" si="57"/>
        <v>1589000</v>
      </c>
      <c r="I71" s="1179">
        <f t="shared" si="57"/>
        <v>1564000</v>
      </c>
      <c r="J71" s="1179">
        <f t="shared" si="57"/>
        <v>746834</v>
      </c>
      <c r="K71" s="1179">
        <f t="shared" si="57"/>
        <v>746835</v>
      </c>
      <c r="L71" s="1179">
        <f>+L72</f>
        <v>0</v>
      </c>
      <c r="M71" s="3601"/>
      <c r="N71" s="2986" t="s">
        <v>430</v>
      </c>
      <c r="O71" s="2809">
        <f>F68-'[1]Tab. 6B Polit społ i rozwój prz'!$G$67</f>
        <v>157741</v>
      </c>
    </row>
    <row r="72" spans="1:15" ht="12" customHeight="1" thickBot="1">
      <c r="A72" s="3630"/>
      <c r="B72" s="1591" t="s">
        <v>19</v>
      </c>
      <c r="C72" s="3635"/>
      <c r="D72" s="1679">
        <f>E72+L72+F72+G72+H72+I72+J72+K72</f>
        <v>10485571</v>
      </c>
      <c r="E72" s="1679">
        <f>1467433+1071571</f>
        <v>2539004</v>
      </c>
      <c r="F72" s="1423">
        <f>1174863+218294-1000+161000+157741</f>
        <v>1710898</v>
      </c>
      <c r="G72" s="1423">
        <f>1900000-311000</f>
        <v>1589000</v>
      </c>
      <c r="H72" s="1423">
        <f>1900000-311000</f>
        <v>1589000</v>
      </c>
      <c r="I72" s="1423">
        <v>1564000</v>
      </c>
      <c r="J72" s="1423">
        <v>746834</v>
      </c>
      <c r="K72" s="1423">
        <v>746835</v>
      </c>
      <c r="L72" s="1423">
        <v>0</v>
      </c>
      <c r="M72" s="3548"/>
      <c r="N72" s="1841"/>
      <c r="O72" s="2817"/>
    </row>
    <row r="73" spans="1:15" ht="25.5" customHeight="1">
      <c r="A73" s="3663" t="s">
        <v>57</v>
      </c>
      <c r="B73" s="2446" t="s">
        <v>426</v>
      </c>
      <c r="C73" s="1004" t="s">
        <v>72</v>
      </c>
      <c r="D73" s="942"/>
      <c r="E73" s="2221"/>
      <c r="F73" s="2221"/>
      <c r="G73" s="2221"/>
      <c r="H73" s="2221"/>
      <c r="I73" s="2221"/>
      <c r="J73" s="2221"/>
      <c r="K73" s="34"/>
      <c r="L73" s="2221"/>
      <c r="M73" s="487"/>
      <c r="N73" s="3605" t="s">
        <v>368</v>
      </c>
      <c r="O73" s="2817"/>
    </row>
    <row r="74" spans="1:15" ht="14.25" customHeight="1">
      <c r="A74" s="3629"/>
      <c r="B74" s="1587" t="s">
        <v>9</v>
      </c>
      <c r="C74" s="1251"/>
      <c r="D74" s="1214">
        <f t="shared" ref="D74" si="58">+D75+D78</f>
        <v>31387</v>
      </c>
      <c r="E74" s="1214">
        <f t="shared" ref="E74" si="59">+E75+E78</f>
        <v>31387</v>
      </c>
      <c r="F74" s="1214"/>
      <c r="G74" s="1214"/>
      <c r="H74" s="1214"/>
      <c r="I74" s="1214"/>
      <c r="J74" s="1214"/>
      <c r="K74" s="1214"/>
      <c r="L74" s="1214">
        <f>+L75+L78</f>
        <v>0</v>
      </c>
      <c r="M74" s="1171">
        <f>+M75+M78</f>
        <v>0</v>
      </c>
      <c r="N74" s="3607"/>
      <c r="O74" s="2817"/>
    </row>
    <row r="75" spans="1:15" ht="12" customHeight="1">
      <c r="A75" s="3629"/>
      <c r="B75" s="1588" t="s">
        <v>22</v>
      </c>
      <c r="C75" s="3631" t="s">
        <v>110</v>
      </c>
      <c r="D75" s="1412">
        <f t="shared" ref="D75" si="60">+D76+D77</f>
        <v>4934</v>
      </c>
      <c r="E75" s="1412">
        <f t="shared" ref="E75" si="61">+E76+E77</f>
        <v>4934</v>
      </c>
      <c r="F75" s="1412"/>
      <c r="G75" s="1412"/>
      <c r="H75" s="1412"/>
      <c r="I75" s="1412"/>
      <c r="J75" s="1412"/>
      <c r="K75" s="1412"/>
      <c r="L75" s="1412">
        <f>+L76+L77</f>
        <v>0</v>
      </c>
      <c r="M75" s="1422">
        <f>+M76+M77</f>
        <v>0</v>
      </c>
      <c r="N75" s="3607"/>
      <c r="O75" s="2817"/>
    </row>
    <row r="76" spans="1:15" ht="12" customHeight="1">
      <c r="A76" s="3629"/>
      <c r="B76" s="1589" t="s">
        <v>11</v>
      </c>
      <c r="C76" s="3632"/>
      <c r="D76" s="1113">
        <f>E76+L76+F76+G76+H76+I76+J76+K76</f>
        <v>4934</v>
      </c>
      <c r="E76" s="1147">
        <f>2940+1994</f>
        <v>4934</v>
      </c>
      <c r="F76" s="1182"/>
      <c r="G76" s="1182"/>
      <c r="H76" s="1182"/>
      <c r="I76" s="1182"/>
      <c r="J76" s="1182"/>
      <c r="K76" s="1182"/>
      <c r="L76" s="1182">
        <v>0</v>
      </c>
      <c r="M76" s="1431">
        <f>SUM(G76:K76)</f>
        <v>0</v>
      </c>
      <c r="N76" s="3607"/>
      <c r="O76" s="2817"/>
    </row>
    <row r="77" spans="1:15" ht="12" customHeight="1">
      <c r="A77" s="3629"/>
      <c r="B77" s="1589" t="s">
        <v>12</v>
      </c>
      <c r="C77" s="3632"/>
      <c r="D77" s="1189"/>
      <c r="E77" s="1182"/>
      <c r="F77" s="1182"/>
      <c r="G77" s="1182"/>
      <c r="H77" s="1182"/>
      <c r="I77" s="1182"/>
      <c r="J77" s="1182"/>
      <c r="K77" s="1182"/>
      <c r="L77" s="1182"/>
      <c r="M77" s="1431">
        <f>SUM(F77:K77)</f>
        <v>0</v>
      </c>
      <c r="N77" s="3607"/>
      <c r="O77" s="2817"/>
    </row>
    <row r="78" spans="1:15" ht="12" customHeight="1">
      <c r="A78" s="3629"/>
      <c r="B78" s="1590" t="s">
        <v>17</v>
      </c>
      <c r="C78" s="3632"/>
      <c r="D78" s="1179">
        <f>+D79</f>
        <v>26453</v>
      </c>
      <c r="E78" s="1179">
        <f t="shared" ref="E78" si="62">+E79</f>
        <v>26453</v>
      </c>
      <c r="F78" s="1179"/>
      <c r="G78" s="1179"/>
      <c r="H78" s="1179"/>
      <c r="I78" s="1179"/>
      <c r="J78" s="1179"/>
      <c r="K78" s="1179"/>
      <c r="L78" s="1179">
        <f>+L79</f>
        <v>0</v>
      </c>
      <c r="M78" s="1248">
        <f>+M79</f>
        <v>0</v>
      </c>
      <c r="N78" s="3607"/>
      <c r="O78" s="2817"/>
    </row>
    <row r="79" spans="1:15" ht="12" customHeight="1">
      <c r="A79" s="3629"/>
      <c r="B79" s="1589" t="s">
        <v>19</v>
      </c>
      <c r="C79" s="3632"/>
      <c r="D79" s="1113">
        <f>E79+L79+F79+G79+H79+I79+J79+K79</f>
        <v>26453</v>
      </c>
      <c r="E79" s="1147">
        <f>15765+10688</f>
        <v>26453</v>
      </c>
      <c r="F79" s="1182"/>
      <c r="G79" s="1182"/>
      <c r="H79" s="1182"/>
      <c r="I79" s="1182"/>
      <c r="J79" s="1182"/>
      <c r="K79" s="1182"/>
      <c r="L79" s="1182">
        <v>0</v>
      </c>
      <c r="M79" s="1431">
        <f>SUM(G79:K79)</f>
        <v>0</v>
      </c>
      <c r="N79" s="3608"/>
      <c r="O79" s="2817"/>
    </row>
    <row r="80" spans="1:15">
      <c r="A80" s="3629"/>
      <c r="B80" s="1587" t="s">
        <v>20</v>
      </c>
      <c r="C80" s="1251"/>
      <c r="D80" s="1432">
        <f t="shared" ref="D80" si="63">+D81+D83</f>
        <v>26453</v>
      </c>
      <c r="E80" s="1432">
        <f t="shared" ref="E80" si="64">+E81+E83</f>
        <v>26453</v>
      </c>
      <c r="F80" s="1432"/>
      <c r="G80" s="1432"/>
      <c r="H80" s="1432"/>
      <c r="I80" s="1432"/>
      <c r="J80" s="1432"/>
      <c r="K80" s="1432"/>
      <c r="L80" s="1432">
        <f>+L81+L83</f>
        <v>0</v>
      </c>
      <c r="M80" s="3601" t="s">
        <v>52</v>
      </c>
      <c r="N80" s="3660" t="s">
        <v>430</v>
      </c>
      <c r="O80" s="2817"/>
    </row>
    <row r="81" spans="1:18" ht="12" customHeight="1">
      <c r="A81" s="3629"/>
      <c r="B81" s="1588" t="s">
        <v>22</v>
      </c>
      <c r="C81" s="3633" t="s">
        <v>110</v>
      </c>
      <c r="D81" s="1179">
        <f t="shared" ref="D81:E81" si="65">+D82</f>
        <v>0</v>
      </c>
      <c r="E81" s="1179">
        <f t="shared" si="65"/>
        <v>0</v>
      </c>
      <c r="F81" s="1179"/>
      <c r="G81" s="1179"/>
      <c r="H81" s="1179"/>
      <c r="I81" s="1179"/>
      <c r="J81" s="1179"/>
      <c r="K81" s="1179"/>
      <c r="L81" s="1179"/>
      <c r="M81" s="3601"/>
      <c r="N81" s="3661"/>
      <c r="O81" s="2817"/>
    </row>
    <row r="82" spans="1:18" ht="12" customHeight="1">
      <c r="A82" s="3629"/>
      <c r="B82" s="1589" t="s">
        <v>12</v>
      </c>
      <c r="C82" s="3632"/>
      <c r="D82" s="1189"/>
      <c r="E82" s="1189">
        <v>0</v>
      </c>
      <c r="F82" s="1189"/>
      <c r="G82" s="1189"/>
      <c r="H82" s="1189"/>
      <c r="I82" s="1189"/>
      <c r="J82" s="1189"/>
      <c r="K82" s="1189"/>
      <c r="L82" s="1189"/>
      <c r="M82" s="3601"/>
      <c r="N82" s="3661"/>
      <c r="O82" s="2817"/>
    </row>
    <row r="83" spans="1:18" ht="12" customHeight="1">
      <c r="A83" s="3629"/>
      <c r="B83" s="1590" t="s">
        <v>17</v>
      </c>
      <c r="C83" s="3634"/>
      <c r="D83" s="1179">
        <f t="shared" ref="D83:E83" si="66">+D84</f>
        <v>26453</v>
      </c>
      <c r="E83" s="1179">
        <f t="shared" si="66"/>
        <v>26453</v>
      </c>
      <c r="F83" s="1179"/>
      <c r="G83" s="1179"/>
      <c r="H83" s="1179"/>
      <c r="I83" s="1179"/>
      <c r="J83" s="1179"/>
      <c r="K83" s="1179"/>
      <c r="L83" s="1179">
        <f>+L84</f>
        <v>0</v>
      </c>
      <c r="M83" s="3674"/>
      <c r="N83" s="3661"/>
      <c r="O83" s="2817"/>
    </row>
    <row r="84" spans="1:18" ht="12" customHeight="1" thickBot="1">
      <c r="A84" s="3630"/>
      <c r="B84" s="1256" t="s">
        <v>19</v>
      </c>
      <c r="C84" s="3635"/>
      <c r="D84" s="1405">
        <f>E84+L84+F84+G84+H84+I84+J84+K84</f>
        <v>26453</v>
      </c>
      <c r="E84" s="1405">
        <f>15765+10688</f>
        <v>26453</v>
      </c>
      <c r="F84" s="1423"/>
      <c r="G84" s="1423"/>
      <c r="H84" s="1423"/>
      <c r="I84" s="1423"/>
      <c r="J84" s="1423"/>
      <c r="K84" s="1423"/>
      <c r="L84" s="1423">
        <v>0</v>
      </c>
      <c r="M84" s="3675"/>
      <c r="N84" s="3662"/>
      <c r="O84" s="2817"/>
    </row>
    <row r="85" spans="1:18" ht="18" customHeight="1">
      <c r="A85" s="3663" t="s">
        <v>58</v>
      </c>
      <c r="B85" s="2446" t="s">
        <v>251</v>
      </c>
      <c r="C85" s="1004" t="s">
        <v>99</v>
      </c>
      <c r="D85" s="942"/>
      <c r="E85" s="2221"/>
      <c r="F85" s="2221"/>
      <c r="G85" s="2221"/>
      <c r="H85" s="2221"/>
      <c r="I85" s="2221"/>
      <c r="J85" s="2221"/>
      <c r="K85" s="34"/>
      <c r="L85" s="2221"/>
      <c r="M85" s="2673"/>
      <c r="N85" s="3605" t="s">
        <v>429</v>
      </c>
      <c r="O85" s="2817"/>
      <c r="R85" s="2815"/>
    </row>
    <row r="86" spans="1:18" ht="12" customHeight="1">
      <c r="A86" s="3629"/>
      <c r="B86" s="1587" t="s">
        <v>9</v>
      </c>
      <c r="C86" s="1251"/>
      <c r="D86" s="1214">
        <f>+D87+D90</f>
        <v>75113491</v>
      </c>
      <c r="E86" s="1214">
        <f t="shared" ref="E86" si="67">+E87+E90</f>
        <v>18142963</v>
      </c>
      <c r="F86" s="1214">
        <f t="shared" ref="F86:M86" si="68">+F87+F90</f>
        <v>10487875</v>
      </c>
      <c r="G86" s="1214">
        <f t="shared" si="68"/>
        <v>10594275</v>
      </c>
      <c r="H86" s="1214">
        <f t="shared" si="68"/>
        <v>9701275</v>
      </c>
      <c r="I86" s="1214">
        <f t="shared" si="68"/>
        <v>9597275</v>
      </c>
      <c r="J86" s="1214">
        <f t="shared" si="68"/>
        <v>8877275</v>
      </c>
      <c r="K86" s="1214">
        <f t="shared" si="68"/>
        <v>7712553</v>
      </c>
      <c r="L86" s="1214">
        <f>+L87+L90</f>
        <v>0</v>
      </c>
      <c r="M86" s="2156">
        <f t="shared" si="68"/>
        <v>46482653</v>
      </c>
      <c r="N86" s="3607"/>
      <c r="O86" s="2809"/>
      <c r="P86" s="2808"/>
      <c r="Q86" s="2808"/>
      <c r="R86" s="2808"/>
    </row>
    <row r="87" spans="1:18" ht="14.25" customHeight="1">
      <c r="A87" s="3629"/>
      <c r="B87" s="1588" t="s">
        <v>22</v>
      </c>
      <c r="C87" s="3631" t="s">
        <v>110</v>
      </c>
      <c r="D87" s="1412">
        <f t="shared" ref="D87" si="69">+D88+D89</f>
        <v>11267023</v>
      </c>
      <c r="E87" s="1412">
        <f t="shared" ref="E87" si="70">+E88+E89</f>
        <v>2721444</v>
      </c>
      <c r="F87" s="1412">
        <f t="shared" ref="F87:M87" si="71">+F88+F89</f>
        <v>1573180</v>
      </c>
      <c r="G87" s="1412">
        <f t="shared" si="71"/>
        <v>1589141</v>
      </c>
      <c r="H87" s="1412">
        <f t="shared" si="71"/>
        <v>1455191</v>
      </c>
      <c r="I87" s="1412">
        <f t="shared" si="71"/>
        <v>1439591</v>
      </c>
      <c r="J87" s="1412">
        <f t="shared" si="71"/>
        <v>1331592</v>
      </c>
      <c r="K87" s="1412">
        <f t="shared" si="71"/>
        <v>1156884</v>
      </c>
      <c r="L87" s="1412">
        <f>+L88+L89</f>
        <v>0</v>
      </c>
      <c r="M87" s="2168">
        <f t="shared" si="71"/>
        <v>6972399</v>
      </c>
      <c r="N87" s="3607"/>
      <c r="O87" s="2817"/>
    </row>
    <row r="88" spans="1:18" ht="13.5" customHeight="1">
      <c r="A88" s="3629"/>
      <c r="B88" s="1589" t="s">
        <v>11</v>
      </c>
      <c r="C88" s="3632"/>
      <c r="D88" s="1113">
        <f>E88+L88+F88+G88+H88+I88+J88+K88</f>
        <v>11267023</v>
      </c>
      <c r="E88" s="1147">
        <f>1301102+1420342</f>
        <v>2721444</v>
      </c>
      <c r="F88" s="1134">
        <f>1467941+12137+74749+18353</f>
        <v>1573180</v>
      </c>
      <c r="G88" s="1134">
        <f>1452191+69000+67950</f>
        <v>1589141</v>
      </c>
      <c r="H88" s="1134">
        <v>1455191</v>
      </c>
      <c r="I88" s="1134">
        <v>1439591</v>
      </c>
      <c r="J88" s="1134">
        <v>1331592</v>
      </c>
      <c r="K88" s="1134">
        <f>1299583-74749-67950</f>
        <v>1156884</v>
      </c>
      <c r="L88" s="1134"/>
      <c r="M88" s="1431">
        <f>SUM(G88:K88)</f>
        <v>6972399</v>
      </c>
      <c r="N88" s="3607"/>
      <c r="O88" s="2809">
        <f>+M88-D88</f>
        <v>-4294624</v>
      </c>
    </row>
    <row r="89" spans="1:18" ht="13.5" customHeight="1" thickBot="1">
      <c r="A89" s="3678"/>
      <c r="B89" s="1589" t="s">
        <v>12</v>
      </c>
      <c r="C89" s="3632"/>
      <c r="D89" s="1113">
        <f>E89+L89+F89+G89+H89+I89+J89+K89</f>
        <v>0</v>
      </c>
      <c r="E89" s="1182">
        <v>0</v>
      </c>
      <c r="F89" s="1182"/>
      <c r="G89" s="1182"/>
      <c r="H89" s="1182"/>
      <c r="I89" s="1182"/>
      <c r="J89" s="1182"/>
      <c r="K89" s="1182"/>
      <c r="L89" s="1182"/>
      <c r="M89" s="2169">
        <f>SUM(F89:K89)</f>
        <v>0</v>
      </c>
      <c r="N89" s="3604"/>
      <c r="O89" s="2817"/>
    </row>
    <row r="90" spans="1:18" ht="13.5" customHeight="1" thickBot="1">
      <c r="A90" s="3667"/>
      <c r="B90" s="1590" t="s">
        <v>17</v>
      </c>
      <c r="C90" s="3632"/>
      <c r="D90" s="1179">
        <f>+D91</f>
        <v>63846468</v>
      </c>
      <c r="E90" s="1179">
        <f t="shared" ref="E90:M90" si="72">+E91</f>
        <v>15421519</v>
      </c>
      <c r="F90" s="1179">
        <f t="shared" si="72"/>
        <v>8914695</v>
      </c>
      <c r="G90" s="1179">
        <f t="shared" si="72"/>
        <v>9005134</v>
      </c>
      <c r="H90" s="1179">
        <f t="shared" si="72"/>
        <v>8246084</v>
      </c>
      <c r="I90" s="1179">
        <f t="shared" si="72"/>
        <v>8157684</v>
      </c>
      <c r="J90" s="1179">
        <f t="shared" si="72"/>
        <v>7545683</v>
      </c>
      <c r="K90" s="1179">
        <f t="shared" si="72"/>
        <v>6555669</v>
      </c>
      <c r="L90" s="1179">
        <f>+L91</f>
        <v>0</v>
      </c>
      <c r="M90" s="2170">
        <f t="shared" si="72"/>
        <v>39510254</v>
      </c>
      <c r="N90" s="3621"/>
      <c r="O90" s="2809">
        <f>+M90-D90</f>
        <v>-24336214</v>
      </c>
    </row>
    <row r="91" spans="1:18" ht="13.5" customHeight="1">
      <c r="A91" s="3667"/>
      <c r="B91" s="1589" t="s">
        <v>19</v>
      </c>
      <c r="C91" s="3632"/>
      <c r="D91" s="1113">
        <f>E91+L91+F91+G91+H91+I91+J91+K91</f>
        <v>63846468</v>
      </c>
      <c r="E91" s="1147">
        <f>7372915+8048604</f>
        <v>15421519</v>
      </c>
      <c r="F91" s="1605">
        <f>8318334+68767+423581+104013</f>
        <v>8914695</v>
      </c>
      <c r="G91" s="1605">
        <f>8229084+391000+385050</f>
        <v>9005134</v>
      </c>
      <c r="H91" s="1605">
        <v>8246084</v>
      </c>
      <c r="I91" s="1605">
        <v>8157684</v>
      </c>
      <c r="J91" s="1605">
        <v>7545683</v>
      </c>
      <c r="K91" s="1605">
        <f>7364300-423581-385050</f>
        <v>6555669</v>
      </c>
      <c r="L91" s="2816"/>
      <c r="M91" s="1431">
        <f>SUM(G91:K91)</f>
        <v>39510254</v>
      </c>
      <c r="N91" s="3606"/>
      <c r="O91" s="2817"/>
    </row>
    <row r="92" spans="1:18" s="2807" customFormat="1" ht="13.5" customHeight="1">
      <c r="A92" s="3667"/>
      <c r="B92" s="1587" t="s">
        <v>20</v>
      </c>
      <c r="C92" s="1251"/>
      <c r="D92" s="1220">
        <f t="shared" ref="D92" si="73">+D93+D95</f>
        <v>63846468</v>
      </c>
      <c r="E92" s="1220">
        <f t="shared" ref="E92" si="74">+E93+E95</f>
        <v>15421519</v>
      </c>
      <c r="F92" s="1220">
        <f t="shared" ref="F92:K92" si="75">+F93+F95</f>
        <v>8914695</v>
      </c>
      <c r="G92" s="1220">
        <f t="shared" si="75"/>
        <v>9005134</v>
      </c>
      <c r="H92" s="1220">
        <f t="shared" si="75"/>
        <v>8246084</v>
      </c>
      <c r="I92" s="1220">
        <f t="shared" si="75"/>
        <v>8157684</v>
      </c>
      <c r="J92" s="1220">
        <f t="shared" si="75"/>
        <v>7545683</v>
      </c>
      <c r="K92" s="1220">
        <f t="shared" si="75"/>
        <v>6555669</v>
      </c>
      <c r="L92" s="1220">
        <f>+L93+L95</f>
        <v>0</v>
      </c>
      <c r="M92" s="3674" t="s">
        <v>52</v>
      </c>
      <c r="N92" s="3660" t="s">
        <v>267</v>
      </c>
      <c r="O92" s="3325">
        <f>F92-'[1]Tab. 6B Polit społ i rozwój prz'!$G$91</f>
        <v>104013</v>
      </c>
    </row>
    <row r="93" spans="1:18" ht="11.25" customHeight="1" thickBot="1">
      <c r="A93" s="3666"/>
      <c r="B93" s="1588" t="s">
        <v>22</v>
      </c>
      <c r="C93" s="3602" t="s">
        <v>201</v>
      </c>
      <c r="D93" s="1179">
        <f t="shared" ref="D93:K93" si="76">+D94</f>
        <v>0</v>
      </c>
      <c r="E93" s="1179">
        <f t="shared" si="76"/>
        <v>0</v>
      </c>
      <c r="F93" s="1179">
        <f t="shared" si="76"/>
        <v>0</v>
      </c>
      <c r="G93" s="1179">
        <f t="shared" si="76"/>
        <v>0</v>
      </c>
      <c r="H93" s="1179">
        <f t="shared" si="76"/>
        <v>0</v>
      </c>
      <c r="I93" s="1179">
        <f t="shared" si="76"/>
        <v>0</v>
      </c>
      <c r="J93" s="1179">
        <f t="shared" si="76"/>
        <v>0</v>
      </c>
      <c r="K93" s="1179">
        <f t="shared" si="76"/>
        <v>0</v>
      </c>
      <c r="L93" s="1179">
        <f>+L94</f>
        <v>0</v>
      </c>
      <c r="M93" s="3674"/>
      <c r="N93" s="3661"/>
      <c r="O93" s="2817"/>
    </row>
    <row r="94" spans="1:18" ht="11.25" customHeight="1" thickBot="1">
      <c r="A94" s="3664"/>
      <c r="B94" s="1589" t="s">
        <v>12</v>
      </c>
      <c r="C94" s="3602"/>
      <c r="D94" s="1113">
        <f>E94+L94+F94+G94+H94+I94+J94+K94</f>
        <v>0</v>
      </c>
      <c r="E94" s="1189"/>
      <c r="F94" s="1189"/>
      <c r="G94" s="1189"/>
      <c r="H94" s="1189"/>
      <c r="I94" s="1189"/>
      <c r="J94" s="1189"/>
      <c r="K94" s="1189"/>
      <c r="L94" s="1189"/>
      <c r="M94" s="3674"/>
      <c r="N94" s="3661"/>
      <c r="O94" s="2817"/>
    </row>
    <row r="95" spans="1:18" ht="13.5" customHeight="1" thickBot="1">
      <c r="A95" s="3664"/>
      <c r="B95" s="1590" t="s">
        <v>17</v>
      </c>
      <c r="C95" s="3602"/>
      <c r="D95" s="1179">
        <f t="shared" ref="D95:K95" si="77">+D96</f>
        <v>63846468</v>
      </c>
      <c r="E95" s="1179">
        <f t="shared" si="77"/>
        <v>15421519</v>
      </c>
      <c r="F95" s="1179">
        <f t="shared" si="77"/>
        <v>8914695</v>
      </c>
      <c r="G95" s="1179">
        <f t="shared" si="77"/>
        <v>9005134</v>
      </c>
      <c r="H95" s="1179">
        <f t="shared" si="77"/>
        <v>8246084</v>
      </c>
      <c r="I95" s="1179">
        <f t="shared" si="77"/>
        <v>8157684</v>
      </c>
      <c r="J95" s="1179">
        <f t="shared" si="77"/>
        <v>7545683</v>
      </c>
      <c r="K95" s="1179">
        <f t="shared" si="77"/>
        <v>6555669</v>
      </c>
      <c r="L95" s="1179">
        <f>+L96</f>
        <v>0</v>
      </c>
      <c r="M95" s="3674"/>
      <c r="N95" s="3661"/>
      <c r="O95" s="2817"/>
    </row>
    <row r="96" spans="1:18" ht="15" customHeight="1" thickBot="1">
      <c r="A96" s="3664"/>
      <c r="B96" s="1733" t="s">
        <v>19</v>
      </c>
      <c r="C96" s="3603"/>
      <c r="D96" s="1405">
        <f>E96+L96+F96+G96+H96+I96+J96+K96</f>
        <v>63846468</v>
      </c>
      <c r="E96" s="1405">
        <f>7372915+8048604</f>
        <v>15421519</v>
      </c>
      <c r="F96" s="1377">
        <f>8318334+68767+423581+104013</f>
        <v>8914695</v>
      </c>
      <c r="G96" s="1377">
        <f>8229084+391000+385050</f>
        <v>9005134</v>
      </c>
      <c r="H96" s="1377">
        <v>8246084</v>
      </c>
      <c r="I96" s="1377">
        <v>8157684</v>
      </c>
      <c r="J96" s="1377">
        <v>7545683</v>
      </c>
      <c r="K96" s="1377">
        <f>7364300-423581-385050</f>
        <v>6555669</v>
      </c>
      <c r="L96" s="1377"/>
      <c r="M96" s="3675"/>
      <c r="N96" s="3662"/>
      <c r="O96" s="2817"/>
    </row>
    <row r="97" spans="1:15" ht="24" customHeight="1" thickBot="1">
      <c r="A97" s="3664" t="s">
        <v>105</v>
      </c>
      <c r="B97" s="1592" t="s">
        <v>284</v>
      </c>
      <c r="C97" s="1593" t="s">
        <v>72</v>
      </c>
      <c r="D97" s="942"/>
      <c r="E97" s="2221"/>
      <c r="F97" s="2221"/>
      <c r="G97" s="2221"/>
      <c r="H97" s="2221"/>
      <c r="I97" s="2221"/>
      <c r="J97" s="2221"/>
      <c r="K97" s="34"/>
      <c r="L97" s="2221"/>
      <c r="M97" s="2054"/>
      <c r="N97" s="3604" t="s">
        <v>429</v>
      </c>
      <c r="O97" s="2817"/>
    </row>
    <row r="98" spans="1:15">
      <c r="A98" s="3665"/>
      <c r="B98" s="1587" t="s">
        <v>9</v>
      </c>
      <c r="C98" s="1251"/>
      <c r="D98" s="1214">
        <f t="shared" ref="D98:M98" si="78">+D99+D102</f>
        <v>65574</v>
      </c>
      <c r="E98" s="1214">
        <f t="shared" ref="E98" si="79">+E99+E102</f>
        <v>65574</v>
      </c>
      <c r="F98" s="1214">
        <f t="shared" si="78"/>
        <v>0</v>
      </c>
      <c r="G98" s="1214">
        <f t="shared" si="78"/>
        <v>0</v>
      </c>
      <c r="H98" s="1214">
        <f t="shared" si="78"/>
        <v>0</v>
      </c>
      <c r="I98" s="1214">
        <f t="shared" si="78"/>
        <v>0</v>
      </c>
      <c r="J98" s="1214">
        <f t="shared" si="78"/>
        <v>0</v>
      </c>
      <c r="K98" s="1214">
        <f t="shared" si="78"/>
        <v>0</v>
      </c>
      <c r="L98" s="1214">
        <f>+L99+L102</f>
        <v>0</v>
      </c>
      <c r="M98" s="2180">
        <f t="shared" si="78"/>
        <v>0</v>
      </c>
      <c r="N98" s="3605"/>
      <c r="O98" s="2817"/>
    </row>
    <row r="99" spans="1:15" ht="13.5" thickBot="1">
      <c r="A99" s="3666"/>
      <c r="B99" s="1588" t="s">
        <v>22</v>
      </c>
      <c r="C99" s="3631" t="s">
        <v>110</v>
      </c>
      <c r="D99" s="1412">
        <f t="shared" ref="D99:M99" si="80">+D100+D101</f>
        <v>9836</v>
      </c>
      <c r="E99" s="1412">
        <f t="shared" ref="E99" si="81">+E100+E101</f>
        <v>9836</v>
      </c>
      <c r="F99" s="1412">
        <f t="shared" si="80"/>
        <v>0</v>
      </c>
      <c r="G99" s="1412">
        <f t="shared" si="80"/>
        <v>0</v>
      </c>
      <c r="H99" s="1412">
        <f t="shared" si="80"/>
        <v>0</v>
      </c>
      <c r="I99" s="1412">
        <f t="shared" si="80"/>
        <v>0</v>
      </c>
      <c r="J99" s="1412">
        <f t="shared" si="80"/>
        <v>0</v>
      </c>
      <c r="K99" s="1412">
        <f t="shared" si="80"/>
        <v>0</v>
      </c>
      <c r="L99" s="1412">
        <f>+L100+L101</f>
        <v>0</v>
      </c>
      <c r="M99" s="2181">
        <f t="shared" si="80"/>
        <v>0</v>
      </c>
      <c r="N99" s="3604"/>
      <c r="O99" s="2817"/>
    </row>
    <row r="100" spans="1:15" ht="13.5" thickBot="1">
      <c r="A100" s="3664"/>
      <c r="B100" s="1589" t="s">
        <v>11</v>
      </c>
      <c r="C100" s="3668"/>
      <c r="D100" s="1147">
        <f>E100+L100+F100+G100+H100+I100+J100+K100</f>
        <v>9836</v>
      </c>
      <c r="E100" s="1147">
        <f>1087+8749</f>
        <v>9836</v>
      </c>
      <c r="F100" s="1134"/>
      <c r="G100" s="1134"/>
      <c r="H100" s="1134"/>
      <c r="I100" s="1134"/>
      <c r="J100" s="1134"/>
      <c r="K100" s="1134"/>
      <c r="L100" s="1134"/>
      <c r="M100" s="1431">
        <f>SUM(G100:K100)</f>
        <v>0</v>
      </c>
      <c r="N100" s="3606"/>
      <c r="O100" s="2817"/>
    </row>
    <row r="101" spans="1:15" ht="12.75" hidden="1" customHeight="1" thickBot="1">
      <c r="A101" s="3664"/>
      <c r="B101" s="2121" t="s">
        <v>12</v>
      </c>
      <c r="C101" s="3669"/>
      <c r="D101" s="1962">
        <f>E101+L101+F101+G101+H101+I101+J101+K101</f>
        <v>0</v>
      </c>
      <c r="E101" s="46">
        <v>0</v>
      </c>
      <c r="F101" s="46"/>
      <c r="G101" s="46"/>
      <c r="H101" s="46"/>
      <c r="I101" s="46"/>
      <c r="J101" s="46"/>
      <c r="K101" s="46"/>
      <c r="L101" s="46"/>
      <c r="M101" s="2130">
        <f>SUM(F101:K101)</f>
        <v>0</v>
      </c>
      <c r="N101" s="3604"/>
      <c r="O101" s="2817"/>
    </row>
    <row r="102" spans="1:15">
      <c r="A102" s="3667"/>
      <c r="B102" s="1590" t="s">
        <v>17</v>
      </c>
      <c r="C102" s="3670"/>
      <c r="D102" s="1179">
        <f>+D103</f>
        <v>55738</v>
      </c>
      <c r="E102" s="1179">
        <f t="shared" ref="E102:M102" si="82">+E103</f>
        <v>55738</v>
      </c>
      <c r="F102" s="1179">
        <f t="shared" si="82"/>
        <v>0</v>
      </c>
      <c r="G102" s="1179">
        <f t="shared" si="82"/>
        <v>0</v>
      </c>
      <c r="H102" s="1179">
        <f t="shared" si="82"/>
        <v>0</v>
      </c>
      <c r="I102" s="1179">
        <f t="shared" si="82"/>
        <v>0</v>
      </c>
      <c r="J102" s="1179">
        <f t="shared" si="82"/>
        <v>0</v>
      </c>
      <c r="K102" s="1179">
        <f t="shared" si="82"/>
        <v>0</v>
      </c>
      <c r="L102" s="1179">
        <f>+L103</f>
        <v>0</v>
      </c>
      <c r="M102" s="1248">
        <f t="shared" si="82"/>
        <v>0</v>
      </c>
      <c r="N102" s="3607"/>
      <c r="O102" s="2817"/>
    </row>
    <row r="103" spans="1:15">
      <c r="A103" s="3477"/>
      <c r="B103" s="1589" t="s">
        <v>19</v>
      </c>
      <c r="C103" s="3671"/>
      <c r="D103" s="1152">
        <f>E103+L103+F103+G103+H103+I103+J103+K103</f>
        <v>55738</v>
      </c>
      <c r="E103" s="1152">
        <f>6163+49575</f>
        <v>55738</v>
      </c>
      <c r="F103" s="1605"/>
      <c r="G103" s="1605"/>
      <c r="H103" s="1605"/>
      <c r="I103" s="1605"/>
      <c r="J103" s="1605"/>
      <c r="K103" s="1605"/>
      <c r="L103" s="2816"/>
      <c r="M103" s="1431">
        <f>SUM(G103:K103)</f>
        <v>0</v>
      </c>
      <c r="N103" s="3608"/>
      <c r="O103" s="2817"/>
    </row>
    <row r="104" spans="1:15" ht="13.5" thickBot="1">
      <c r="A104" s="3477"/>
      <c r="B104" s="2105" t="s">
        <v>20</v>
      </c>
      <c r="C104" s="1251"/>
      <c r="D104" s="1220">
        <f t="shared" ref="D104" si="83">+D105+D107</f>
        <v>55738</v>
      </c>
      <c r="E104" s="1220">
        <f t="shared" ref="E104" si="84">+E105+E107</f>
        <v>55738</v>
      </c>
      <c r="F104" s="1220">
        <f t="shared" ref="F104:K104" si="85">+F105+F107</f>
        <v>0</v>
      </c>
      <c r="G104" s="1220">
        <f t="shared" si="85"/>
        <v>0</v>
      </c>
      <c r="H104" s="1220">
        <f t="shared" si="85"/>
        <v>0</v>
      </c>
      <c r="I104" s="1220">
        <f t="shared" si="85"/>
        <v>0</v>
      </c>
      <c r="J104" s="1220">
        <f t="shared" si="85"/>
        <v>0</v>
      </c>
      <c r="K104" s="1220">
        <f t="shared" si="85"/>
        <v>0</v>
      </c>
      <c r="L104" s="1220">
        <f>+L105+L107</f>
        <v>0</v>
      </c>
      <c r="M104" s="3672" t="s">
        <v>52</v>
      </c>
      <c r="N104" s="3660" t="s">
        <v>267</v>
      </c>
      <c r="O104" s="2817"/>
    </row>
    <row r="105" spans="1:15" ht="12.75" hidden="1" customHeight="1">
      <c r="A105" s="3477"/>
      <c r="B105" s="2152" t="s">
        <v>22</v>
      </c>
      <c r="C105" s="3676" t="s">
        <v>201</v>
      </c>
      <c r="D105" s="2090">
        <f t="shared" ref="D105:K105" si="86">+D106</f>
        <v>0</v>
      </c>
      <c r="E105" s="2090">
        <f t="shared" si="86"/>
        <v>0</v>
      </c>
      <c r="F105" s="2090">
        <f t="shared" si="86"/>
        <v>0</v>
      </c>
      <c r="G105" s="2090">
        <f t="shared" si="86"/>
        <v>0</v>
      </c>
      <c r="H105" s="2090">
        <f t="shared" si="86"/>
        <v>0</v>
      </c>
      <c r="I105" s="2090">
        <f t="shared" si="86"/>
        <v>0</v>
      </c>
      <c r="J105" s="2090">
        <f t="shared" si="86"/>
        <v>0</v>
      </c>
      <c r="K105" s="2090">
        <f t="shared" si="86"/>
        <v>0</v>
      </c>
      <c r="L105" s="2090">
        <f>+L106</f>
        <v>0</v>
      </c>
      <c r="M105" s="3672"/>
      <c r="N105" s="3661"/>
      <c r="O105" s="2817"/>
    </row>
    <row r="106" spans="1:15" ht="12.75" hidden="1" customHeight="1" thickBot="1">
      <c r="A106" s="3666"/>
      <c r="B106" s="2142" t="s">
        <v>12</v>
      </c>
      <c r="C106" s="3677"/>
      <c r="D106" s="759">
        <f>E106+L106+F106+G106+H106+I106+J106+K106</f>
        <v>0</v>
      </c>
      <c r="E106" s="2143"/>
      <c r="F106" s="2143"/>
      <c r="G106" s="2143"/>
      <c r="H106" s="2143"/>
      <c r="I106" s="2143"/>
      <c r="J106" s="2143"/>
      <c r="K106" s="2143"/>
      <c r="L106" s="2143"/>
      <c r="M106" s="3673"/>
      <c r="N106" s="3661"/>
      <c r="O106" s="2817"/>
    </row>
    <row r="107" spans="1:15" ht="13.5" thickBot="1">
      <c r="A107" s="3664"/>
      <c r="B107" s="1590" t="s">
        <v>17</v>
      </c>
      <c r="C107" s="3602"/>
      <c r="D107" s="1179">
        <f t="shared" ref="D107:K107" si="87">+D108</f>
        <v>55738</v>
      </c>
      <c r="E107" s="1179">
        <f t="shared" si="87"/>
        <v>55738</v>
      </c>
      <c r="F107" s="1179">
        <f t="shared" si="87"/>
        <v>0</v>
      </c>
      <c r="G107" s="1179">
        <f t="shared" si="87"/>
        <v>0</v>
      </c>
      <c r="H107" s="1179">
        <f t="shared" si="87"/>
        <v>0</v>
      </c>
      <c r="I107" s="1179">
        <f t="shared" si="87"/>
        <v>0</v>
      </c>
      <c r="J107" s="1179">
        <f t="shared" si="87"/>
        <v>0</v>
      </c>
      <c r="K107" s="1179">
        <f t="shared" si="87"/>
        <v>0</v>
      </c>
      <c r="L107" s="1179">
        <f>+L108</f>
        <v>0</v>
      </c>
      <c r="M107" s="3674"/>
      <c r="N107" s="3661"/>
      <c r="O107" s="2817"/>
    </row>
    <row r="108" spans="1:15" ht="13.5" thickBot="1">
      <c r="A108" s="3664"/>
      <c r="B108" s="1733" t="s">
        <v>19</v>
      </c>
      <c r="C108" s="3603"/>
      <c r="D108" s="1405">
        <f>E108+L108+F108+G108+H108+I108+J108+K108</f>
        <v>55738</v>
      </c>
      <c r="E108" s="1679">
        <f>6163+49575</f>
        <v>55738</v>
      </c>
      <c r="F108" s="1377"/>
      <c r="G108" s="1377"/>
      <c r="H108" s="1377"/>
      <c r="I108" s="1377"/>
      <c r="J108" s="1377"/>
      <c r="K108" s="1377"/>
      <c r="L108" s="1377"/>
      <c r="M108" s="3675"/>
      <c r="N108" s="3662"/>
      <c r="O108" s="2817"/>
    </row>
    <row r="109" spans="1:15" s="2810" customFormat="1" ht="24.75" thickBot="1">
      <c r="A109" s="3664" t="s">
        <v>78</v>
      </c>
      <c r="B109" s="1592" t="s">
        <v>556</v>
      </c>
      <c r="C109" s="1593" t="s">
        <v>99</v>
      </c>
      <c r="D109" s="942"/>
      <c r="E109" s="942"/>
      <c r="F109" s="942"/>
      <c r="G109" s="942"/>
      <c r="H109" s="942"/>
      <c r="I109" s="942"/>
      <c r="J109" s="942"/>
      <c r="K109" s="942"/>
      <c r="L109" s="942"/>
      <c r="M109" s="942"/>
      <c r="N109" s="3621" t="s">
        <v>429</v>
      </c>
      <c r="O109" s="2817"/>
    </row>
    <row r="110" spans="1:15" s="2810" customFormat="1" ht="13.5" thickBot="1">
      <c r="A110" s="3664"/>
      <c r="B110" s="1587" t="s">
        <v>9</v>
      </c>
      <c r="C110" s="1251"/>
      <c r="D110" s="1214">
        <f t="shared" ref="D110:M110" si="88">+D111+D115</f>
        <v>13992000</v>
      </c>
      <c r="E110" s="1214">
        <f t="shared" si="88"/>
        <v>0</v>
      </c>
      <c r="F110" s="1214">
        <f t="shared" si="88"/>
        <v>1530586</v>
      </c>
      <c r="G110" s="1214">
        <f t="shared" si="88"/>
        <v>6811005</v>
      </c>
      <c r="H110" s="1214">
        <f t="shared" si="88"/>
        <v>5650409</v>
      </c>
      <c r="I110" s="1214">
        <f t="shared" si="88"/>
        <v>0</v>
      </c>
      <c r="J110" s="1214">
        <f t="shared" si="88"/>
        <v>0</v>
      </c>
      <c r="K110" s="1214">
        <f t="shared" si="88"/>
        <v>0</v>
      </c>
      <c r="L110" s="1214">
        <f>+L111+L115</f>
        <v>0</v>
      </c>
      <c r="M110" s="2156">
        <f t="shared" si="88"/>
        <v>11892400</v>
      </c>
      <c r="N110" s="3621"/>
      <c r="O110" s="2817" t="s">
        <v>469</v>
      </c>
    </row>
    <row r="111" spans="1:15" s="2810" customFormat="1" ht="12.75" customHeight="1" thickBot="1">
      <c r="A111" s="3664"/>
      <c r="B111" s="1588" t="s">
        <v>22</v>
      </c>
      <c r="C111" s="3631" t="s">
        <v>403</v>
      </c>
      <c r="D111" s="1412">
        <f>+D112+D113+D114</f>
        <v>2098800</v>
      </c>
      <c r="E111" s="1412">
        <f t="shared" ref="E111:K111" si="89">+E112+E113+E114</f>
        <v>0</v>
      </c>
      <c r="F111" s="1412">
        <f t="shared" si="89"/>
        <v>278006</v>
      </c>
      <c r="G111" s="1412">
        <f t="shared" si="89"/>
        <v>995455</v>
      </c>
      <c r="H111" s="1412">
        <f t="shared" si="89"/>
        <v>825339</v>
      </c>
      <c r="I111" s="1412">
        <f t="shared" si="89"/>
        <v>0</v>
      </c>
      <c r="J111" s="1412">
        <f t="shared" si="89"/>
        <v>0</v>
      </c>
      <c r="K111" s="1412">
        <f t="shared" si="89"/>
        <v>0</v>
      </c>
      <c r="L111" s="1412">
        <f>+L112+L113+L114</f>
        <v>0</v>
      </c>
      <c r="M111" s="2168">
        <f t="shared" ref="M111" si="90">+M112+M113</f>
        <v>1251780</v>
      </c>
      <c r="N111" s="3621"/>
      <c r="O111" s="2817"/>
    </row>
    <row r="112" spans="1:15" s="2810" customFormat="1" ht="13.5" thickBot="1">
      <c r="A112" s="3664"/>
      <c r="B112" s="1589" t="s">
        <v>11</v>
      </c>
      <c r="C112" s="3632"/>
      <c r="D112" s="1113">
        <f>E112+L112+F112+G112+H112+I112+J112+K112</f>
        <v>63600</v>
      </c>
      <c r="E112" s="1147"/>
      <c r="F112" s="1134">
        <v>63600</v>
      </c>
      <c r="G112" s="1134">
        <v>0</v>
      </c>
      <c r="H112" s="1134">
        <v>0</v>
      </c>
      <c r="I112" s="1134"/>
      <c r="J112" s="1134"/>
      <c r="K112" s="1134"/>
      <c r="L112" s="1134"/>
      <c r="M112" s="1431">
        <f>SUM(G112:K112)</f>
        <v>0</v>
      </c>
      <c r="N112" s="3621"/>
      <c r="O112" s="2817"/>
    </row>
    <row r="113" spans="1:15" s="2810" customFormat="1" ht="13.5" thickBot="1">
      <c r="A113" s="3664"/>
      <c r="B113" s="1589" t="s">
        <v>12</v>
      </c>
      <c r="C113" s="3632"/>
      <c r="D113" s="1113">
        <f>E113+L113+F113+G113+H113+I113+J113+K113</f>
        <v>1399200</v>
      </c>
      <c r="E113" s="1182">
        <v>0</v>
      </c>
      <c r="F113" s="1182">
        <v>147420</v>
      </c>
      <c r="G113" s="1182">
        <v>684450</v>
      </c>
      <c r="H113" s="1182">
        <v>567330</v>
      </c>
      <c r="I113" s="1182"/>
      <c r="J113" s="1182"/>
      <c r="K113" s="1182"/>
      <c r="L113" s="1182"/>
      <c r="M113" s="1431">
        <f>SUM(G113:K113)</f>
        <v>1251780</v>
      </c>
      <c r="N113" s="3621"/>
      <c r="O113" s="2817"/>
    </row>
    <row r="114" spans="1:15" s="2810" customFormat="1">
      <c r="A114" s="3663"/>
      <c r="B114" s="1589" t="s">
        <v>437</v>
      </c>
      <c r="C114" s="3632"/>
      <c r="D114" s="1113">
        <f>E114+L114+F114+G114+H114+I114+J114+K114</f>
        <v>636000</v>
      </c>
      <c r="E114" s="1182"/>
      <c r="F114" s="1182">
        <v>66986</v>
      </c>
      <c r="G114" s="1182">
        <v>311005</v>
      </c>
      <c r="H114" s="1182">
        <v>258009</v>
      </c>
      <c r="I114" s="1182"/>
      <c r="J114" s="1182"/>
      <c r="K114" s="1182"/>
      <c r="L114" s="1182"/>
      <c r="M114" s="2445">
        <v>0</v>
      </c>
      <c r="N114" s="3605"/>
      <c r="O114" s="2817"/>
    </row>
    <row r="115" spans="1:15" s="2810" customFormat="1">
      <c r="A115" s="3629"/>
      <c r="B115" s="1590" t="s">
        <v>17</v>
      </c>
      <c r="C115" s="3632"/>
      <c r="D115" s="1179">
        <f>+D116</f>
        <v>11893200</v>
      </c>
      <c r="E115" s="1179">
        <f t="shared" ref="E115:M115" si="91">+E116</f>
        <v>0</v>
      </c>
      <c r="F115" s="1179">
        <f t="shared" si="91"/>
        <v>1252580</v>
      </c>
      <c r="G115" s="1179">
        <f t="shared" si="91"/>
        <v>5815550</v>
      </c>
      <c r="H115" s="1179">
        <f t="shared" si="91"/>
        <v>4825070</v>
      </c>
      <c r="I115" s="1179">
        <f t="shared" si="91"/>
        <v>0</v>
      </c>
      <c r="J115" s="1179">
        <f t="shared" si="91"/>
        <v>0</v>
      </c>
      <c r="K115" s="1179">
        <f t="shared" si="91"/>
        <v>0</v>
      </c>
      <c r="L115" s="1179">
        <f>+L116</f>
        <v>0</v>
      </c>
      <c r="M115" s="2170">
        <f t="shared" si="91"/>
        <v>10640620</v>
      </c>
      <c r="N115" s="3607"/>
      <c r="O115" s="2817"/>
    </row>
    <row r="116" spans="1:15" s="2810" customFormat="1">
      <c r="A116" s="3629"/>
      <c r="B116" s="1589" t="s">
        <v>19</v>
      </c>
      <c r="C116" s="3632"/>
      <c r="D116" s="1113">
        <f>E116+L116+F116+G116+H116+I116+J116+K116</f>
        <v>11893200</v>
      </c>
      <c r="E116" s="1147"/>
      <c r="F116" s="1605">
        <v>1252580</v>
      </c>
      <c r="G116" s="1605">
        <v>5815550</v>
      </c>
      <c r="H116" s="1605">
        <v>4825070</v>
      </c>
      <c r="I116" s="1605"/>
      <c r="J116" s="1605"/>
      <c r="K116" s="1605"/>
      <c r="L116" s="2816"/>
      <c r="M116" s="1431">
        <f>SUM(G116:K116)</f>
        <v>10640620</v>
      </c>
      <c r="N116" s="3608"/>
      <c r="O116" s="2817"/>
    </row>
    <row r="117" spans="1:15" s="2810" customFormat="1">
      <c r="A117" s="3629"/>
      <c r="B117" s="1587" t="s">
        <v>20</v>
      </c>
      <c r="C117" s="1251"/>
      <c r="D117" s="1220">
        <f t="shared" ref="D117:E117" si="92">+D118+D120</f>
        <v>13292400</v>
      </c>
      <c r="E117" s="1220">
        <f t="shared" si="92"/>
        <v>0</v>
      </c>
      <c r="F117" s="1220">
        <f t="shared" ref="F117:K117" si="93">+F118+F120</f>
        <v>1400000</v>
      </c>
      <c r="G117" s="1220">
        <f t="shared" si="93"/>
        <v>6500000</v>
      </c>
      <c r="H117" s="1220">
        <f t="shared" si="93"/>
        <v>5392400</v>
      </c>
      <c r="I117" s="1220">
        <f t="shared" si="93"/>
        <v>0</v>
      </c>
      <c r="J117" s="1220">
        <f t="shared" si="93"/>
        <v>0</v>
      </c>
      <c r="K117" s="1220">
        <f t="shared" si="93"/>
        <v>0</v>
      </c>
      <c r="L117" s="1220">
        <f>+L118+L120</f>
        <v>0</v>
      </c>
      <c r="M117" s="3601" t="s">
        <v>52</v>
      </c>
      <c r="N117" s="1840"/>
      <c r="O117" s="2817"/>
    </row>
    <row r="118" spans="1:15" s="2810" customFormat="1">
      <c r="A118" s="3629"/>
      <c r="B118" s="1588" t="s">
        <v>22</v>
      </c>
      <c r="C118" s="3602" t="s">
        <v>201</v>
      </c>
      <c r="D118" s="1179">
        <f t="shared" ref="D118:K118" si="94">+D119</f>
        <v>1399200</v>
      </c>
      <c r="E118" s="1179">
        <f t="shared" si="94"/>
        <v>0</v>
      </c>
      <c r="F118" s="1179">
        <f t="shared" si="94"/>
        <v>147420</v>
      </c>
      <c r="G118" s="1179">
        <f t="shared" si="94"/>
        <v>684450</v>
      </c>
      <c r="H118" s="1179">
        <f t="shared" si="94"/>
        <v>567330</v>
      </c>
      <c r="I118" s="1179">
        <f t="shared" si="94"/>
        <v>0</v>
      </c>
      <c r="J118" s="1179">
        <f t="shared" si="94"/>
        <v>0</v>
      </c>
      <c r="K118" s="1179">
        <f t="shared" si="94"/>
        <v>0</v>
      </c>
      <c r="L118" s="1179">
        <f>+L119</f>
        <v>0</v>
      </c>
      <c r="M118" s="3601"/>
      <c r="N118" s="1840"/>
      <c r="O118" s="2817"/>
    </row>
    <row r="119" spans="1:15" s="2810" customFormat="1">
      <c r="A119" s="3629"/>
      <c r="B119" s="1589" t="s">
        <v>12</v>
      </c>
      <c r="C119" s="3602"/>
      <c r="D119" s="1113">
        <f>E119+L119+F119+G119+H119+I119+J119+K119</f>
        <v>1399200</v>
      </c>
      <c r="E119" s="1189"/>
      <c r="F119" s="1189">
        <v>147420</v>
      </c>
      <c r="G119" s="1189">
        <v>684450</v>
      </c>
      <c r="H119" s="1189">
        <v>567330</v>
      </c>
      <c r="I119" s="1189"/>
      <c r="J119" s="1189"/>
      <c r="K119" s="1189"/>
      <c r="L119" s="1189"/>
      <c r="M119" s="3601"/>
      <c r="N119" s="1840"/>
      <c r="O119" s="2817"/>
    </row>
    <row r="120" spans="1:15" s="2810" customFormat="1">
      <c r="A120" s="3629"/>
      <c r="B120" s="1590" t="s">
        <v>17</v>
      </c>
      <c r="C120" s="3602"/>
      <c r="D120" s="1179">
        <f t="shared" ref="D120:K120" si="95">+D121</f>
        <v>11893200</v>
      </c>
      <c r="E120" s="1179">
        <f t="shared" si="95"/>
        <v>0</v>
      </c>
      <c r="F120" s="1179">
        <f t="shared" si="95"/>
        <v>1252580</v>
      </c>
      <c r="G120" s="1179">
        <f t="shared" si="95"/>
        <v>5815550</v>
      </c>
      <c r="H120" s="1179">
        <f t="shared" si="95"/>
        <v>4825070</v>
      </c>
      <c r="I120" s="1179">
        <f t="shared" si="95"/>
        <v>0</v>
      </c>
      <c r="J120" s="1179">
        <f t="shared" si="95"/>
        <v>0</v>
      </c>
      <c r="K120" s="1179">
        <f t="shared" si="95"/>
        <v>0</v>
      </c>
      <c r="L120" s="1179">
        <f>+L121</f>
        <v>0</v>
      </c>
      <c r="M120" s="3601"/>
      <c r="N120" s="2986" t="s">
        <v>267</v>
      </c>
      <c r="O120" s="2817"/>
    </row>
    <row r="121" spans="1:15" s="2810" customFormat="1" ht="12.75" customHeight="1" thickBot="1">
      <c r="A121" s="3630"/>
      <c r="B121" s="1733" t="s">
        <v>19</v>
      </c>
      <c r="C121" s="3603"/>
      <c r="D121" s="1113">
        <f>E121+L121+F121+G121+H121+I121+J121+K121</f>
        <v>11893200</v>
      </c>
      <c r="E121" s="1147"/>
      <c r="F121" s="1377">
        <v>1252580</v>
      </c>
      <c r="G121" s="1377">
        <v>5815550</v>
      </c>
      <c r="H121" s="1377">
        <v>4825070</v>
      </c>
      <c r="I121" s="1377"/>
      <c r="J121" s="1377"/>
      <c r="K121" s="1377"/>
      <c r="L121" s="1377"/>
      <c r="M121" s="3548"/>
      <c r="N121" s="1841"/>
      <c r="O121" s="2817"/>
    </row>
    <row r="122" spans="1:15" ht="36" customHeight="1">
      <c r="A122" s="3636" t="s">
        <v>79</v>
      </c>
      <c r="B122" s="1003" t="s">
        <v>320</v>
      </c>
      <c r="C122" s="1004" t="s">
        <v>99</v>
      </c>
      <c r="D122" s="942"/>
      <c r="E122" s="2221"/>
      <c r="F122" s="2221"/>
      <c r="G122" s="2221"/>
      <c r="H122" s="2221"/>
      <c r="I122" s="2221"/>
      <c r="J122" s="2221"/>
      <c r="K122" s="34"/>
      <c r="L122" s="2221"/>
      <c r="M122" s="487"/>
      <c r="N122" s="3605" t="s">
        <v>265</v>
      </c>
      <c r="O122" s="2817"/>
    </row>
    <row r="123" spans="1:15">
      <c r="A123" s="3610"/>
      <c r="B123" s="1587" t="s">
        <v>9</v>
      </c>
      <c r="C123" s="1005"/>
      <c r="D123" s="1596">
        <f t="shared" ref="D123:M123" si="96">+D124+D128</f>
        <v>1698344</v>
      </c>
      <c r="E123" s="1214">
        <f t="shared" ref="E123" si="97">+E124+E128</f>
        <v>667359</v>
      </c>
      <c r="F123" s="1214">
        <f t="shared" si="96"/>
        <v>1030985</v>
      </c>
      <c r="G123" s="1214">
        <f t="shared" si="96"/>
        <v>0</v>
      </c>
      <c r="H123" s="1214">
        <f t="shared" si="96"/>
        <v>0</v>
      </c>
      <c r="I123" s="1214">
        <f t="shared" si="96"/>
        <v>0</v>
      </c>
      <c r="J123" s="1214">
        <f t="shared" si="96"/>
        <v>0</v>
      </c>
      <c r="K123" s="1214">
        <f t="shared" si="96"/>
        <v>0</v>
      </c>
      <c r="L123" s="1214">
        <f>+L124+L128</f>
        <v>0</v>
      </c>
      <c r="M123" s="1171">
        <f t="shared" si="96"/>
        <v>0</v>
      </c>
      <c r="N123" s="3607"/>
      <c r="O123" s="2817"/>
    </row>
    <row r="124" spans="1:15">
      <c r="A124" s="3610"/>
      <c r="B124" s="1588" t="s">
        <v>22</v>
      </c>
      <c r="C124" s="3613" t="s">
        <v>262</v>
      </c>
      <c r="D124" s="1412">
        <f>+D125</f>
        <v>254752</v>
      </c>
      <c r="E124" s="1412">
        <f t="shared" ref="E124:M124" si="98">+E125</f>
        <v>100104</v>
      </c>
      <c r="F124" s="1412">
        <f t="shared" si="98"/>
        <v>154648</v>
      </c>
      <c r="G124" s="1412">
        <f t="shared" si="98"/>
        <v>0</v>
      </c>
      <c r="H124" s="1412">
        <f t="shared" si="98"/>
        <v>0</v>
      </c>
      <c r="I124" s="1412">
        <f t="shared" si="98"/>
        <v>0</v>
      </c>
      <c r="J124" s="1412">
        <f t="shared" si="98"/>
        <v>0</v>
      </c>
      <c r="K124" s="1412">
        <f t="shared" si="98"/>
        <v>0</v>
      </c>
      <c r="L124" s="1412">
        <f>+L125</f>
        <v>0</v>
      </c>
      <c r="M124" s="1734">
        <f t="shared" si="98"/>
        <v>0</v>
      </c>
      <c r="N124" s="3607"/>
      <c r="O124" s="2817"/>
    </row>
    <row r="125" spans="1:15">
      <c r="A125" s="3610"/>
      <c r="B125" s="1589" t="s">
        <v>11</v>
      </c>
      <c r="C125" s="3614"/>
      <c r="D125" s="1113">
        <f>E125+L125+F125+G125+H125+I125+J125+K125</f>
        <v>254752</v>
      </c>
      <c r="E125" s="1460">
        <f t="shared" ref="E125" si="99">+E126+E127</f>
        <v>100104</v>
      </c>
      <c r="F125" s="1460">
        <f t="shared" ref="F125:K125" si="100">+F126+F127</f>
        <v>154648</v>
      </c>
      <c r="G125" s="1182">
        <f t="shared" si="100"/>
        <v>0</v>
      </c>
      <c r="H125" s="1182">
        <f t="shared" si="100"/>
        <v>0</v>
      </c>
      <c r="I125" s="1182">
        <f t="shared" si="100"/>
        <v>0</v>
      </c>
      <c r="J125" s="1182">
        <f t="shared" si="100"/>
        <v>0</v>
      </c>
      <c r="K125" s="1182">
        <f t="shared" si="100"/>
        <v>0</v>
      </c>
      <c r="L125" s="1460">
        <f>+L126+L127</f>
        <v>0</v>
      </c>
      <c r="M125" s="1431">
        <f>SUM(G125:K125)</f>
        <v>0</v>
      </c>
      <c r="N125" s="3607"/>
      <c r="O125" s="2817"/>
    </row>
    <row r="126" spans="1:15" ht="12.75" hidden="1" customHeight="1">
      <c r="A126" s="3610"/>
      <c r="B126" s="1735" t="s">
        <v>245</v>
      </c>
      <c r="C126" s="3614"/>
      <c r="D126" s="1736">
        <f>SUM(E126:K126)</f>
        <v>66119</v>
      </c>
      <c r="E126" s="1738">
        <f>31970-5265</f>
        <v>26705</v>
      </c>
      <c r="F126" s="1738">
        <f>34149+5265</f>
        <v>39414</v>
      </c>
      <c r="G126" s="1737"/>
      <c r="H126" s="1737"/>
      <c r="I126" s="1737"/>
      <c r="J126" s="1737"/>
      <c r="K126" s="1737"/>
      <c r="L126" s="1738"/>
      <c r="M126" s="1739"/>
      <c r="N126" s="3607"/>
      <c r="O126" s="2817"/>
    </row>
    <row r="127" spans="1:15" ht="12.75" hidden="1" customHeight="1">
      <c r="A127" s="3610"/>
      <c r="B127" s="1740" t="s">
        <v>260</v>
      </c>
      <c r="C127" s="3614"/>
      <c r="D127" s="1741">
        <f>SUM(E127:K127)</f>
        <v>188633</v>
      </c>
      <c r="E127" s="1743">
        <f>86239-12840</f>
        <v>73399</v>
      </c>
      <c r="F127" s="1743">
        <f>102394+12840</f>
        <v>115234</v>
      </c>
      <c r="G127" s="1742"/>
      <c r="H127" s="1742"/>
      <c r="I127" s="1742"/>
      <c r="J127" s="1742"/>
      <c r="K127" s="1742"/>
      <c r="L127" s="1743"/>
      <c r="M127" s="1739"/>
      <c r="N127" s="3607"/>
      <c r="O127" s="2817"/>
    </row>
    <row r="128" spans="1:15">
      <c r="A128" s="3610"/>
      <c r="B128" s="1588" t="s">
        <v>17</v>
      </c>
      <c r="C128" s="3614"/>
      <c r="D128" s="1179">
        <f>+D129</f>
        <v>1443592</v>
      </c>
      <c r="E128" s="1179">
        <f t="shared" ref="E128:K128" si="101">+E129</f>
        <v>567255</v>
      </c>
      <c r="F128" s="1179">
        <f t="shared" si="101"/>
        <v>876337</v>
      </c>
      <c r="G128" s="1179">
        <f t="shared" si="101"/>
        <v>0</v>
      </c>
      <c r="H128" s="1179">
        <f t="shared" si="101"/>
        <v>0</v>
      </c>
      <c r="I128" s="1179">
        <f t="shared" si="101"/>
        <v>0</v>
      </c>
      <c r="J128" s="1179">
        <f t="shared" si="101"/>
        <v>0</v>
      </c>
      <c r="K128" s="1179">
        <f t="shared" si="101"/>
        <v>0</v>
      </c>
      <c r="L128" s="1179">
        <f>+L129</f>
        <v>0</v>
      </c>
      <c r="M128" s="1433">
        <f>+M129</f>
        <v>0</v>
      </c>
      <c r="N128" s="3607"/>
      <c r="O128" s="2817"/>
    </row>
    <row r="129" spans="1:15">
      <c r="A129" s="3610"/>
      <c r="B129" s="1589" t="s">
        <v>19</v>
      </c>
      <c r="C129" s="3614"/>
      <c r="D129" s="1113">
        <f>E129+L129+F129+G129+H129+I129+J129+K129</f>
        <v>1443592</v>
      </c>
      <c r="E129" s="1182">
        <f t="shared" ref="E129" si="102">+E130+E131</f>
        <v>567255</v>
      </c>
      <c r="F129" s="1182">
        <f t="shared" ref="F129:K129" si="103">+F130+F131</f>
        <v>876337</v>
      </c>
      <c r="G129" s="1182">
        <f t="shared" si="103"/>
        <v>0</v>
      </c>
      <c r="H129" s="1182">
        <f t="shared" si="103"/>
        <v>0</v>
      </c>
      <c r="I129" s="1182">
        <f t="shared" si="103"/>
        <v>0</v>
      </c>
      <c r="J129" s="1182">
        <f t="shared" si="103"/>
        <v>0</v>
      </c>
      <c r="K129" s="1182">
        <f t="shared" si="103"/>
        <v>0</v>
      </c>
      <c r="L129" s="1182">
        <f>+L130+L131</f>
        <v>0</v>
      </c>
      <c r="M129" s="1431">
        <f>SUM(G129:K129)</f>
        <v>0</v>
      </c>
      <c r="N129" s="3608"/>
      <c r="O129" s="2817"/>
    </row>
    <row r="130" spans="1:15" ht="12.75" hidden="1" customHeight="1">
      <c r="A130" s="3610"/>
      <c r="B130" s="1735" t="s">
        <v>245</v>
      </c>
      <c r="C130" s="2983"/>
      <c r="D130" s="1736">
        <f>SUM(E130:K130)</f>
        <v>374677</v>
      </c>
      <c r="E130" s="1737">
        <f>181163-29833</f>
        <v>151330</v>
      </c>
      <c r="F130" s="1737">
        <f>193514+29833</f>
        <v>223347</v>
      </c>
      <c r="G130" s="1737"/>
      <c r="H130" s="1737"/>
      <c r="I130" s="1737"/>
      <c r="J130" s="1737"/>
      <c r="K130" s="1737"/>
      <c r="L130" s="1737"/>
      <c r="M130" s="1739"/>
      <c r="N130" s="1549"/>
      <c r="O130" s="2817"/>
    </row>
    <row r="131" spans="1:15" ht="12.75" hidden="1" customHeight="1">
      <c r="A131" s="3610"/>
      <c r="B131" s="1740" t="s">
        <v>260</v>
      </c>
      <c r="C131" s="1744"/>
      <c r="D131" s="1741">
        <f>SUM(E131:K131)</f>
        <v>1068915</v>
      </c>
      <c r="E131" s="1742">
        <f>488685-72760</f>
        <v>415925</v>
      </c>
      <c r="F131" s="1742">
        <f>580230+72760</f>
        <v>652990</v>
      </c>
      <c r="G131" s="1742"/>
      <c r="H131" s="1742"/>
      <c r="I131" s="1742"/>
      <c r="J131" s="1742"/>
      <c r="K131" s="1742"/>
      <c r="L131" s="1742"/>
      <c r="M131" s="1739"/>
      <c r="N131" s="1549"/>
      <c r="O131" s="2817"/>
    </row>
    <row r="132" spans="1:15">
      <c r="A132" s="3611"/>
      <c r="B132" s="1587" t="s">
        <v>20</v>
      </c>
      <c r="C132" s="1251"/>
      <c r="D132" s="1432">
        <f>D133</f>
        <v>1443592</v>
      </c>
      <c r="E132" s="1432">
        <f>+E133</f>
        <v>669848</v>
      </c>
      <c r="F132" s="1432">
        <f>+F133</f>
        <v>773744</v>
      </c>
      <c r="G132" s="1432">
        <f>+G133</f>
        <v>0</v>
      </c>
      <c r="H132" s="1432">
        <f>H133</f>
        <v>0</v>
      </c>
      <c r="I132" s="1432">
        <f>+I133</f>
        <v>0</v>
      </c>
      <c r="J132" s="1432">
        <f>+J133</f>
        <v>0</v>
      </c>
      <c r="K132" s="1432">
        <f>K133</f>
        <v>0</v>
      </c>
      <c r="L132" s="1432">
        <f>+L133</f>
        <v>0</v>
      </c>
      <c r="M132" s="3601" t="s">
        <v>52</v>
      </c>
      <c r="N132" s="3616" t="s">
        <v>260</v>
      </c>
      <c r="O132" s="2817"/>
    </row>
    <row r="133" spans="1:15">
      <c r="A133" s="3611"/>
      <c r="B133" s="1588" t="s">
        <v>17</v>
      </c>
      <c r="C133" s="3680" t="s">
        <v>321</v>
      </c>
      <c r="D133" s="1179">
        <f t="shared" ref="D133:K133" si="104">+D134</f>
        <v>1443592</v>
      </c>
      <c r="E133" s="1179">
        <f t="shared" si="104"/>
        <v>669848</v>
      </c>
      <c r="F133" s="1179">
        <f t="shared" si="104"/>
        <v>773744</v>
      </c>
      <c r="G133" s="1179">
        <f t="shared" si="104"/>
        <v>0</v>
      </c>
      <c r="H133" s="1179">
        <f t="shared" si="104"/>
        <v>0</v>
      </c>
      <c r="I133" s="1179">
        <f t="shared" si="104"/>
        <v>0</v>
      </c>
      <c r="J133" s="1179">
        <f t="shared" si="104"/>
        <v>0</v>
      </c>
      <c r="K133" s="1179">
        <f t="shared" si="104"/>
        <v>0</v>
      </c>
      <c r="L133" s="1179">
        <f>+L134</f>
        <v>0</v>
      </c>
      <c r="M133" s="3601"/>
      <c r="N133" s="3616"/>
      <c r="O133" s="2817"/>
    </row>
    <row r="134" spans="1:15" ht="13.5" thickBot="1">
      <c r="A134" s="3612"/>
      <c r="B134" s="1733" t="s">
        <v>19</v>
      </c>
      <c r="C134" s="3681"/>
      <c r="D134" s="1679">
        <f>E134+L134+F134+G134+H134+I134+J134+K134</f>
        <v>1443592</v>
      </c>
      <c r="E134" s="1423">
        <v>669848</v>
      </c>
      <c r="F134" s="1423">
        <v>773744</v>
      </c>
      <c r="G134" s="1423">
        <v>0</v>
      </c>
      <c r="H134" s="1423">
        <v>0</v>
      </c>
      <c r="I134" s="1423">
        <v>0</v>
      </c>
      <c r="J134" s="1423">
        <v>0</v>
      </c>
      <c r="K134" s="1423">
        <v>0</v>
      </c>
      <c r="L134" s="1423"/>
      <c r="M134" s="3548"/>
      <c r="N134" s="3617"/>
      <c r="O134" s="2817"/>
    </row>
    <row r="135" spans="1:15" ht="37.5" customHeight="1">
      <c r="A135" s="3636" t="s">
        <v>80</v>
      </c>
      <c r="B135" s="1003" t="s">
        <v>374</v>
      </c>
      <c r="C135" s="1004" t="s">
        <v>99</v>
      </c>
      <c r="D135" s="942"/>
      <c r="E135" s="2221"/>
      <c r="F135" s="2221"/>
      <c r="G135" s="2221"/>
      <c r="H135" s="2221"/>
      <c r="I135" s="2221"/>
      <c r="J135" s="2221"/>
      <c r="K135" s="34"/>
      <c r="L135" s="2221"/>
      <c r="M135" s="487"/>
      <c r="N135" s="3605" t="s">
        <v>365</v>
      </c>
      <c r="O135" s="2817"/>
    </row>
    <row r="136" spans="1:15" ht="16.149999999999999" customHeight="1">
      <c r="A136" s="3610"/>
      <c r="B136" s="1587" t="s">
        <v>9</v>
      </c>
      <c r="C136" s="1005"/>
      <c r="D136" s="1596">
        <f>+D137</f>
        <v>13580221</v>
      </c>
      <c r="E136" s="1214">
        <f t="shared" ref="E136:G136" si="105">+E137</f>
        <v>262804</v>
      </c>
      <c r="F136" s="1214">
        <f t="shared" si="105"/>
        <v>3911618</v>
      </c>
      <c r="G136" s="1214">
        <f t="shared" si="105"/>
        <v>8685436</v>
      </c>
      <c r="H136" s="1214">
        <f t="shared" ref="H136" si="106">+H137</f>
        <v>720363</v>
      </c>
      <c r="I136" s="1214">
        <f t="shared" ref="I136" si="107">+I137</f>
        <v>0</v>
      </c>
      <c r="J136" s="1214">
        <f t="shared" ref="J136" si="108">+J137</f>
        <v>0</v>
      </c>
      <c r="K136" s="1214">
        <f t="shared" ref="K136" si="109">+K137</f>
        <v>0</v>
      </c>
      <c r="L136" s="1214">
        <f>+L137</f>
        <v>0</v>
      </c>
      <c r="M136" s="1171">
        <f>+M137</f>
        <v>9405799</v>
      </c>
      <c r="N136" s="3607"/>
      <c r="O136" s="2809">
        <f>F136-'[1]Tab. 6B Polit społ i rozwój prz'!$G$122</f>
        <v>-3908082</v>
      </c>
    </row>
    <row r="137" spans="1:15" ht="15" customHeight="1">
      <c r="A137" s="3610"/>
      <c r="B137" s="1597" t="s">
        <v>17</v>
      </c>
      <c r="C137" s="3618" t="s">
        <v>325</v>
      </c>
      <c r="D137" s="1179">
        <f>+D138</f>
        <v>13580221</v>
      </c>
      <c r="E137" s="1179">
        <f>+E138</f>
        <v>262804</v>
      </c>
      <c r="F137" s="1179">
        <f t="shared" ref="F137:K137" si="110">+F138</f>
        <v>3911618</v>
      </c>
      <c r="G137" s="1179">
        <f t="shared" si="110"/>
        <v>8685436</v>
      </c>
      <c r="H137" s="1179">
        <f t="shared" si="110"/>
        <v>720363</v>
      </c>
      <c r="I137" s="1179">
        <f t="shared" si="110"/>
        <v>0</v>
      </c>
      <c r="J137" s="1179">
        <f t="shared" si="110"/>
        <v>0</v>
      </c>
      <c r="K137" s="1179">
        <f t="shared" si="110"/>
        <v>0</v>
      </c>
      <c r="L137" s="1179">
        <f>+L138</f>
        <v>0</v>
      </c>
      <c r="M137" s="1433">
        <f>+M138</f>
        <v>9405799</v>
      </c>
      <c r="N137" s="3607"/>
      <c r="O137" s="2817"/>
    </row>
    <row r="138" spans="1:15" ht="21" customHeight="1" thickBot="1">
      <c r="A138" s="3684"/>
      <c r="B138" s="2219" t="s">
        <v>19</v>
      </c>
      <c r="C138" s="3620"/>
      <c r="D138" s="1152">
        <f>E138+L138+F138+G138+H138+I138+J138+K138</f>
        <v>13580221</v>
      </c>
      <c r="E138" s="1182">
        <f>+E139+E140+E141+E142+E143</f>
        <v>262804</v>
      </c>
      <c r="F138" s="1182">
        <f t="shared" ref="F138:G138" si="111">+F139+F140+F141+F142+F143</f>
        <v>3911618</v>
      </c>
      <c r="G138" s="1182">
        <f t="shared" si="111"/>
        <v>8685436</v>
      </c>
      <c r="H138" s="1182">
        <f t="shared" ref="H138" si="112">+H139+H140+H141+H142+H143</f>
        <v>720363</v>
      </c>
      <c r="I138" s="1182">
        <f t="shared" ref="I138" si="113">+I139+I140+I141+I142+I143</f>
        <v>0</v>
      </c>
      <c r="J138" s="1182">
        <f t="shared" ref="J138" si="114">+J139+J140+J141+J142+J143</f>
        <v>0</v>
      </c>
      <c r="K138" s="1182">
        <f t="shared" ref="K138" si="115">+K139+K140+K141+K142+K143</f>
        <v>0</v>
      </c>
      <c r="L138" s="1182">
        <f>+L139+L140+L141+L142+L143</f>
        <v>0</v>
      </c>
      <c r="M138" s="1431">
        <f>SUM(G138:K138)</f>
        <v>9405799</v>
      </c>
      <c r="N138" s="3607"/>
      <c r="O138" s="2817"/>
    </row>
    <row r="139" spans="1:15" s="329" customFormat="1" ht="12.75" hidden="1" customHeight="1">
      <c r="A139" s="3685"/>
      <c r="B139" s="1711" t="s">
        <v>323</v>
      </c>
      <c r="C139" s="3619"/>
      <c r="D139" s="1712">
        <f>SUM(E139:K139)</f>
        <v>9576521</v>
      </c>
      <c r="E139" s="1713">
        <f>2700000-2610000</f>
        <v>90000</v>
      </c>
      <c r="F139" s="1713">
        <f>3169000+2619500+1103984-4102953</f>
        <v>2789531</v>
      </c>
      <c r="G139" s="1713">
        <f>2044159+946725-929847+3957590</f>
        <v>6018627</v>
      </c>
      <c r="H139" s="1713">
        <f>0+537137-4137+145363</f>
        <v>678363</v>
      </c>
      <c r="I139" s="1713">
        <v>0</v>
      </c>
      <c r="J139" s="1713">
        <v>0</v>
      </c>
      <c r="K139" s="1713">
        <v>0</v>
      </c>
      <c r="L139" s="1713"/>
      <c r="M139" s="1431">
        <f>SUM(F139:K139)</f>
        <v>9486521</v>
      </c>
      <c r="N139" s="1549"/>
      <c r="O139" s="3323"/>
    </row>
    <row r="140" spans="1:15" s="329" customFormat="1" ht="12.75" hidden="1" customHeight="1">
      <c r="A140" s="3610"/>
      <c r="B140" s="1842" t="s">
        <v>324</v>
      </c>
      <c r="C140" s="3619"/>
      <c r="D140" s="1843">
        <f>SUM(E140:K140)</f>
        <v>1008500</v>
      </c>
      <c r="E140" s="1545">
        <f>293500-190200-8805</f>
        <v>94495</v>
      </c>
      <c r="F140" s="1545">
        <f>483000-13800+130805-259123</f>
        <v>340882</v>
      </c>
      <c r="G140" s="1545">
        <f>378000-92000+28000+259123</f>
        <v>573123</v>
      </c>
      <c r="H140" s="1545">
        <v>0</v>
      </c>
      <c r="I140" s="1545">
        <v>0</v>
      </c>
      <c r="J140" s="1545">
        <v>0</v>
      </c>
      <c r="K140" s="1545">
        <v>0</v>
      </c>
      <c r="L140" s="1545"/>
      <c r="M140" s="1431">
        <f>SUM(F140:K140)</f>
        <v>914005</v>
      </c>
      <c r="N140" s="1549"/>
      <c r="O140" s="3323"/>
    </row>
    <row r="141" spans="1:15" s="1546" customFormat="1" ht="12.75" hidden="1" customHeight="1">
      <c r="A141" s="3610"/>
      <c r="B141" s="1842" t="s">
        <v>100</v>
      </c>
      <c r="C141" s="3619"/>
      <c r="D141" s="1843">
        <f>SUM(E141:K141)</f>
        <v>603500</v>
      </c>
      <c r="E141" s="1545">
        <f>174000-30000-144000</f>
        <v>0</v>
      </c>
      <c r="F141" s="1545">
        <f>453000-110000-139686</f>
        <v>203314</v>
      </c>
      <c r="G141" s="1545">
        <f>228000+32500+139686</f>
        <v>400186</v>
      </c>
      <c r="H141" s="1545">
        <v>0</v>
      </c>
      <c r="I141" s="1545">
        <v>0</v>
      </c>
      <c r="J141" s="1545">
        <v>0</v>
      </c>
      <c r="K141" s="1545">
        <v>0</v>
      </c>
      <c r="L141" s="1545">
        <f>174000-30000-144000</f>
        <v>0</v>
      </c>
      <c r="M141" s="1431">
        <f>SUM(F141:K141)</f>
        <v>603500</v>
      </c>
      <c r="N141" s="1549"/>
      <c r="O141" s="3323"/>
    </row>
    <row r="142" spans="1:15" s="1546" customFormat="1" ht="12.75" hidden="1" customHeight="1">
      <c r="A142" s="3610"/>
      <c r="B142" s="1842" t="s">
        <v>183</v>
      </c>
      <c r="C142" s="3619"/>
      <c r="D142" s="1843">
        <f>SUM(E142:K142)</f>
        <v>1894000</v>
      </c>
      <c r="E142" s="1545">
        <f>1015500-784500-231000</f>
        <v>0</v>
      </c>
      <c r="F142" s="1545">
        <f>926500+110500+47050-701550</f>
        <v>382500</v>
      </c>
      <c r="G142" s="1545">
        <f>342000+284000+183950+701550</f>
        <v>1511500</v>
      </c>
      <c r="H142" s="1545">
        <v>0</v>
      </c>
      <c r="I142" s="1545">
        <v>0</v>
      </c>
      <c r="J142" s="1545">
        <v>0</v>
      </c>
      <c r="K142" s="1545">
        <v>0</v>
      </c>
      <c r="L142" s="1545">
        <f>1015500-784500-231000</f>
        <v>0</v>
      </c>
      <c r="M142" s="1431">
        <f>SUM(F142:K142)</f>
        <v>1894000</v>
      </c>
      <c r="N142" s="1549"/>
      <c r="O142" s="3323"/>
    </row>
    <row r="143" spans="1:15" s="1546" customFormat="1" ht="12.75" hidden="1" customHeight="1">
      <c r="A143" s="3610"/>
      <c r="B143" s="1842" t="s">
        <v>245</v>
      </c>
      <c r="C143" s="3641"/>
      <c r="D143" s="1843">
        <f>SUM(E143:K143)</f>
        <v>497700</v>
      </c>
      <c r="E143" s="1545">
        <f>140000-48300-13391</f>
        <v>78309</v>
      </c>
      <c r="F143" s="1545">
        <f>260000-78000+13391</f>
        <v>195391</v>
      </c>
      <c r="G143" s="1545">
        <f>260000-78000</f>
        <v>182000</v>
      </c>
      <c r="H143" s="1545">
        <f>0+42000</f>
        <v>42000</v>
      </c>
      <c r="I143" s="1545">
        <v>0</v>
      </c>
      <c r="J143" s="1545">
        <v>0</v>
      </c>
      <c r="K143" s="1545">
        <v>0</v>
      </c>
      <c r="L143" s="1545"/>
      <c r="M143" s="1431">
        <f>SUM(F143:K143)</f>
        <v>419391</v>
      </c>
      <c r="N143" s="1549"/>
      <c r="O143" s="3323"/>
    </row>
    <row r="144" spans="1:15">
      <c r="A144" s="3611"/>
      <c r="B144" s="1587" t="s">
        <v>20</v>
      </c>
      <c r="C144" s="1251"/>
      <c r="D144" s="1432">
        <f>D145</f>
        <v>13580221</v>
      </c>
      <c r="E144" s="1432">
        <f>+E145</f>
        <v>0</v>
      </c>
      <c r="F144" s="1432">
        <f>+F145</f>
        <v>5600765</v>
      </c>
      <c r="G144" s="1432">
        <f>+G145</f>
        <v>7979456</v>
      </c>
      <c r="H144" s="1432">
        <f>H145</f>
        <v>0</v>
      </c>
      <c r="I144" s="1432">
        <f>+I145</f>
        <v>0</v>
      </c>
      <c r="J144" s="1432">
        <f>+J145</f>
        <v>0</v>
      </c>
      <c r="K144" s="1432">
        <f>K145</f>
        <v>0</v>
      </c>
      <c r="L144" s="1432">
        <f>+L145</f>
        <v>0</v>
      </c>
      <c r="M144" s="3601" t="s">
        <v>52</v>
      </c>
      <c r="N144" s="3615" t="s">
        <v>323</v>
      </c>
      <c r="O144" s="2809">
        <f>F144-'[1]Tab. 6B Polit społ i rozwój prz'!$G$130</f>
        <v>-2734935</v>
      </c>
    </row>
    <row r="145" spans="1:15" s="2807" customFormat="1" ht="13.5" customHeight="1">
      <c r="A145" s="3611"/>
      <c r="B145" s="1597" t="s">
        <v>17</v>
      </c>
      <c r="C145" s="3618" t="s">
        <v>322</v>
      </c>
      <c r="D145" s="1179">
        <f t="shared" ref="D145:K145" si="116">+D146</f>
        <v>13580221</v>
      </c>
      <c r="E145" s="1179">
        <f t="shared" si="116"/>
        <v>0</v>
      </c>
      <c r="F145" s="1179">
        <f t="shared" si="116"/>
        <v>5600765</v>
      </c>
      <c r="G145" s="1179">
        <f t="shared" si="116"/>
        <v>7979456</v>
      </c>
      <c r="H145" s="1179">
        <f t="shared" si="116"/>
        <v>0</v>
      </c>
      <c r="I145" s="1179">
        <f t="shared" si="116"/>
        <v>0</v>
      </c>
      <c r="J145" s="1179">
        <f t="shared" si="116"/>
        <v>0</v>
      </c>
      <c r="K145" s="1179">
        <f t="shared" si="116"/>
        <v>0</v>
      </c>
      <c r="L145" s="1179">
        <f>+L146</f>
        <v>0</v>
      </c>
      <c r="M145" s="3601"/>
      <c r="N145" s="3616"/>
      <c r="O145" s="3322"/>
    </row>
    <row r="146" spans="1:15" s="2807" customFormat="1" ht="15" customHeight="1" thickBot="1">
      <c r="A146" s="3612"/>
      <c r="B146" s="1598" t="s">
        <v>19</v>
      </c>
      <c r="C146" s="3620"/>
      <c r="D146" s="1679">
        <f>E146+L146+F146+G146+H146+I146+J146+K146</f>
        <v>13580221</v>
      </c>
      <c r="E146" s="1463">
        <f>4323000-30000-4293000</f>
        <v>0</v>
      </c>
      <c r="F146" s="1463">
        <f>5291500+3044200+3368437-6103372</f>
        <v>5600765</v>
      </c>
      <c r="G146" s="1423">
        <f>3252159+1093225-2469300+6103372</f>
        <v>7979456</v>
      </c>
      <c r="H146" s="1423">
        <f>0+579137-579137</f>
        <v>0</v>
      </c>
      <c r="I146" s="1423">
        <v>0</v>
      </c>
      <c r="J146" s="1423">
        <v>0</v>
      </c>
      <c r="K146" s="1423">
        <v>0</v>
      </c>
      <c r="L146" s="1463">
        <f>4323000-30000-4293000</f>
        <v>0</v>
      </c>
      <c r="M146" s="3548"/>
      <c r="N146" s="3617"/>
      <c r="O146" s="3325">
        <f>D146-'[3]Tab. 6B Polit społ i rozwój prz'!$D$258</f>
        <v>743562</v>
      </c>
    </row>
    <row r="147" spans="1:15" ht="39" customHeight="1">
      <c r="A147" s="3636" t="s">
        <v>81</v>
      </c>
      <c r="B147" s="1003" t="s">
        <v>375</v>
      </c>
      <c r="C147" s="1004" t="s">
        <v>72</v>
      </c>
      <c r="D147" s="942"/>
      <c r="E147" s="2221"/>
      <c r="F147" s="2221"/>
      <c r="G147" s="2221"/>
      <c r="H147" s="2221"/>
      <c r="I147" s="2221"/>
      <c r="J147" s="2221"/>
      <c r="K147" s="34"/>
      <c r="L147" s="2221"/>
      <c r="M147" s="487"/>
      <c r="N147" s="3605" t="s">
        <v>441</v>
      </c>
      <c r="O147" s="2817"/>
    </row>
    <row r="148" spans="1:15">
      <c r="A148" s="3610"/>
      <c r="B148" s="1587" t="s">
        <v>9</v>
      </c>
      <c r="C148" s="1005"/>
      <c r="D148" s="1596">
        <f>+D149</f>
        <v>35876</v>
      </c>
      <c r="E148" s="1214">
        <f t="shared" ref="E148:K148" si="117">E149</f>
        <v>8753</v>
      </c>
      <c r="F148" s="1214">
        <f t="shared" si="117"/>
        <v>27123</v>
      </c>
      <c r="G148" s="1214">
        <f t="shared" si="117"/>
        <v>0</v>
      </c>
      <c r="H148" s="1214">
        <f t="shared" si="117"/>
        <v>0</v>
      </c>
      <c r="I148" s="1214">
        <f t="shared" si="117"/>
        <v>0</v>
      </c>
      <c r="J148" s="1214">
        <f t="shared" si="117"/>
        <v>0</v>
      </c>
      <c r="K148" s="1214">
        <f t="shared" si="117"/>
        <v>0</v>
      </c>
      <c r="L148" s="1214">
        <f>L149</f>
        <v>0</v>
      </c>
      <c r="M148" s="1171">
        <f>M149</f>
        <v>0</v>
      </c>
      <c r="N148" s="3607"/>
      <c r="O148" s="2817"/>
    </row>
    <row r="149" spans="1:15" ht="13.15" customHeight="1">
      <c r="A149" s="3610"/>
      <c r="B149" s="1588" t="s">
        <v>17</v>
      </c>
      <c r="C149" s="3682" t="s">
        <v>326</v>
      </c>
      <c r="D149" s="1179">
        <f>+D150</f>
        <v>35876</v>
      </c>
      <c r="E149" s="1179">
        <f t="shared" ref="E149:K149" si="118">+E150</f>
        <v>8753</v>
      </c>
      <c r="F149" s="1179">
        <f t="shared" si="118"/>
        <v>27123</v>
      </c>
      <c r="G149" s="1179">
        <f t="shared" si="118"/>
        <v>0</v>
      </c>
      <c r="H149" s="1179">
        <f t="shared" si="118"/>
        <v>0</v>
      </c>
      <c r="I149" s="1179">
        <f t="shared" si="118"/>
        <v>0</v>
      </c>
      <c r="J149" s="1179">
        <f t="shared" si="118"/>
        <v>0</v>
      </c>
      <c r="K149" s="1179">
        <f t="shared" si="118"/>
        <v>0</v>
      </c>
      <c r="L149" s="1179">
        <f>+L150</f>
        <v>0</v>
      </c>
      <c r="M149" s="1433">
        <f>+M150</f>
        <v>0</v>
      </c>
      <c r="N149" s="3607"/>
      <c r="O149" s="2817"/>
    </row>
    <row r="150" spans="1:15">
      <c r="A150" s="3610"/>
      <c r="B150" s="1589" t="s">
        <v>19</v>
      </c>
      <c r="C150" s="3683"/>
      <c r="D150" s="1113">
        <f>E150+L150+F150+G150+H150+I150+J150+K150</f>
        <v>35876</v>
      </c>
      <c r="E150" s="1182">
        <f>+E151+E152+E153</f>
        <v>8753</v>
      </c>
      <c r="F150" s="1182">
        <f t="shared" ref="F150:J150" si="119">+F151+F152+F153</f>
        <v>27123</v>
      </c>
      <c r="G150" s="1182">
        <f t="shared" si="119"/>
        <v>0</v>
      </c>
      <c r="H150" s="1182">
        <f t="shared" si="119"/>
        <v>0</v>
      </c>
      <c r="I150" s="1182">
        <f t="shared" si="119"/>
        <v>0</v>
      </c>
      <c r="J150" s="1182">
        <f t="shared" si="119"/>
        <v>0</v>
      </c>
      <c r="K150" s="1182">
        <f t="shared" ref="K150" si="120">+K151+K152</f>
        <v>0</v>
      </c>
      <c r="L150" s="1182"/>
      <c r="M150" s="1431">
        <f>SUM(G150:K150)</f>
        <v>0</v>
      </c>
      <c r="N150" s="3607"/>
      <c r="O150" s="2817"/>
    </row>
    <row r="151" spans="1:15" ht="12" hidden="1" customHeight="1">
      <c r="A151" s="3610"/>
      <c r="B151" s="2219" t="s">
        <v>323</v>
      </c>
      <c r="C151" s="1466"/>
      <c r="D151" s="1189">
        <f>SUM(E151:K151)</f>
        <v>0</v>
      </c>
      <c r="E151" s="1182">
        <f>30000-30000</f>
        <v>0</v>
      </c>
      <c r="F151" s="1182">
        <f>500000-398000-102000</f>
        <v>0</v>
      </c>
      <c r="G151" s="1182">
        <f>100000-49000-51000</f>
        <v>0</v>
      </c>
      <c r="H151" s="1182">
        <f>0+17000-17000</f>
        <v>0</v>
      </c>
      <c r="I151" s="1182">
        <v>0</v>
      </c>
      <c r="J151" s="1182">
        <v>0</v>
      </c>
      <c r="K151" s="1182">
        <v>0</v>
      </c>
      <c r="L151" s="1182">
        <f>30000-30000</f>
        <v>0</v>
      </c>
      <c r="M151" s="1739"/>
      <c r="N151" s="1549"/>
      <c r="O151" s="2809">
        <f>D150-D156</f>
        <v>0</v>
      </c>
    </row>
    <row r="152" spans="1:15" ht="12" hidden="1" customHeight="1">
      <c r="A152" s="3610"/>
      <c r="B152" s="2219" t="s">
        <v>324</v>
      </c>
      <c r="C152" s="2983"/>
      <c r="D152" s="1189">
        <f>SUM(E152:K152)</f>
        <v>0</v>
      </c>
      <c r="E152" s="1182">
        <f>80000-80000</f>
        <v>0</v>
      </c>
      <c r="F152" s="1182">
        <f>130000-130000</f>
        <v>0</v>
      </c>
      <c r="G152" s="1182">
        <f>20000-20000</f>
        <v>0</v>
      </c>
      <c r="H152" s="1182">
        <v>0</v>
      </c>
      <c r="I152" s="1182">
        <v>0</v>
      </c>
      <c r="J152" s="1182">
        <v>0</v>
      </c>
      <c r="K152" s="1182">
        <v>0</v>
      </c>
      <c r="L152" s="1182">
        <f>80000-80000</f>
        <v>0</v>
      </c>
      <c r="M152" s="1739"/>
      <c r="N152" s="1549"/>
      <c r="O152" s="2817"/>
    </row>
    <row r="153" spans="1:15" s="2818" customFormat="1" ht="12" hidden="1" customHeight="1">
      <c r="A153" s="3610"/>
      <c r="B153" s="2219" t="s">
        <v>100</v>
      </c>
      <c r="C153" s="2983"/>
      <c r="D153" s="1189">
        <f>SUM(E153:K153)</f>
        <v>35876</v>
      </c>
      <c r="E153" s="1182">
        <f>30000-21247</f>
        <v>8753</v>
      </c>
      <c r="F153" s="1182">
        <f>0+27123</f>
        <v>27123</v>
      </c>
      <c r="G153" s="1182">
        <v>0</v>
      </c>
      <c r="H153" s="1182">
        <v>0</v>
      </c>
      <c r="I153" s="1182">
        <v>0</v>
      </c>
      <c r="J153" s="1182">
        <v>0</v>
      </c>
      <c r="K153" s="1182">
        <v>0</v>
      </c>
      <c r="L153" s="1182"/>
      <c r="M153" s="1739"/>
      <c r="N153" s="1549"/>
      <c r="O153" s="2817"/>
    </row>
    <row r="154" spans="1:15">
      <c r="A154" s="3611"/>
      <c r="B154" s="1587" t="s">
        <v>20</v>
      </c>
      <c r="C154" s="1251"/>
      <c r="D154" s="1432">
        <f>D155</f>
        <v>35876</v>
      </c>
      <c r="E154" s="1432">
        <f>+E155</f>
        <v>0</v>
      </c>
      <c r="F154" s="1432">
        <f>+F155</f>
        <v>35876</v>
      </c>
      <c r="G154" s="1432">
        <f>+G155</f>
        <v>0</v>
      </c>
      <c r="H154" s="1432">
        <f>H155</f>
        <v>0</v>
      </c>
      <c r="I154" s="1432">
        <f>+I155</f>
        <v>0</v>
      </c>
      <c r="J154" s="1432">
        <f>+J155</f>
        <v>0</v>
      </c>
      <c r="K154" s="1432">
        <f>K155</f>
        <v>0</v>
      </c>
      <c r="L154" s="1432">
        <f>+L155</f>
        <v>0</v>
      </c>
      <c r="M154" s="3601" t="s">
        <v>52</v>
      </c>
      <c r="N154" s="3615" t="s">
        <v>323</v>
      </c>
      <c r="O154" s="2817"/>
    </row>
    <row r="155" spans="1:15">
      <c r="A155" s="3611"/>
      <c r="B155" s="1588" t="s">
        <v>17</v>
      </c>
      <c r="C155" s="3680" t="s">
        <v>322</v>
      </c>
      <c r="D155" s="1179">
        <f t="shared" ref="D155:K155" si="121">+D156</f>
        <v>35876</v>
      </c>
      <c r="E155" s="1179">
        <f t="shared" si="121"/>
        <v>0</v>
      </c>
      <c r="F155" s="1179">
        <f t="shared" si="121"/>
        <v>35876</v>
      </c>
      <c r="G155" s="1179">
        <f t="shared" si="121"/>
        <v>0</v>
      </c>
      <c r="H155" s="1179">
        <f t="shared" si="121"/>
        <v>0</v>
      </c>
      <c r="I155" s="1179">
        <f t="shared" si="121"/>
        <v>0</v>
      </c>
      <c r="J155" s="1179">
        <f t="shared" si="121"/>
        <v>0</v>
      </c>
      <c r="K155" s="1179">
        <f t="shared" si="121"/>
        <v>0</v>
      </c>
      <c r="L155" s="1179">
        <f>+L156</f>
        <v>0</v>
      </c>
      <c r="M155" s="3601"/>
      <c r="N155" s="3616"/>
      <c r="O155" s="2817"/>
    </row>
    <row r="156" spans="1:15" ht="13.5" thickBot="1">
      <c r="A156" s="3612"/>
      <c r="B156" s="1733" t="s">
        <v>19</v>
      </c>
      <c r="C156" s="3681"/>
      <c r="D156" s="1679">
        <f>E156+L156+F156+G156+H156+I156+J156+K156</f>
        <v>35876</v>
      </c>
      <c r="E156" s="1679">
        <v>0</v>
      </c>
      <c r="F156" s="1423">
        <f>520000-252124-232000</f>
        <v>35876</v>
      </c>
      <c r="G156" s="1423">
        <f>120000-49000-71000</f>
        <v>0</v>
      </c>
      <c r="H156" s="1423">
        <f>0+17000-17000</f>
        <v>0</v>
      </c>
      <c r="I156" s="1423">
        <v>0</v>
      </c>
      <c r="J156" s="1423">
        <v>0</v>
      </c>
      <c r="K156" s="1423">
        <v>0</v>
      </c>
      <c r="L156" s="1423">
        <f>110000+30000-140000</f>
        <v>0</v>
      </c>
      <c r="M156" s="3548"/>
      <c r="N156" s="3617"/>
      <c r="O156" s="2809"/>
    </row>
    <row r="157" spans="1:15" ht="26.25" customHeight="1">
      <c r="A157" s="3636" t="s">
        <v>82</v>
      </c>
      <c r="B157" s="1003" t="s">
        <v>387</v>
      </c>
      <c r="C157" s="1004" t="s">
        <v>99</v>
      </c>
      <c r="D157" s="942"/>
      <c r="E157" s="942"/>
      <c r="F157" s="942"/>
      <c r="G157" s="942"/>
      <c r="H157" s="942"/>
      <c r="I157" s="942"/>
      <c r="J157" s="942"/>
      <c r="K157" s="942"/>
      <c r="L157" s="942"/>
      <c r="M157" s="942"/>
      <c r="N157" s="3605" t="s">
        <v>265</v>
      </c>
      <c r="O157" s="2809">
        <f>D158+D176</f>
        <v>1218280</v>
      </c>
    </row>
    <row r="158" spans="1:15" ht="14.25" customHeight="1">
      <c r="A158" s="3610"/>
      <c r="B158" s="1587" t="s">
        <v>9</v>
      </c>
      <c r="C158" s="1005"/>
      <c r="D158" s="1596">
        <f>+D159+D166</f>
        <v>1184280</v>
      </c>
      <c r="E158" s="3140">
        <f t="shared" ref="E158:M158" si="122">+E159+E166</f>
        <v>0</v>
      </c>
      <c r="F158" s="1214">
        <f t="shared" si="122"/>
        <v>651754</v>
      </c>
      <c r="G158" s="1214">
        <f t="shared" si="122"/>
        <v>532526</v>
      </c>
      <c r="H158" s="3140">
        <f t="shared" si="122"/>
        <v>0</v>
      </c>
      <c r="I158" s="3140">
        <f t="shared" si="122"/>
        <v>0</v>
      </c>
      <c r="J158" s="3140">
        <f t="shared" si="122"/>
        <v>0</v>
      </c>
      <c r="K158" s="3140">
        <f t="shared" si="122"/>
        <v>0</v>
      </c>
      <c r="L158" s="3140">
        <f>+L159+L166</f>
        <v>0</v>
      </c>
      <c r="M158" s="1171">
        <f t="shared" si="122"/>
        <v>532526</v>
      </c>
      <c r="N158" s="3607"/>
      <c r="O158" s="2817"/>
    </row>
    <row r="159" spans="1:15">
      <c r="A159" s="3610"/>
      <c r="B159" s="1588" t="s">
        <v>22</v>
      </c>
      <c r="C159" s="3613" t="s">
        <v>386</v>
      </c>
      <c r="D159" s="1412">
        <f>+D160+D163</f>
        <v>177642</v>
      </c>
      <c r="E159" s="3141">
        <f t="shared" ref="E159:K159" si="123">+E160+E163</f>
        <v>0</v>
      </c>
      <c r="F159" s="1412">
        <f t="shared" si="123"/>
        <v>97763</v>
      </c>
      <c r="G159" s="1412">
        <f t="shared" si="123"/>
        <v>79879</v>
      </c>
      <c r="H159" s="3141">
        <f t="shared" si="123"/>
        <v>0</v>
      </c>
      <c r="I159" s="3141">
        <f t="shared" si="123"/>
        <v>0</v>
      </c>
      <c r="J159" s="3141">
        <f t="shared" si="123"/>
        <v>0</v>
      </c>
      <c r="K159" s="3141">
        <f t="shared" si="123"/>
        <v>0</v>
      </c>
      <c r="L159" s="3141">
        <f>+L160+L163</f>
        <v>0</v>
      </c>
      <c r="M159" s="1734">
        <f>+M160+M163</f>
        <v>79879</v>
      </c>
      <c r="N159" s="3607"/>
      <c r="O159" s="2817"/>
    </row>
    <row r="160" spans="1:15">
      <c r="A160" s="3610"/>
      <c r="B160" s="1589" t="s">
        <v>11</v>
      </c>
      <c r="C160" s="3614"/>
      <c r="D160" s="1113">
        <f>E160+L160+F160+G160+H160+I160+J160+K160</f>
        <v>54214</v>
      </c>
      <c r="E160" s="3163">
        <v>0</v>
      </c>
      <c r="F160" s="1460">
        <f>F161+F162</f>
        <v>29769</v>
      </c>
      <c r="G160" s="1460">
        <f t="shared" ref="G160:K160" si="124">G161+G162</f>
        <v>24445</v>
      </c>
      <c r="H160" s="3148">
        <f t="shared" si="124"/>
        <v>0</v>
      </c>
      <c r="I160" s="3148">
        <f t="shared" si="124"/>
        <v>0</v>
      </c>
      <c r="J160" s="3148">
        <f t="shared" si="124"/>
        <v>0</v>
      </c>
      <c r="K160" s="3148">
        <f t="shared" si="124"/>
        <v>0</v>
      </c>
      <c r="L160" s="3148">
        <v>0</v>
      </c>
      <c r="M160" s="1431">
        <f>SUM(G160:K160)</f>
        <v>24445</v>
      </c>
      <c r="N160" s="3607"/>
      <c r="O160" s="2817"/>
    </row>
    <row r="161" spans="1:15" s="329" customFormat="1" hidden="1">
      <c r="A161" s="3610"/>
      <c r="B161" s="3164" t="s">
        <v>245</v>
      </c>
      <c r="C161" s="3614"/>
      <c r="D161" s="3150">
        <f>SUM(E161:K161)</f>
        <v>28440</v>
      </c>
      <c r="E161" s="1485">
        <v>0</v>
      </c>
      <c r="F161" s="3151">
        <v>14220</v>
      </c>
      <c r="G161" s="3151">
        <v>14220</v>
      </c>
      <c r="H161" s="1485">
        <v>0</v>
      </c>
      <c r="I161" s="1485">
        <v>0</v>
      </c>
      <c r="J161" s="1485">
        <v>0</v>
      </c>
      <c r="K161" s="1485">
        <v>0</v>
      </c>
      <c r="L161" s="3152">
        <v>0</v>
      </c>
      <c r="M161" s="3144">
        <f>SUM(F161:K161)</f>
        <v>28440</v>
      </c>
      <c r="N161" s="3607"/>
      <c r="O161" s="3323"/>
    </row>
    <row r="162" spans="1:15" s="329" customFormat="1" hidden="1">
      <c r="A162" s="3610"/>
      <c r="B162" s="3165" t="s">
        <v>260</v>
      </c>
      <c r="C162" s="3614"/>
      <c r="D162" s="3166">
        <f>SUM(E162:K162)</f>
        <v>25774</v>
      </c>
      <c r="E162" s="3167">
        <v>0</v>
      </c>
      <c r="F162" s="3168">
        <f>14199+1350</f>
        <v>15549</v>
      </c>
      <c r="G162" s="3168">
        <f>10075+150</f>
        <v>10225</v>
      </c>
      <c r="H162" s="3167">
        <v>0</v>
      </c>
      <c r="I162" s="3167">
        <v>0</v>
      </c>
      <c r="J162" s="3167">
        <v>0</v>
      </c>
      <c r="K162" s="3167">
        <v>0</v>
      </c>
      <c r="L162" s="3169">
        <v>0</v>
      </c>
      <c r="M162" s="3144">
        <f>SUM(F162:K162)</f>
        <v>25774</v>
      </c>
      <c r="N162" s="3607"/>
      <c r="O162" s="3323"/>
    </row>
    <row r="163" spans="1:15" s="1489" customFormat="1">
      <c r="A163" s="3610"/>
      <c r="B163" s="2219" t="s">
        <v>12</v>
      </c>
      <c r="C163" s="3614"/>
      <c r="D163" s="1113">
        <f>E163+L163+F163+G163+H163+I163+J163+K163</f>
        <v>123428</v>
      </c>
      <c r="E163" s="3163">
        <v>0</v>
      </c>
      <c r="F163" s="1460">
        <f>F164+F165</f>
        <v>67994</v>
      </c>
      <c r="G163" s="1460">
        <f t="shared" ref="G163:K163" si="125">G164+G165</f>
        <v>55434</v>
      </c>
      <c r="H163" s="3148">
        <f t="shared" si="125"/>
        <v>0</v>
      </c>
      <c r="I163" s="3148">
        <f t="shared" si="125"/>
        <v>0</v>
      </c>
      <c r="J163" s="3148">
        <f t="shared" si="125"/>
        <v>0</v>
      </c>
      <c r="K163" s="3148">
        <f t="shared" si="125"/>
        <v>0</v>
      </c>
      <c r="L163" s="3148">
        <v>0</v>
      </c>
      <c r="M163" s="1431">
        <f>SUM(G163:K163)</f>
        <v>55434</v>
      </c>
      <c r="N163" s="3607"/>
      <c r="O163" s="3323"/>
    </row>
    <row r="164" spans="1:15" s="1489" customFormat="1" hidden="1">
      <c r="A164" s="3610"/>
      <c r="B164" s="3164" t="s">
        <v>245</v>
      </c>
      <c r="C164" s="3614"/>
      <c r="D164" s="3150">
        <f>SUM(E164:K164)</f>
        <v>71880</v>
      </c>
      <c r="E164" s="1485">
        <v>0</v>
      </c>
      <c r="F164" s="3151">
        <v>36896</v>
      </c>
      <c r="G164" s="3151">
        <v>34984</v>
      </c>
      <c r="H164" s="1485">
        <v>0</v>
      </c>
      <c r="I164" s="1485">
        <v>0</v>
      </c>
      <c r="J164" s="1485">
        <v>0</v>
      </c>
      <c r="K164" s="1485">
        <v>0</v>
      </c>
      <c r="L164" s="3152">
        <v>0</v>
      </c>
      <c r="M164" s="1431">
        <f t="shared" ref="M164:M165" si="126">SUM(F164:K164)</f>
        <v>71880</v>
      </c>
      <c r="N164" s="3607"/>
      <c r="O164" s="3323"/>
    </row>
    <row r="165" spans="1:15" s="1489" customFormat="1" hidden="1">
      <c r="A165" s="3610"/>
      <c r="B165" s="3165" t="s">
        <v>260</v>
      </c>
      <c r="C165" s="3614"/>
      <c r="D165" s="3166">
        <f>SUM(E165:K165)</f>
        <v>51548</v>
      </c>
      <c r="E165" s="3167">
        <v>0</v>
      </c>
      <c r="F165" s="3168">
        <f>28398+2700</f>
        <v>31098</v>
      </c>
      <c r="G165" s="3168">
        <f>20150+300</f>
        <v>20450</v>
      </c>
      <c r="H165" s="3167">
        <v>0</v>
      </c>
      <c r="I165" s="3167">
        <v>0</v>
      </c>
      <c r="J165" s="3167">
        <v>0</v>
      </c>
      <c r="K165" s="3167">
        <v>0</v>
      </c>
      <c r="L165" s="3169">
        <v>0</v>
      </c>
      <c r="M165" s="1431">
        <f t="shared" si="126"/>
        <v>51548</v>
      </c>
      <c r="N165" s="3607"/>
      <c r="O165" s="3323"/>
    </row>
    <row r="166" spans="1:15">
      <c r="A166" s="3610"/>
      <c r="B166" s="1588" t="s">
        <v>17</v>
      </c>
      <c r="C166" s="3614"/>
      <c r="D166" s="1179">
        <f>+D167</f>
        <v>1006638</v>
      </c>
      <c r="E166" s="1219">
        <f t="shared" ref="E166:K166" si="127">+E167</f>
        <v>0</v>
      </c>
      <c r="F166" s="1179">
        <f t="shared" si="127"/>
        <v>553991</v>
      </c>
      <c r="G166" s="1179">
        <f t="shared" si="127"/>
        <v>452647</v>
      </c>
      <c r="H166" s="1219">
        <f t="shared" si="127"/>
        <v>0</v>
      </c>
      <c r="I166" s="1219">
        <f t="shared" si="127"/>
        <v>0</v>
      </c>
      <c r="J166" s="1219">
        <f t="shared" si="127"/>
        <v>0</v>
      </c>
      <c r="K166" s="1219">
        <f t="shared" si="127"/>
        <v>0</v>
      </c>
      <c r="L166" s="1219">
        <f>+L167</f>
        <v>0</v>
      </c>
      <c r="M166" s="1433">
        <f>+M167</f>
        <v>452647</v>
      </c>
      <c r="N166" s="3607"/>
      <c r="O166" s="2817"/>
    </row>
    <row r="167" spans="1:15">
      <c r="A167" s="3610"/>
      <c r="B167" s="1589" t="s">
        <v>19</v>
      </c>
      <c r="C167" s="3614"/>
      <c r="D167" s="1113">
        <f>E167+L167+F167+G167+H167+I167+J167+K167</f>
        <v>1006638</v>
      </c>
      <c r="E167" s="3163">
        <v>0</v>
      </c>
      <c r="F167" s="1182">
        <f>F168+F169</f>
        <v>553991</v>
      </c>
      <c r="G167" s="1182">
        <f t="shared" ref="G167" si="128">G168+G169</f>
        <v>452647</v>
      </c>
      <c r="H167" s="2397">
        <f t="shared" ref="H167" si="129">H168+H169</f>
        <v>0</v>
      </c>
      <c r="I167" s="2397">
        <f t="shared" ref="I167" si="130">I168+I169</f>
        <v>0</v>
      </c>
      <c r="J167" s="2397">
        <f t="shared" ref="J167" si="131">J168+J169</f>
        <v>0</v>
      </c>
      <c r="K167" s="2397">
        <f t="shared" ref="K167" si="132">K168+K169</f>
        <v>0</v>
      </c>
      <c r="L167" s="2397">
        <v>0</v>
      </c>
      <c r="M167" s="1431">
        <f>SUM(G167:K167)</f>
        <v>452647</v>
      </c>
      <c r="N167" s="3607"/>
      <c r="O167" s="2817"/>
    </row>
    <row r="168" spans="1:15" s="329" customFormat="1" hidden="1">
      <c r="A168" s="3610"/>
      <c r="B168" s="3164" t="s">
        <v>245</v>
      </c>
      <c r="C168" s="3170"/>
      <c r="D168" s="3150">
        <f>SUM(E168:K168)</f>
        <v>568480</v>
      </c>
      <c r="E168" s="1485">
        <v>0</v>
      </c>
      <c r="F168" s="3151">
        <v>289658</v>
      </c>
      <c r="G168" s="3151">
        <v>278822</v>
      </c>
      <c r="H168" s="1485">
        <v>0</v>
      </c>
      <c r="I168" s="1485">
        <v>0</v>
      </c>
      <c r="J168" s="1485">
        <v>0</v>
      </c>
      <c r="K168" s="1485">
        <v>0</v>
      </c>
      <c r="L168" s="1485">
        <v>0</v>
      </c>
      <c r="M168" s="3144">
        <f>SUM(F168:K168)</f>
        <v>568480</v>
      </c>
      <c r="N168" s="3607"/>
      <c r="O168" s="3323"/>
    </row>
    <row r="169" spans="1:15" s="329" customFormat="1" hidden="1">
      <c r="A169" s="3610"/>
      <c r="B169" s="3165" t="s">
        <v>260</v>
      </c>
      <c r="C169" s="3171"/>
      <c r="D169" s="3166">
        <f>SUM(E169:K169)</f>
        <v>438158</v>
      </c>
      <c r="E169" s="3167">
        <v>0</v>
      </c>
      <c r="F169" s="3168">
        <f>241383+22950</f>
        <v>264333</v>
      </c>
      <c r="G169" s="3168">
        <f>171275+2550</f>
        <v>173825</v>
      </c>
      <c r="H169" s="3167">
        <v>0</v>
      </c>
      <c r="I169" s="3167">
        <v>0</v>
      </c>
      <c r="J169" s="3167">
        <v>0</v>
      </c>
      <c r="K169" s="3167">
        <v>0</v>
      </c>
      <c r="L169" s="3167">
        <v>0</v>
      </c>
      <c r="M169" s="3144">
        <f>SUM(F169:K169)</f>
        <v>438158</v>
      </c>
      <c r="N169" s="3608"/>
      <c r="O169" s="3323"/>
    </row>
    <row r="170" spans="1:15">
      <c r="A170" s="3611"/>
      <c r="B170" s="1587" t="s">
        <v>20</v>
      </c>
      <c r="C170" s="1587"/>
      <c r="D170" s="1432">
        <f>D173+D171</f>
        <v>1130066</v>
      </c>
      <c r="E170" s="3161">
        <f t="shared" ref="E170:K170" si="133">E173+E171</f>
        <v>0</v>
      </c>
      <c r="F170" s="1432">
        <f t="shared" si="133"/>
        <v>621985</v>
      </c>
      <c r="G170" s="1432">
        <f t="shared" si="133"/>
        <v>508081</v>
      </c>
      <c r="H170" s="3161">
        <f t="shared" si="133"/>
        <v>0</v>
      </c>
      <c r="I170" s="3161">
        <f t="shared" si="133"/>
        <v>0</v>
      </c>
      <c r="J170" s="3161">
        <f t="shared" si="133"/>
        <v>0</v>
      </c>
      <c r="K170" s="3161">
        <f t="shared" si="133"/>
        <v>0</v>
      </c>
      <c r="L170" s="3161">
        <f>L173+L171</f>
        <v>0</v>
      </c>
      <c r="M170" s="3601" t="s">
        <v>52</v>
      </c>
      <c r="N170" s="3615" t="s">
        <v>416</v>
      </c>
      <c r="O170" s="2817"/>
    </row>
    <row r="171" spans="1:15" s="2819" customFormat="1">
      <c r="A171" s="3611"/>
      <c r="B171" s="1597" t="s">
        <v>22</v>
      </c>
      <c r="C171" s="3618" t="s">
        <v>321</v>
      </c>
      <c r="D171" s="1179">
        <f t="shared" ref="D171:K173" si="134">+D172</f>
        <v>123428</v>
      </c>
      <c r="E171" s="1219">
        <f t="shared" si="134"/>
        <v>0</v>
      </c>
      <c r="F171" s="1179">
        <f t="shared" si="134"/>
        <v>67994</v>
      </c>
      <c r="G171" s="1179">
        <f t="shared" si="134"/>
        <v>55434</v>
      </c>
      <c r="H171" s="1219">
        <f t="shared" si="134"/>
        <v>0</v>
      </c>
      <c r="I171" s="1219">
        <f t="shared" si="134"/>
        <v>0</v>
      </c>
      <c r="J171" s="1219">
        <f t="shared" si="134"/>
        <v>0</v>
      </c>
      <c r="K171" s="1219">
        <f t="shared" si="134"/>
        <v>0</v>
      </c>
      <c r="L171" s="1219">
        <f>+L172</f>
        <v>0</v>
      </c>
      <c r="M171" s="3601"/>
      <c r="N171" s="3616"/>
      <c r="O171" s="3327"/>
    </row>
    <row r="172" spans="1:15" s="2819" customFormat="1">
      <c r="A172" s="3611"/>
      <c r="B172" s="2219" t="s">
        <v>12</v>
      </c>
      <c r="C172" s="3619"/>
      <c r="D172" s="1152">
        <f>E172+L172+F172+G172+H172+I172+J172+K172</f>
        <v>123428</v>
      </c>
      <c r="E172" s="1490">
        <v>0</v>
      </c>
      <c r="F172" s="1491">
        <f>65294+2700</f>
        <v>67994</v>
      </c>
      <c r="G172" s="1491">
        <f>55134+300</f>
        <v>55434</v>
      </c>
      <c r="H172" s="1490">
        <v>0</v>
      </c>
      <c r="I172" s="1490">
        <v>0</v>
      </c>
      <c r="J172" s="1490">
        <v>0</v>
      </c>
      <c r="K172" s="1490">
        <v>0</v>
      </c>
      <c r="L172" s="1490">
        <v>0</v>
      </c>
      <c r="M172" s="3601"/>
      <c r="N172" s="3616"/>
      <c r="O172" s="3328">
        <f>D172-D163</f>
        <v>0</v>
      </c>
    </row>
    <row r="173" spans="1:15" ht="12.75" customHeight="1">
      <c r="A173" s="3611"/>
      <c r="B173" s="1588" t="s">
        <v>17</v>
      </c>
      <c r="C173" s="3619"/>
      <c r="D173" s="1480">
        <f t="shared" si="134"/>
        <v>1006638</v>
      </c>
      <c r="E173" s="1219">
        <f t="shared" si="134"/>
        <v>0</v>
      </c>
      <c r="F173" s="1179">
        <f t="shared" si="134"/>
        <v>553991</v>
      </c>
      <c r="G173" s="1179">
        <f t="shared" si="134"/>
        <v>452647</v>
      </c>
      <c r="H173" s="1219">
        <f t="shared" si="134"/>
        <v>0</v>
      </c>
      <c r="I173" s="1219">
        <f t="shared" si="134"/>
        <v>0</v>
      </c>
      <c r="J173" s="1219">
        <f t="shared" si="134"/>
        <v>0</v>
      </c>
      <c r="K173" s="1219">
        <f t="shared" si="134"/>
        <v>0</v>
      </c>
      <c r="L173" s="1219">
        <f>+L174</f>
        <v>0</v>
      </c>
      <c r="M173" s="3601"/>
      <c r="N173" s="3616"/>
      <c r="O173" s="2817"/>
    </row>
    <row r="174" spans="1:15" ht="13.5" thickBot="1">
      <c r="A174" s="3612"/>
      <c r="B174" s="1733" t="s">
        <v>19</v>
      </c>
      <c r="C174" s="3620"/>
      <c r="D174" s="1679">
        <f>E174+L174+F174+G174+H174+I174+J174+K174</f>
        <v>1006638</v>
      </c>
      <c r="E174" s="2028">
        <v>0</v>
      </c>
      <c r="F174" s="1423">
        <f>531041+22950</f>
        <v>553991</v>
      </c>
      <c r="G174" s="1423">
        <f>450097+2550</f>
        <v>452647</v>
      </c>
      <c r="H174" s="1424">
        <v>0</v>
      </c>
      <c r="I174" s="1424">
        <v>0</v>
      </c>
      <c r="J174" s="1424">
        <v>0</v>
      </c>
      <c r="K174" s="1424">
        <v>0</v>
      </c>
      <c r="L174" s="1424">
        <v>0</v>
      </c>
      <c r="M174" s="3548"/>
      <c r="N174" s="3617"/>
      <c r="O174" s="2809">
        <f>D174-D167</f>
        <v>0</v>
      </c>
    </row>
    <row r="175" spans="1:15" ht="27.75" customHeight="1" thickBot="1">
      <c r="A175" s="3679" t="s">
        <v>83</v>
      </c>
      <c r="B175" s="1003" t="s">
        <v>388</v>
      </c>
      <c r="C175" s="1004" t="s">
        <v>72</v>
      </c>
      <c r="D175" s="942"/>
      <c r="E175" s="2221"/>
      <c r="F175" s="2221"/>
      <c r="G175" s="2221"/>
      <c r="H175" s="2221"/>
      <c r="I175" s="2221"/>
      <c r="J175" s="2221"/>
      <c r="K175" s="34"/>
      <c r="L175" s="2221"/>
      <c r="M175" s="487"/>
      <c r="N175" s="3605" t="s">
        <v>260</v>
      </c>
      <c r="O175" s="2817"/>
    </row>
    <row r="176" spans="1:15" ht="13.5" thickBot="1">
      <c r="A176" s="3625"/>
      <c r="B176" s="1587" t="s">
        <v>9</v>
      </c>
      <c r="C176" s="1005"/>
      <c r="D176" s="1596">
        <f t="shared" ref="D176:M176" si="135">+D177+D180</f>
        <v>34000</v>
      </c>
      <c r="E176" s="3140">
        <f t="shared" si="135"/>
        <v>0</v>
      </c>
      <c r="F176" s="1214">
        <f t="shared" si="135"/>
        <v>34000</v>
      </c>
      <c r="G176" s="3140">
        <f t="shared" si="135"/>
        <v>0</v>
      </c>
      <c r="H176" s="3140">
        <f t="shared" si="135"/>
        <v>0</v>
      </c>
      <c r="I176" s="3140">
        <f t="shared" si="135"/>
        <v>0</v>
      </c>
      <c r="J176" s="3140">
        <f t="shared" si="135"/>
        <v>0</v>
      </c>
      <c r="K176" s="3140">
        <f t="shared" si="135"/>
        <v>0</v>
      </c>
      <c r="L176" s="3140">
        <f>+L177+L180</f>
        <v>0</v>
      </c>
      <c r="M176" s="1171">
        <f t="shared" si="135"/>
        <v>0</v>
      </c>
      <c r="N176" s="3607"/>
      <c r="O176" s="2817"/>
    </row>
    <row r="177" spans="1:15" ht="13.5" thickBot="1">
      <c r="A177" s="3625"/>
      <c r="B177" s="1588" t="s">
        <v>22</v>
      </c>
      <c r="C177" s="3613" t="s">
        <v>389</v>
      </c>
      <c r="D177" s="1412">
        <f t="shared" ref="D177:K177" si="136">+D178+D179</f>
        <v>5100</v>
      </c>
      <c r="E177" s="3141">
        <f t="shared" si="136"/>
        <v>0</v>
      </c>
      <c r="F177" s="1412">
        <f t="shared" si="136"/>
        <v>5100</v>
      </c>
      <c r="G177" s="3141">
        <f t="shared" si="136"/>
        <v>0</v>
      </c>
      <c r="H177" s="3141">
        <f t="shared" si="136"/>
        <v>0</v>
      </c>
      <c r="I177" s="3141">
        <f t="shared" si="136"/>
        <v>0</v>
      </c>
      <c r="J177" s="3141">
        <f t="shared" si="136"/>
        <v>0</v>
      </c>
      <c r="K177" s="3141">
        <f t="shared" si="136"/>
        <v>0</v>
      </c>
      <c r="L177" s="3141">
        <f>+L178+L179</f>
        <v>0</v>
      </c>
      <c r="M177" s="1734">
        <f>+M178+M179</f>
        <v>0</v>
      </c>
      <c r="N177" s="3607"/>
      <c r="O177" s="2817"/>
    </row>
    <row r="178" spans="1:15" ht="13.5" thickBot="1">
      <c r="A178" s="3625"/>
      <c r="B178" s="1589" t="s">
        <v>11</v>
      </c>
      <c r="C178" s="3614"/>
      <c r="D178" s="1113">
        <f>E178+L178+F178+G178+H178+I178+J178+K178</f>
        <v>1700</v>
      </c>
      <c r="E178" s="3163">
        <v>0</v>
      </c>
      <c r="F178" s="1460">
        <f>2975-1275</f>
        <v>1700</v>
      </c>
      <c r="G178" s="3148">
        <v>0</v>
      </c>
      <c r="H178" s="3148">
        <v>0</v>
      </c>
      <c r="I178" s="3148">
        <v>0</v>
      </c>
      <c r="J178" s="3148">
        <v>0</v>
      </c>
      <c r="K178" s="3148">
        <v>0</v>
      </c>
      <c r="L178" s="3148">
        <v>0</v>
      </c>
      <c r="M178" s="1431">
        <f>SUM(G178:K178)</f>
        <v>0</v>
      </c>
      <c r="N178" s="3607"/>
      <c r="O178" s="2817"/>
    </row>
    <row r="179" spans="1:15" s="1489" customFormat="1" ht="13.5" thickBot="1">
      <c r="A179" s="3625"/>
      <c r="B179" s="2219" t="s">
        <v>12</v>
      </c>
      <c r="C179" s="3614"/>
      <c r="D179" s="1113">
        <f>E179+L179+F179+G179+H179+I179+J179+K179</f>
        <v>3400</v>
      </c>
      <c r="E179" s="3163">
        <v>0</v>
      </c>
      <c r="F179" s="1460">
        <f>5950-2550</f>
        <v>3400</v>
      </c>
      <c r="G179" s="3148">
        <v>0</v>
      </c>
      <c r="H179" s="3148">
        <v>0</v>
      </c>
      <c r="I179" s="3148">
        <v>0</v>
      </c>
      <c r="J179" s="3148">
        <v>0</v>
      </c>
      <c r="K179" s="3148">
        <v>0</v>
      </c>
      <c r="L179" s="3148">
        <v>0</v>
      </c>
      <c r="M179" s="1431">
        <f>SUM(G179:K179)</f>
        <v>0</v>
      </c>
      <c r="N179" s="3607"/>
      <c r="O179" s="3323"/>
    </row>
    <row r="180" spans="1:15" ht="13.5" thickBot="1">
      <c r="A180" s="3625"/>
      <c r="B180" s="1588" t="s">
        <v>17</v>
      </c>
      <c r="C180" s="3614"/>
      <c r="D180" s="1179">
        <f>+D181</f>
        <v>28900</v>
      </c>
      <c r="E180" s="1219">
        <f t="shared" ref="E180:K180" si="137">+E181</f>
        <v>0</v>
      </c>
      <c r="F180" s="1179">
        <f t="shared" si="137"/>
        <v>28900</v>
      </c>
      <c r="G180" s="1219">
        <f t="shared" si="137"/>
        <v>0</v>
      </c>
      <c r="H180" s="1219">
        <f t="shared" si="137"/>
        <v>0</v>
      </c>
      <c r="I180" s="1219">
        <f t="shared" si="137"/>
        <v>0</v>
      </c>
      <c r="J180" s="1219">
        <f t="shared" si="137"/>
        <v>0</v>
      </c>
      <c r="K180" s="1219">
        <f t="shared" si="137"/>
        <v>0</v>
      </c>
      <c r="L180" s="1219">
        <f>+L181</f>
        <v>0</v>
      </c>
      <c r="M180" s="1433">
        <f>+M181</f>
        <v>0</v>
      </c>
      <c r="N180" s="3607"/>
      <c r="O180" s="2817"/>
    </row>
    <row r="181" spans="1:15" ht="13.5" thickBot="1">
      <c r="A181" s="3625"/>
      <c r="B181" s="1589" t="s">
        <v>19</v>
      </c>
      <c r="C181" s="3614"/>
      <c r="D181" s="1113">
        <f>E181+L181+F181+G181+H181+I181+J181+K181</f>
        <v>28900</v>
      </c>
      <c r="E181" s="3163">
        <v>0</v>
      </c>
      <c r="F181" s="1182">
        <f>50575-21675</f>
        <v>28900</v>
      </c>
      <c r="G181" s="2397">
        <v>0</v>
      </c>
      <c r="H181" s="2397">
        <v>0</v>
      </c>
      <c r="I181" s="2397">
        <v>0</v>
      </c>
      <c r="J181" s="2397">
        <v>0</v>
      </c>
      <c r="K181" s="2397">
        <v>0</v>
      </c>
      <c r="L181" s="2397">
        <v>0</v>
      </c>
      <c r="M181" s="1431">
        <f>SUM(G181:K181)</f>
        <v>0</v>
      </c>
      <c r="N181" s="3607"/>
      <c r="O181" s="2817"/>
    </row>
    <row r="182" spans="1:15" ht="13.5" thickBot="1">
      <c r="A182" s="3625"/>
      <c r="B182" s="1587" t="s">
        <v>20</v>
      </c>
      <c r="C182" s="1587"/>
      <c r="D182" s="1432">
        <f>D185+D183</f>
        <v>32300</v>
      </c>
      <c r="E182" s="3161">
        <f t="shared" ref="E182" si="138">E185+E183</f>
        <v>0</v>
      </c>
      <c r="F182" s="1432">
        <f t="shared" ref="F182" si="139">F185+F183</f>
        <v>32300</v>
      </c>
      <c r="G182" s="3161">
        <f t="shared" ref="G182" si="140">G185+G183</f>
        <v>0</v>
      </c>
      <c r="H182" s="3161">
        <f t="shared" ref="H182" si="141">H185+H183</f>
        <v>0</v>
      </c>
      <c r="I182" s="3161">
        <f t="shared" ref="I182" si="142">I185+I183</f>
        <v>0</v>
      </c>
      <c r="J182" s="3161">
        <f t="shared" ref="J182" si="143">J185+J183</f>
        <v>0</v>
      </c>
      <c r="K182" s="3161">
        <f t="shared" ref="K182" si="144">K185+K183</f>
        <v>0</v>
      </c>
      <c r="L182" s="3161">
        <f t="shared" ref="L182" si="145">L185+L183</f>
        <v>0</v>
      </c>
      <c r="M182" s="3601" t="s">
        <v>52</v>
      </c>
      <c r="N182" s="3615" t="s">
        <v>416</v>
      </c>
      <c r="O182" s="2817"/>
    </row>
    <row r="183" spans="1:15" s="2819" customFormat="1" ht="13.5" thickBot="1">
      <c r="A183" s="3625"/>
      <c r="B183" s="1597" t="s">
        <v>22</v>
      </c>
      <c r="C183" s="3618" t="s">
        <v>321</v>
      </c>
      <c r="D183" s="1179">
        <f t="shared" ref="D183:K185" si="146">+D184</f>
        <v>3400</v>
      </c>
      <c r="E183" s="1219">
        <f t="shared" si="146"/>
        <v>0</v>
      </c>
      <c r="F183" s="1179">
        <f t="shared" si="146"/>
        <v>3400</v>
      </c>
      <c r="G183" s="1219">
        <f t="shared" si="146"/>
        <v>0</v>
      </c>
      <c r="H183" s="1219">
        <f t="shared" si="146"/>
        <v>0</v>
      </c>
      <c r="I183" s="1219">
        <f t="shared" si="146"/>
        <v>0</v>
      </c>
      <c r="J183" s="1219">
        <f t="shared" si="146"/>
        <v>0</v>
      </c>
      <c r="K183" s="1219">
        <f t="shared" si="146"/>
        <v>0</v>
      </c>
      <c r="L183" s="1219">
        <f>+L184</f>
        <v>0</v>
      </c>
      <c r="M183" s="3601"/>
      <c r="N183" s="3616"/>
      <c r="O183" s="3327"/>
    </row>
    <row r="184" spans="1:15" s="2819" customFormat="1" ht="13.5" thickBot="1">
      <c r="A184" s="3625"/>
      <c r="B184" s="2219" t="s">
        <v>12</v>
      </c>
      <c r="C184" s="3619"/>
      <c r="D184" s="1152">
        <f>E184+L184+F184+G184+H184+I184+J184+K184</f>
        <v>3400</v>
      </c>
      <c r="E184" s="1490">
        <v>0</v>
      </c>
      <c r="F184" s="1491">
        <f>5950-2550</f>
        <v>3400</v>
      </c>
      <c r="G184" s="1492">
        <v>0</v>
      </c>
      <c r="H184" s="1492">
        <v>0</v>
      </c>
      <c r="I184" s="1492">
        <v>0</v>
      </c>
      <c r="J184" s="1492">
        <v>0</v>
      </c>
      <c r="K184" s="1492">
        <v>0</v>
      </c>
      <c r="L184" s="1490">
        <v>0</v>
      </c>
      <c r="M184" s="3601"/>
      <c r="N184" s="3616"/>
      <c r="O184" s="3328">
        <f>D184-D179</f>
        <v>0</v>
      </c>
    </row>
    <row r="185" spans="1:15" ht="12.75" customHeight="1" thickBot="1">
      <c r="A185" s="3625"/>
      <c r="B185" s="1588" t="s">
        <v>17</v>
      </c>
      <c r="C185" s="3619"/>
      <c r="D185" s="1480">
        <f t="shared" si="146"/>
        <v>28900</v>
      </c>
      <c r="E185" s="1219">
        <f t="shared" si="146"/>
        <v>0</v>
      </c>
      <c r="F185" s="1179">
        <f t="shared" si="146"/>
        <v>28900</v>
      </c>
      <c r="G185" s="1219">
        <f t="shared" si="146"/>
        <v>0</v>
      </c>
      <c r="H185" s="1219">
        <f t="shared" si="146"/>
        <v>0</v>
      </c>
      <c r="I185" s="1219">
        <f t="shared" si="146"/>
        <v>0</v>
      </c>
      <c r="J185" s="1219">
        <f t="shared" si="146"/>
        <v>0</v>
      </c>
      <c r="K185" s="1219">
        <f t="shared" si="146"/>
        <v>0</v>
      </c>
      <c r="L185" s="1219">
        <f>+L186</f>
        <v>0</v>
      </c>
      <c r="M185" s="3601"/>
      <c r="N185" s="3616"/>
      <c r="O185" s="2817"/>
    </row>
    <row r="186" spans="1:15" ht="13.5" thickBot="1">
      <c r="A186" s="3625"/>
      <c r="B186" s="1733" t="s">
        <v>19</v>
      </c>
      <c r="C186" s="3620"/>
      <c r="D186" s="1679">
        <f>E186+L186+F186+G186+H186+I186+J186+K186</f>
        <v>28900</v>
      </c>
      <c r="E186" s="2028">
        <v>0</v>
      </c>
      <c r="F186" s="1423">
        <f>50575-21675</f>
        <v>28900</v>
      </c>
      <c r="G186" s="1424">
        <v>0</v>
      </c>
      <c r="H186" s="1424">
        <v>0</v>
      </c>
      <c r="I186" s="1424">
        <v>0</v>
      </c>
      <c r="J186" s="1424">
        <v>0</v>
      </c>
      <c r="K186" s="1424">
        <v>0</v>
      </c>
      <c r="L186" s="1424">
        <v>0</v>
      </c>
      <c r="M186" s="3548"/>
      <c r="N186" s="3617"/>
      <c r="O186" s="2809">
        <f>D186-D181</f>
        <v>0</v>
      </c>
    </row>
    <row r="187" spans="1:15" s="2820" customFormat="1" ht="25.5" customHeight="1" thickBot="1">
      <c r="A187" s="3625" t="s">
        <v>84</v>
      </c>
      <c r="B187" s="1003" t="s">
        <v>411</v>
      </c>
      <c r="C187" s="1004" t="s">
        <v>99</v>
      </c>
      <c r="D187" s="942"/>
      <c r="E187" s="942"/>
      <c r="F187" s="942"/>
      <c r="G187" s="942"/>
      <c r="H187" s="942"/>
      <c r="I187" s="942"/>
      <c r="J187" s="942"/>
      <c r="K187" s="942"/>
      <c r="L187" s="942"/>
      <c r="M187" s="942"/>
      <c r="N187" s="3605" t="s">
        <v>265</v>
      </c>
      <c r="O187" s="2809"/>
    </row>
    <row r="188" spans="1:15" s="2820" customFormat="1" ht="13.5" thickBot="1">
      <c r="A188" s="3625"/>
      <c r="B188" s="1587" t="s">
        <v>9</v>
      </c>
      <c r="C188" s="1005"/>
      <c r="D188" s="1596">
        <f>+D189+D196</f>
        <v>828175</v>
      </c>
      <c r="E188" s="3140">
        <f t="shared" ref="E188:M188" si="147">+E189+E196</f>
        <v>0</v>
      </c>
      <c r="F188" s="1214">
        <f t="shared" si="147"/>
        <v>407100</v>
      </c>
      <c r="G188" s="1214">
        <f t="shared" si="147"/>
        <v>421075</v>
      </c>
      <c r="H188" s="3140">
        <f t="shared" si="147"/>
        <v>0</v>
      </c>
      <c r="I188" s="3140">
        <f t="shared" si="147"/>
        <v>0</v>
      </c>
      <c r="J188" s="3140">
        <f t="shared" si="147"/>
        <v>0</v>
      </c>
      <c r="K188" s="3140">
        <f t="shared" si="147"/>
        <v>0</v>
      </c>
      <c r="L188" s="3140">
        <f>+L189+L196</f>
        <v>0</v>
      </c>
      <c r="M188" s="1171">
        <f t="shared" si="147"/>
        <v>421075</v>
      </c>
      <c r="N188" s="3607"/>
      <c r="O188" s="2809"/>
    </row>
    <row r="189" spans="1:15" s="2820" customFormat="1" ht="13.5" thickBot="1">
      <c r="A189" s="3625"/>
      <c r="B189" s="1588" t="s">
        <v>22</v>
      </c>
      <c r="C189" s="3613" t="s">
        <v>402</v>
      </c>
      <c r="D189" s="1412">
        <f>+D190+D193</f>
        <v>124226</v>
      </c>
      <c r="E189" s="3141">
        <f t="shared" ref="E189:K189" si="148">+E190+E193</f>
        <v>0</v>
      </c>
      <c r="F189" s="1412">
        <f t="shared" si="148"/>
        <v>61065</v>
      </c>
      <c r="G189" s="1412">
        <f t="shared" si="148"/>
        <v>63161</v>
      </c>
      <c r="H189" s="3141">
        <f t="shared" si="148"/>
        <v>0</v>
      </c>
      <c r="I189" s="3141">
        <f t="shared" si="148"/>
        <v>0</v>
      </c>
      <c r="J189" s="3141">
        <f t="shared" si="148"/>
        <v>0</v>
      </c>
      <c r="K189" s="3141">
        <f t="shared" si="148"/>
        <v>0</v>
      </c>
      <c r="L189" s="3141">
        <f>+L190+L193</f>
        <v>0</v>
      </c>
      <c r="M189" s="1734">
        <f>+M190+M193</f>
        <v>63161</v>
      </c>
      <c r="N189" s="3607"/>
      <c r="O189" s="2809"/>
    </row>
    <row r="190" spans="1:15" s="2820" customFormat="1" ht="13.5" thickBot="1">
      <c r="A190" s="3625"/>
      <c r="B190" s="1589" t="s">
        <v>11</v>
      </c>
      <c r="C190" s="3614"/>
      <c r="D190" s="1113">
        <f>E190+L190+F190+G190+H190+I190+J190+K190</f>
        <v>41409</v>
      </c>
      <c r="E190" s="3163">
        <v>0</v>
      </c>
      <c r="F190" s="1460">
        <f>F191+F192</f>
        <v>20355</v>
      </c>
      <c r="G190" s="1460">
        <f t="shared" ref="G190:K190" si="149">G191+G192</f>
        <v>21054</v>
      </c>
      <c r="H190" s="3148">
        <f t="shared" si="149"/>
        <v>0</v>
      </c>
      <c r="I190" s="3148">
        <f t="shared" si="149"/>
        <v>0</v>
      </c>
      <c r="J190" s="3148">
        <f t="shared" si="149"/>
        <v>0</v>
      </c>
      <c r="K190" s="3148">
        <f t="shared" si="149"/>
        <v>0</v>
      </c>
      <c r="L190" s="3148">
        <v>0</v>
      </c>
      <c r="M190" s="1431">
        <f>SUM(G190:K190)</f>
        <v>21054</v>
      </c>
      <c r="N190" s="3607"/>
      <c r="O190" s="2809"/>
    </row>
    <row r="191" spans="1:15" s="2820" customFormat="1" ht="13.5" hidden="1" thickBot="1">
      <c r="A191" s="3625"/>
      <c r="B191" s="3164" t="s">
        <v>245</v>
      </c>
      <c r="C191" s="3614"/>
      <c r="D191" s="3150">
        <f>SUM(E191:K191)</f>
        <v>16432</v>
      </c>
      <c r="E191" s="1485">
        <v>0</v>
      </c>
      <c r="F191" s="3151">
        <v>7931</v>
      </c>
      <c r="G191" s="3151">
        <v>8501</v>
      </c>
      <c r="H191" s="1485">
        <v>0</v>
      </c>
      <c r="I191" s="1485">
        <v>0</v>
      </c>
      <c r="J191" s="1485">
        <v>0</v>
      </c>
      <c r="K191" s="1485">
        <v>0</v>
      </c>
      <c r="L191" s="3152">
        <v>0</v>
      </c>
      <c r="M191" s="3144">
        <f>SUM(F191:K191)</f>
        <v>16432</v>
      </c>
      <c r="N191" s="3607"/>
      <c r="O191" s="2809"/>
    </row>
    <row r="192" spans="1:15" s="2820" customFormat="1" ht="13.5" hidden="1" thickBot="1">
      <c r="A192" s="3625"/>
      <c r="B192" s="3165" t="s">
        <v>260</v>
      </c>
      <c r="C192" s="3614"/>
      <c r="D192" s="3166">
        <f>SUM(E192:K192)</f>
        <v>24977</v>
      </c>
      <c r="E192" s="3167">
        <v>0</v>
      </c>
      <c r="F192" s="3168">
        <v>12424</v>
      </c>
      <c r="G192" s="3168">
        <v>12553</v>
      </c>
      <c r="H192" s="3167">
        <v>0</v>
      </c>
      <c r="I192" s="3167">
        <v>0</v>
      </c>
      <c r="J192" s="3167">
        <v>0</v>
      </c>
      <c r="K192" s="3167">
        <v>0</v>
      </c>
      <c r="L192" s="3169">
        <v>0</v>
      </c>
      <c r="M192" s="3144">
        <f>SUM(F192:K192)</f>
        <v>24977</v>
      </c>
      <c r="N192" s="3607"/>
      <c r="O192" s="2809"/>
    </row>
    <row r="193" spans="1:15" s="2820" customFormat="1" ht="13.5" thickBot="1">
      <c r="A193" s="3625"/>
      <c r="B193" s="2219" t="s">
        <v>12</v>
      </c>
      <c r="C193" s="3614"/>
      <c r="D193" s="1113">
        <f>E193+L193+F193+G193+H193+I193+J193+K193</f>
        <v>82817</v>
      </c>
      <c r="E193" s="3163">
        <v>0</v>
      </c>
      <c r="F193" s="1460">
        <f>F194+F195</f>
        <v>40710</v>
      </c>
      <c r="G193" s="1460">
        <f t="shared" ref="G193:K193" si="150">G194+G195</f>
        <v>42107</v>
      </c>
      <c r="H193" s="3148">
        <f t="shared" si="150"/>
        <v>0</v>
      </c>
      <c r="I193" s="3148">
        <f t="shared" si="150"/>
        <v>0</v>
      </c>
      <c r="J193" s="3148">
        <f t="shared" si="150"/>
        <v>0</v>
      </c>
      <c r="K193" s="3148">
        <f t="shared" si="150"/>
        <v>0</v>
      </c>
      <c r="L193" s="3148">
        <v>0</v>
      </c>
      <c r="M193" s="1431">
        <f>SUM(G193:K193)</f>
        <v>42107</v>
      </c>
      <c r="N193" s="3607"/>
      <c r="O193" s="2809"/>
    </row>
    <row r="194" spans="1:15" s="2820" customFormat="1" ht="13.5" hidden="1" thickBot="1">
      <c r="A194" s="3625"/>
      <c r="B194" s="3164" t="s">
        <v>245</v>
      </c>
      <c r="C194" s="3614"/>
      <c r="D194" s="3150">
        <f>SUM(E194:K194)</f>
        <v>32863</v>
      </c>
      <c r="E194" s="1485">
        <v>0</v>
      </c>
      <c r="F194" s="3151">
        <v>15862</v>
      </c>
      <c r="G194" s="3151">
        <v>17001</v>
      </c>
      <c r="H194" s="1485">
        <v>0</v>
      </c>
      <c r="I194" s="1485">
        <v>0</v>
      </c>
      <c r="J194" s="1485">
        <v>0</v>
      </c>
      <c r="K194" s="1485">
        <v>0</v>
      </c>
      <c r="L194" s="3152">
        <v>0</v>
      </c>
      <c r="M194" s="1431">
        <f t="shared" ref="M194:M195" si="151">SUM(F194:K194)</f>
        <v>32863</v>
      </c>
      <c r="N194" s="3607"/>
      <c r="O194" s="2809"/>
    </row>
    <row r="195" spans="1:15" s="2820" customFormat="1" ht="13.5" hidden="1" thickBot="1">
      <c r="A195" s="3625"/>
      <c r="B195" s="3165" t="s">
        <v>260</v>
      </c>
      <c r="C195" s="3614"/>
      <c r="D195" s="3166">
        <f>SUM(E195:K195)</f>
        <v>49954</v>
      </c>
      <c r="E195" s="3167">
        <v>0</v>
      </c>
      <c r="F195" s="3168">
        <v>24848</v>
      </c>
      <c r="G195" s="3168">
        <v>25106</v>
      </c>
      <c r="H195" s="3167">
        <v>0</v>
      </c>
      <c r="I195" s="3167">
        <v>0</v>
      </c>
      <c r="J195" s="3167">
        <v>0</v>
      </c>
      <c r="K195" s="3167">
        <v>0</v>
      </c>
      <c r="L195" s="3169">
        <v>0</v>
      </c>
      <c r="M195" s="1431">
        <f t="shared" si="151"/>
        <v>49954</v>
      </c>
      <c r="N195" s="3607"/>
      <c r="O195" s="2809"/>
    </row>
    <row r="196" spans="1:15" s="2820" customFormat="1" ht="13.5" thickBot="1">
      <c r="A196" s="3625"/>
      <c r="B196" s="1588" t="s">
        <v>17</v>
      </c>
      <c r="C196" s="3614"/>
      <c r="D196" s="1179">
        <f>+D197</f>
        <v>703949</v>
      </c>
      <c r="E196" s="1219">
        <f t="shared" ref="E196:K196" si="152">+E197</f>
        <v>0</v>
      </c>
      <c r="F196" s="1179">
        <f t="shared" si="152"/>
        <v>346035</v>
      </c>
      <c r="G196" s="1179">
        <f t="shared" si="152"/>
        <v>357914</v>
      </c>
      <c r="H196" s="1219">
        <f t="shared" si="152"/>
        <v>0</v>
      </c>
      <c r="I196" s="1219">
        <f t="shared" si="152"/>
        <v>0</v>
      </c>
      <c r="J196" s="1219">
        <f t="shared" si="152"/>
        <v>0</v>
      </c>
      <c r="K196" s="1219">
        <f t="shared" si="152"/>
        <v>0</v>
      </c>
      <c r="L196" s="1219">
        <f>+L197</f>
        <v>0</v>
      </c>
      <c r="M196" s="1433">
        <f>+M197</f>
        <v>357914</v>
      </c>
      <c r="N196" s="3607"/>
      <c r="O196" s="2809"/>
    </row>
    <row r="197" spans="1:15" s="2820" customFormat="1" ht="13.5" thickBot="1">
      <c r="A197" s="3625"/>
      <c r="B197" s="1589" t="s">
        <v>19</v>
      </c>
      <c r="C197" s="3614"/>
      <c r="D197" s="1113">
        <f>E197+L197+F197+G197+H197+I197+J197+K197</f>
        <v>703949</v>
      </c>
      <c r="E197" s="3163">
        <v>0</v>
      </c>
      <c r="F197" s="1182">
        <f>F198+F199</f>
        <v>346035</v>
      </c>
      <c r="G197" s="1182">
        <f t="shared" ref="G197:K197" si="153">G198+G199</f>
        <v>357914</v>
      </c>
      <c r="H197" s="2397">
        <f t="shared" si="153"/>
        <v>0</v>
      </c>
      <c r="I197" s="2397">
        <f t="shared" si="153"/>
        <v>0</v>
      </c>
      <c r="J197" s="2397">
        <f t="shared" si="153"/>
        <v>0</v>
      </c>
      <c r="K197" s="2397">
        <f t="shared" si="153"/>
        <v>0</v>
      </c>
      <c r="L197" s="2397">
        <v>0</v>
      </c>
      <c r="M197" s="1431">
        <f>SUM(G197:K197)</f>
        <v>357914</v>
      </c>
      <c r="N197" s="3607"/>
      <c r="O197" s="2809"/>
    </row>
    <row r="198" spans="1:15" s="2820" customFormat="1" ht="13.5" hidden="1" thickBot="1">
      <c r="A198" s="3625"/>
      <c r="B198" s="3164" t="s">
        <v>245</v>
      </c>
      <c r="C198" s="3170"/>
      <c r="D198" s="3150">
        <f>SUM(E198:K198)</f>
        <v>279340</v>
      </c>
      <c r="E198" s="1485">
        <v>0</v>
      </c>
      <c r="F198" s="3151">
        <v>134827</v>
      </c>
      <c r="G198" s="3151">
        <v>144513</v>
      </c>
      <c r="H198" s="1485">
        <v>0</v>
      </c>
      <c r="I198" s="1485">
        <v>0</v>
      </c>
      <c r="J198" s="1485">
        <v>0</v>
      </c>
      <c r="K198" s="1485">
        <v>0</v>
      </c>
      <c r="L198" s="1485">
        <v>0</v>
      </c>
      <c r="M198" s="3144">
        <f>SUM(F198:K198)</f>
        <v>279340</v>
      </c>
      <c r="N198" s="3607"/>
      <c r="O198" s="2809"/>
    </row>
    <row r="199" spans="1:15" s="2820" customFormat="1" ht="13.5" hidden="1" thickBot="1">
      <c r="A199" s="3625"/>
      <c r="B199" s="3165" t="s">
        <v>260</v>
      </c>
      <c r="C199" s="3171"/>
      <c r="D199" s="3166">
        <f>SUM(E199:K199)</f>
        <v>424609</v>
      </c>
      <c r="E199" s="3167">
        <v>0</v>
      </c>
      <c r="F199" s="3168">
        <v>211208</v>
      </c>
      <c r="G199" s="3168">
        <v>213401</v>
      </c>
      <c r="H199" s="3167">
        <v>0</v>
      </c>
      <c r="I199" s="3167">
        <v>0</v>
      </c>
      <c r="J199" s="3167">
        <v>0</v>
      </c>
      <c r="K199" s="3167">
        <v>0</v>
      </c>
      <c r="L199" s="3167">
        <v>0</v>
      </c>
      <c r="M199" s="3144">
        <f>SUM(F199:K199)</f>
        <v>424609</v>
      </c>
      <c r="N199" s="3608"/>
      <c r="O199" s="2809"/>
    </row>
    <row r="200" spans="1:15" s="2820" customFormat="1" ht="13.5" thickBot="1">
      <c r="A200" s="3626"/>
      <c r="B200" s="1587" t="s">
        <v>20</v>
      </c>
      <c r="C200" s="1587"/>
      <c r="D200" s="1432">
        <f>D203+D201</f>
        <v>786766</v>
      </c>
      <c r="E200" s="3161">
        <f t="shared" ref="E200:K200" si="154">E203+E201</f>
        <v>0</v>
      </c>
      <c r="F200" s="1432">
        <f t="shared" si="154"/>
        <v>386745</v>
      </c>
      <c r="G200" s="1432">
        <f t="shared" si="154"/>
        <v>400021</v>
      </c>
      <c r="H200" s="3161">
        <f t="shared" si="154"/>
        <v>0</v>
      </c>
      <c r="I200" s="3161">
        <f t="shared" si="154"/>
        <v>0</v>
      </c>
      <c r="J200" s="3161">
        <f t="shared" si="154"/>
        <v>0</v>
      </c>
      <c r="K200" s="3161">
        <f t="shared" si="154"/>
        <v>0</v>
      </c>
      <c r="L200" s="3161">
        <f>L203+L201</f>
        <v>0</v>
      </c>
      <c r="M200" s="3548" t="s">
        <v>52</v>
      </c>
      <c r="N200" s="3624" t="s">
        <v>401</v>
      </c>
      <c r="O200" s="2809"/>
    </row>
    <row r="201" spans="1:15" s="2820" customFormat="1" ht="13.5" thickBot="1">
      <c r="A201" s="3626"/>
      <c r="B201" s="1597" t="s">
        <v>22</v>
      </c>
      <c r="C201" s="3627" t="s">
        <v>321</v>
      </c>
      <c r="D201" s="1179">
        <f t="shared" ref="D201:K203" si="155">+D202</f>
        <v>82817</v>
      </c>
      <c r="E201" s="1219">
        <f t="shared" si="155"/>
        <v>0</v>
      </c>
      <c r="F201" s="1179">
        <f t="shared" si="155"/>
        <v>40710</v>
      </c>
      <c r="G201" s="1179">
        <f t="shared" si="155"/>
        <v>42107</v>
      </c>
      <c r="H201" s="1219">
        <f t="shared" si="155"/>
        <v>0</v>
      </c>
      <c r="I201" s="1219">
        <f t="shared" si="155"/>
        <v>0</v>
      </c>
      <c r="J201" s="1219">
        <f t="shared" si="155"/>
        <v>0</v>
      </c>
      <c r="K201" s="1219">
        <f t="shared" si="155"/>
        <v>0</v>
      </c>
      <c r="L201" s="1219">
        <f>+L202</f>
        <v>0</v>
      </c>
      <c r="M201" s="3532"/>
      <c r="N201" s="3622"/>
      <c r="O201" s="2809"/>
    </row>
    <row r="202" spans="1:15" s="2820" customFormat="1" ht="13.5" thickBot="1">
      <c r="A202" s="3626"/>
      <c r="B202" s="2219" t="s">
        <v>12</v>
      </c>
      <c r="C202" s="3628"/>
      <c r="D202" s="1152">
        <f>E202+L202+F202+G202+H202+I202+J202+K202</f>
        <v>82817</v>
      </c>
      <c r="E202" s="1490">
        <v>0</v>
      </c>
      <c r="F202" s="1491">
        <v>40710</v>
      </c>
      <c r="G202" s="1491">
        <v>42107</v>
      </c>
      <c r="H202" s="1490">
        <v>0</v>
      </c>
      <c r="I202" s="1490">
        <v>0</v>
      </c>
      <c r="J202" s="1490">
        <v>0</v>
      </c>
      <c r="K202" s="1490">
        <v>0</v>
      </c>
      <c r="L202" s="1490">
        <v>0</v>
      </c>
      <c r="M202" s="3532"/>
      <c r="N202" s="3622"/>
      <c r="O202" s="2809"/>
    </row>
    <row r="203" spans="1:15" s="2820" customFormat="1" ht="13.5" thickBot="1">
      <c r="A203" s="3626"/>
      <c r="B203" s="1588" t="s">
        <v>17</v>
      </c>
      <c r="C203" s="3628"/>
      <c r="D203" s="1480">
        <f t="shared" si="155"/>
        <v>703949</v>
      </c>
      <c r="E203" s="1219">
        <f t="shared" si="155"/>
        <v>0</v>
      </c>
      <c r="F203" s="1179">
        <f t="shared" si="155"/>
        <v>346035</v>
      </c>
      <c r="G203" s="1179">
        <f t="shared" si="155"/>
        <v>357914</v>
      </c>
      <c r="H203" s="1219">
        <f t="shared" si="155"/>
        <v>0</v>
      </c>
      <c r="I203" s="1219">
        <f t="shared" si="155"/>
        <v>0</v>
      </c>
      <c r="J203" s="1219">
        <f t="shared" si="155"/>
        <v>0</v>
      </c>
      <c r="K203" s="1219">
        <f t="shared" si="155"/>
        <v>0</v>
      </c>
      <c r="L203" s="1219">
        <f>+L204</f>
        <v>0</v>
      </c>
      <c r="M203" s="3532"/>
      <c r="N203" s="3622"/>
      <c r="O203" s="2809"/>
    </row>
    <row r="204" spans="1:15" s="2820" customFormat="1" ht="13.5" thickBot="1">
      <c r="A204" s="3626"/>
      <c r="B204" s="1733" t="s">
        <v>19</v>
      </c>
      <c r="C204" s="3628"/>
      <c r="D204" s="1679">
        <f>E204+L204+F204+G204+H204+I204+J204+K204</f>
        <v>703949</v>
      </c>
      <c r="E204" s="2028">
        <v>0</v>
      </c>
      <c r="F204" s="1423">
        <v>346035</v>
      </c>
      <c r="G204" s="1423">
        <v>357914</v>
      </c>
      <c r="H204" s="1424">
        <v>0</v>
      </c>
      <c r="I204" s="1424">
        <v>0</v>
      </c>
      <c r="J204" s="1424">
        <v>0</v>
      </c>
      <c r="K204" s="1424">
        <v>0</v>
      </c>
      <c r="L204" s="1424">
        <v>0</v>
      </c>
      <c r="M204" s="3532"/>
      <c r="N204" s="3622"/>
      <c r="O204" s="2809"/>
    </row>
    <row r="205" spans="1:15" s="2820" customFormat="1" ht="24.75" customHeight="1" thickBot="1">
      <c r="A205" s="3609" t="s">
        <v>85</v>
      </c>
      <c r="B205" s="1003" t="s">
        <v>409</v>
      </c>
      <c r="C205" s="1004" t="s">
        <v>99</v>
      </c>
      <c r="D205" s="942"/>
      <c r="E205" s="942"/>
      <c r="F205" s="942"/>
      <c r="G205" s="942"/>
      <c r="H205" s="942"/>
      <c r="I205" s="942"/>
      <c r="J205" s="942"/>
      <c r="K205" s="942"/>
      <c r="L205" s="942"/>
      <c r="M205" s="942"/>
      <c r="N205" s="3621" t="s">
        <v>265</v>
      </c>
      <c r="O205" s="2809"/>
    </row>
    <row r="206" spans="1:15" s="2820" customFormat="1" ht="13.5" thickBot="1">
      <c r="A206" s="3610"/>
      <c r="B206" s="1587" t="s">
        <v>9</v>
      </c>
      <c r="C206" s="1005"/>
      <c r="D206" s="1596">
        <f t="shared" ref="D206:M206" si="156">+D207+D211</f>
        <v>10175942</v>
      </c>
      <c r="E206" s="3140">
        <f t="shared" si="156"/>
        <v>0</v>
      </c>
      <c r="F206" s="1214">
        <f t="shared" si="156"/>
        <v>550000</v>
      </c>
      <c r="G206" s="1214">
        <f t="shared" si="156"/>
        <v>4122312</v>
      </c>
      <c r="H206" s="1214">
        <f t="shared" si="156"/>
        <v>2739330</v>
      </c>
      <c r="I206" s="1214">
        <f t="shared" si="156"/>
        <v>2327050</v>
      </c>
      <c r="J206" s="1214">
        <f t="shared" si="156"/>
        <v>437250</v>
      </c>
      <c r="K206" s="3140">
        <f t="shared" si="156"/>
        <v>0</v>
      </c>
      <c r="L206" s="3140">
        <f>+L207+L211</f>
        <v>0</v>
      </c>
      <c r="M206" s="1171">
        <f t="shared" si="156"/>
        <v>9625942</v>
      </c>
      <c r="N206" s="3621"/>
      <c r="O206" s="2809"/>
    </row>
    <row r="207" spans="1:15" s="2820" customFormat="1" ht="13.5" thickBot="1">
      <c r="A207" s="3610"/>
      <c r="B207" s="1588" t="s">
        <v>22</v>
      </c>
      <c r="C207" s="3613" t="s">
        <v>262</v>
      </c>
      <c r="D207" s="1412">
        <f>+D208</f>
        <v>1599658</v>
      </c>
      <c r="E207" s="3141">
        <f t="shared" ref="E207:K207" si="157">+E208</f>
        <v>0</v>
      </c>
      <c r="F207" s="1412">
        <f t="shared" si="157"/>
        <v>86460</v>
      </c>
      <c r="G207" s="1412">
        <f t="shared" si="157"/>
        <v>648027</v>
      </c>
      <c r="H207" s="1412">
        <f t="shared" si="157"/>
        <v>430623</v>
      </c>
      <c r="I207" s="1412">
        <f t="shared" si="157"/>
        <v>365812</v>
      </c>
      <c r="J207" s="1412">
        <f t="shared" si="157"/>
        <v>68736</v>
      </c>
      <c r="K207" s="3141">
        <f t="shared" si="157"/>
        <v>0</v>
      </c>
      <c r="L207" s="3141">
        <f>+L208</f>
        <v>0</v>
      </c>
      <c r="M207" s="1734">
        <f>+M208</f>
        <v>1513198</v>
      </c>
      <c r="N207" s="3621"/>
      <c r="O207" s="2809"/>
    </row>
    <row r="208" spans="1:15" s="2820" customFormat="1" ht="13.5" thickBot="1">
      <c r="A208" s="3610"/>
      <c r="B208" s="2219" t="s">
        <v>12</v>
      </c>
      <c r="C208" s="3614"/>
      <c r="D208" s="1113">
        <f>E208+L208+F208+G208+H208+I208+J208+K208</f>
        <v>1599658</v>
      </c>
      <c r="E208" s="3163">
        <v>0</v>
      </c>
      <c r="F208" s="1460">
        <f>F209+F210</f>
        <v>86460</v>
      </c>
      <c r="G208" s="1460">
        <f t="shared" ref="G208:K208" si="158">G209+G210</f>
        <v>648027</v>
      </c>
      <c r="H208" s="1460">
        <f t="shared" si="158"/>
        <v>430623</v>
      </c>
      <c r="I208" s="1460">
        <f t="shared" si="158"/>
        <v>365812</v>
      </c>
      <c r="J208" s="1460">
        <f t="shared" si="158"/>
        <v>68736</v>
      </c>
      <c r="K208" s="3148">
        <f t="shared" si="158"/>
        <v>0</v>
      </c>
      <c r="L208" s="3148">
        <v>0</v>
      </c>
      <c r="M208" s="1431">
        <f>SUM(G208:K208)</f>
        <v>1513198</v>
      </c>
      <c r="N208" s="3621"/>
      <c r="O208" s="2809">
        <f>D208-D217</f>
        <v>0</v>
      </c>
    </row>
    <row r="209" spans="1:15" s="2820" customFormat="1" ht="13.5" hidden="1" thickBot="1">
      <c r="A209" s="3610"/>
      <c r="B209" s="3164" t="s">
        <v>245</v>
      </c>
      <c r="C209" s="3614"/>
      <c r="D209" s="3150">
        <f>SUM(E209:K209)</f>
        <v>157767</v>
      </c>
      <c r="E209" s="1485">
        <v>0</v>
      </c>
      <c r="F209" s="3151">
        <v>14831</v>
      </c>
      <c r="G209" s="3151">
        <v>54829</v>
      </c>
      <c r="H209" s="3151">
        <v>41576</v>
      </c>
      <c r="I209" s="3151">
        <v>37625</v>
      </c>
      <c r="J209" s="3151">
        <v>8906</v>
      </c>
      <c r="K209" s="1485">
        <v>0</v>
      </c>
      <c r="L209" s="3152">
        <v>0</v>
      </c>
      <c r="M209" s="1431">
        <f t="shared" ref="M209:M210" si="159">SUM(F209:K209)</f>
        <v>157767</v>
      </c>
      <c r="N209" s="3621"/>
      <c r="O209" s="2809"/>
    </row>
    <row r="210" spans="1:15" s="2820" customFormat="1" ht="13.5" hidden="1" thickBot="1">
      <c r="A210" s="3610"/>
      <c r="B210" s="3165" t="s">
        <v>260</v>
      </c>
      <c r="C210" s="3614"/>
      <c r="D210" s="3166">
        <f>SUM(E210:K210)</f>
        <v>1441891</v>
      </c>
      <c r="E210" s="3167">
        <v>0</v>
      </c>
      <c r="F210" s="3168">
        <v>71629</v>
      </c>
      <c r="G210" s="3168">
        <v>593198</v>
      </c>
      <c r="H210" s="3168">
        <v>389047</v>
      </c>
      <c r="I210" s="3168">
        <v>328187</v>
      </c>
      <c r="J210" s="3168">
        <v>59830</v>
      </c>
      <c r="K210" s="3167">
        <v>0</v>
      </c>
      <c r="L210" s="3169">
        <v>0</v>
      </c>
      <c r="M210" s="1431">
        <f t="shared" si="159"/>
        <v>1441891</v>
      </c>
      <c r="N210" s="3621"/>
      <c r="O210" s="2809"/>
    </row>
    <row r="211" spans="1:15" s="2820" customFormat="1" ht="13.5" thickBot="1">
      <c r="A211" s="3610"/>
      <c r="B211" s="1588" t="s">
        <v>17</v>
      </c>
      <c r="C211" s="3614"/>
      <c r="D211" s="1179">
        <f>+D212</f>
        <v>8576284</v>
      </c>
      <c r="E211" s="1219">
        <f t="shared" ref="E211:K211" si="160">+E212</f>
        <v>0</v>
      </c>
      <c r="F211" s="1179">
        <f t="shared" si="160"/>
        <v>463540</v>
      </c>
      <c r="G211" s="1179">
        <f t="shared" si="160"/>
        <v>3474285</v>
      </c>
      <c r="H211" s="1179">
        <f t="shared" si="160"/>
        <v>2308707</v>
      </c>
      <c r="I211" s="1179">
        <f t="shared" si="160"/>
        <v>1961238</v>
      </c>
      <c r="J211" s="1179">
        <f t="shared" si="160"/>
        <v>368514</v>
      </c>
      <c r="K211" s="1219">
        <f t="shared" si="160"/>
        <v>0</v>
      </c>
      <c r="L211" s="1219">
        <f>+L212</f>
        <v>0</v>
      </c>
      <c r="M211" s="1433">
        <f>+M212</f>
        <v>8112744</v>
      </c>
      <c r="N211" s="3621"/>
      <c r="O211" s="2809"/>
    </row>
    <row r="212" spans="1:15" s="2820" customFormat="1" ht="13.5" thickBot="1">
      <c r="A212" s="3610"/>
      <c r="B212" s="1589" t="s">
        <v>19</v>
      </c>
      <c r="C212" s="3614"/>
      <c r="D212" s="1113">
        <f>E212+L212+F212+G212+H212+I212+J212+K212</f>
        <v>8576284</v>
      </c>
      <c r="E212" s="3163">
        <v>0</v>
      </c>
      <c r="F212" s="1182">
        <f>F213+F214</f>
        <v>463540</v>
      </c>
      <c r="G212" s="1182">
        <f t="shared" ref="G212:K212" si="161">G213+G214</f>
        <v>3474285</v>
      </c>
      <c r="H212" s="1182">
        <f t="shared" si="161"/>
        <v>2308707</v>
      </c>
      <c r="I212" s="1182">
        <f t="shared" si="161"/>
        <v>1961238</v>
      </c>
      <c r="J212" s="1182">
        <f t="shared" si="161"/>
        <v>368514</v>
      </c>
      <c r="K212" s="2397">
        <f t="shared" si="161"/>
        <v>0</v>
      </c>
      <c r="L212" s="2397">
        <v>0</v>
      </c>
      <c r="M212" s="1431">
        <f>SUM(G212:K212)</f>
        <v>8112744</v>
      </c>
      <c r="N212" s="3621"/>
      <c r="O212" s="2809">
        <f>D212-D219</f>
        <v>0</v>
      </c>
    </row>
    <row r="213" spans="1:15" s="2820" customFormat="1" ht="13.5" hidden="1" thickBot="1">
      <c r="A213" s="3610"/>
      <c r="B213" s="3164" t="s">
        <v>245</v>
      </c>
      <c r="C213" s="3170"/>
      <c r="D213" s="3150">
        <f>SUM(E213:K213)</f>
        <v>845836</v>
      </c>
      <c r="E213" s="1485">
        <v>0</v>
      </c>
      <c r="F213" s="3151">
        <v>79510</v>
      </c>
      <c r="G213" s="3151">
        <v>293952</v>
      </c>
      <c r="H213" s="3151">
        <v>222904</v>
      </c>
      <c r="I213" s="3151">
        <v>201723</v>
      </c>
      <c r="J213" s="3151">
        <v>47747</v>
      </c>
      <c r="K213" s="1485">
        <v>0</v>
      </c>
      <c r="L213" s="1485">
        <v>0</v>
      </c>
      <c r="M213" s="3144">
        <f>SUM(F213:K213)</f>
        <v>845836</v>
      </c>
      <c r="N213" s="3621"/>
      <c r="O213" s="2809"/>
    </row>
    <row r="214" spans="1:15" s="2820" customFormat="1" hidden="1">
      <c r="A214" s="3610"/>
      <c r="B214" s="3165" t="s">
        <v>260</v>
      </c>
      <c r="C214" s="3171"/>
      <c r="D214" s="3166">
        <f>SUM(E214:K214)</f>
        <v>7730448</v>
      </c>
      <c r="E214" s="3167">
        <v>0</v>
      </c>
      <c r="F214" s="3168">
        <v>384030</v>
      </c>
      <c r="G214" s="3168">
        <v>3180333</v>
      </c>
      <c r="H214" s="3168">
        <v>2085803</v>
      </c>
      <c r="I214" s="3168">
        <v>1759515</v>
      </c>
      <c r="J214" s="3168">
        <v>320767</v>
      </c>
      <c r="K214" s="3167">
        <v>0</v>
      </c>
      <c r="L214" s="3167">
        <v>0</v>
      </c>
      <c r="M214" s="3144">
        <f>SUM(F214:K214)</f>
        <v>7730448</v>
      </c>
      <c r="N214" s="3606"/>
      <c r="O214" s="2809"/>
    </row>
    <row r="215" spans="1:15" s="2820" customFormat="1">
      <c r="A215" s="3611"/>
      <c r="B215" s="1587" t="s">
        <v>20</v>
      </c>
      <c r="C215" s="1587"/>
      <c r="D215" s="1432">
        <f>D218+D216</f>
        <v>10175942</v>
      </c>
      <c r="E215" s="3161">
        <f t="shared" ref="E215:K215" si="162">E218+E216</f>
        <v>0</v>
      </c>
      <c r="F215" s="1432">
        <f t="shared" si="162"/>
        <v>550000</v>
      </c>
      <c r="G215" s="1432">
        <f t="shared" si="162"/>
        <v>4122312</v>
      </c>
      <c r="H215" s="1432">
        <f t="shared" si="162"/>
        <v>2739330</v>
      </c>
      <c r="I215" s="1432">
        <f t="shared" si="162"/>
        <v>2327050</v>
      </c>
      <c r="J215" s="1432">
        <f t="shared" si="162"/>
        <v>437250</v>
      </c>
      <c r="K215" s="3161">
        <f t="shared" si="162"/>
        <v>0</v>
      </c>
      <c r="L215" s="3161">
        <f>L218+L216</f>
        <v>0</v>
      </c>
      <c r="M215" s="3601" t="s">
        <v>52</v>
      </c>
      <c r="N215" s="3615" t="s">
        <v>260</v>
      </c>
      <c r="O215" s="2809"/>
    </row>
    <row r="216" spans="1:15" s="2820" customFormat="1">
      <c r="A216" s="3611"/>
      <c r="B216" s="1597" t="s">
        <v>22</v>
      </c>
      <c r="C216" s="3618" t="s">
        <v>403</v>
      </c>
      <c r="D216" s="1179">
        <f t="shared" ref="D216:K218" si="163">+D217</f>
        <v>1599658</v>
      </c>
      <c r="E216" s="1219">
        <f t="shared" si="163"/>
        <v>0</v>
      </c>
      <c r="F216" s="1179">
        <f t="shared" si="163"/>
        <v>86460</v>
      </c>
      <c r="G216" s="1179">
        <f t="shared" si="163"/>
        <v>648027</v>
      </c>
      <c r="H216" s="1179">
        <f t="shared" si="163"/>
        <v>430623</v>
      </c>
      <c r="I216" s="1179">
        <f t="shared" si="163"/>
        <v>365812</v>
      </c>
      <c r="J216" s="1179">
        <f t="shared" si="163"/>
        <v>68736</v>
      </c>
      <c r="K216" s="1219">
        <f t="shared" si="163"/>
        <v>0</v>
      </c>
      <c r="L216" s="1219">
        <f>+L217</f>
        <v>0</v>
      </c>
      <c r="M216" s="3601"/>
      <c r="N216" s="3616"/>
      <c r="O216" s="2809"/>
    </row>
    <row r="217" spans="1:15" s="2820" customFormat="1">
      <c r="A217" s="3611"/>
      <c r="B217" s="2219" t="s">
        <v>12</v>
      </c>
      <c r="C217" s="3619"/>
      <c r="D217" s="1152">
        <f>E217+L217+F217+G217+H217+I217+J217+K217</f>
        <v>1599658</v>
      </c>
      <c r="E217" s="1490">
        <v>0</v>
      </c>
      <c r="F217" s="1491">
        <v>86460</v>
      </c>
      <c r="G217" s="1491">
        <v>648027</v>
      </c>
      <c r="H217" s="1491">
        <v>430623</v>
      </c>
      <c r="I217" s="1491">
        <v>365812</v>
      </c>
      <c r="J217" s="1491">
        <v>68736</v>
      </c>
      <c r="K217" s="1490">
        <v>0</v>
      </c>
      <c r="L217" s="1490">
        <v>0</v>
      </c>
      <c r="M217" s="3601"/>
      <c r="N217" s="3616"/>
      <c r="O217" s="2809"/>
    </row>
    <row r="218" spans="1:15" s="2820" customFormat="1">
      <c r="A218" s="3611"/>
      <c r="B218" s="1588" t="s">
        <v>17</v>
      </c>
      <c r="C218" s="3619"/>
      <c r="D218" s="1480">
        <f t="shared" si="163"/>
        <v>8576284</v>
      </c>
      <c r="E218" s="1219">
        <f t="shared" si="163"/>
        <v>0</v>
      </c>
      <c r="F218" s="1179">
        <f t="shared" si="163"/>
        <v>463540</v>
      </c>
      <c r="G218" s="1179">
        <f t="shared" si="163"/>
        <v>3474285</v>
      </c>
      <c r="H218" s="1179">
        <f t="shared" si="163"/>
        <v>2308707</v>
      </c>
      <c r="I218" s="1179">
        <f t="shared" si="163"/>
        <v>1961238</v>
      </c>
      <c r="J218" s="1179">
        <f t="shared" si="163"/>
        <v>368514</v>
      </c>
      <c r="K218" s="1219">
        <f t="shared" si="163"/>
        <v>0</v>
      </c>
      <c r="L218" s="1219">
        <f>+L219</f>
        <v>0</v>
      </c>
      <c r="M218" s="3601"/>
      <c r="N218" s="3616"/>
      <c r="O218" s="2809"/>
    </row>
    <row r="219" spans="1:15" s="2820" customFormat="1" ht="13.5" thickBot="1">
      <c r="A219" s="3612"/>
      <c r="B219" s="1733" t="s">
        <v>19</v>
      </c>
      <c r="C219" s="3620"/>
      <c r="D219" s="1679">
        <f>E219+L219+F219+G219+H219+I219+J219+K219</f>
        <v>8576284</v>
      </c>
      <c r="E219" s="2028">
        <v>0</v>
      </c>
      <c r="F219" s="1423">
        <v>463540</v>
      </c>
      <c r="G219" s="1423">
        <v>3474285</v>
      </c>
      <c r="H219" s="1423">
        <v>2308707</v>
      </c>
      <c r="I219" s="1423">
        <v>1961238</v>
      </c>
      <c r="J219" s="1423">
        <v>368514</v>
      </c>
      <c r="K219" s="1424">
        <v>0</v>
      </c>
      <c r="L219" s="1424">
        <v>0</v>
      </c>
      <c r="M219" s="3548"/>
      <c r="N219" s="3617"/>
      <c r="O219" s="2809"/>
    </row>
    <row r="220" spans="1:15" s="2820" customFormat="1" ht="15.75" customHeight="1">
      <c r="A220" s="3609" t="s">
        <v>86</v>
      </c>
      <c r="B220" s="1003" t="s">
        <v>410</v>
      </c>
      <c r="C220" s="1004" t="s">
        <v>99</v>
      </c>
      <c r="D220" s="942"/>
      <c r="E220" s="942"/>
      <c r="F220" s="942"/>
      <c r="G220" s="942"/>
      <c r="H220" s="942"/>
      <c r="I220" s="942"/>
      <c r="J220" s="942"/>
      <c r="K220" s="942"/>
      <c r="L220" s="942"/>
      <c r="M220" s="942"/>
      <c r="N220" s="3605" t="s">
        <v>265</v>
      </c>
      <c r="O220" s="2809"/>
    </row>
    <row r="221" spans="1:15" s="2820" customFormat="1">
      <c r="A221" s="3610"/>
      <c r="B221" s="1587" t="s">
        <v>9</v>
      </c>
      <c r="C221" s="1005"/>
      <c r="D221" s="1596">
        <f>+D222+D229</f>
        <v>3546922</v>
      </c>
      <c r="E221" s="3140">
        <f t="shared" ref="E221:M221" si="164">+E222+E229</f>
        <v>0</v>
      </c>
      <c r="F221" s="1214">
        <f t="shared" si="164"/>
        <v>1133912</v>
      </c>
      <c r="G221" s="1214">
        <f t="shared" si="164"/>
        <v>1207224</v>
      </c>
      <c r="H221" s="1214">
        <f t="shared" si="164"/>
        <v>1205786</v>
      </c>
      <c r="I221" s="3140">
        <f t="shared" si="164"/>
        <v>0</v>
      </c>
      <c r="J221" s="3140">
        <f t="shared" si="164"/>
        <v>0</v>
      </c>
      <c r="K221" s="3140">
        <f t="shared" si="164"/>
        <v>0</v>
      </c>
      <c r="L221" s="3140">
        <f>+L222+L229</f>
        <v>0</v>
      </c>
      <c r="M221" s="1171">
        <f t="shared" si="164"/>
        <v>2413010</v>
      </c>
      <c r="N221" s="3607"/>
      <c r="O221" s="2809"/>
    </row>
    <row r="222" spans="1:15" s="2820" customFormat="1" ht="12.75" customHeight="1">
      <c r="A222" s="3610"/>
      <c r="B222" s="1588" t="s">
        <v>22</v>
      </c>
      <c r="C222" s="3613" t="s">
        <v>402</v>
      </c>
      <c r="D222" s="1412">
        <f>+D223+D226</f>
        <v>532038</v>
      </c>
      <c r="E222" s="3141">
        <f t="shared" ref="E222:K222" si="165">+E223+E226</f>
        <v>0</v>
      </c>
      <c r="F222" s="1412">
        <f t="shared" si="165"/>
        <v>170087</v>
      </c>
      <c r="G222" s="1412">
        <f t="shared" si="165"/>
        <v>181083</v>
      </c>
      <c r="H222" s="1412">
        <f t="shared" si="165"/>
        <v>180868</v>
      </c>
      <c r="I222" s="3141">
        <f t="shared" si="165"/>
        <v>0</v>
      </c>
      <c r="J222" s="3141">
        <f t="shared" si="165"/>
        <v>0</v>
      </c>
      <c r="K222" s="3141">
        <f t="shared" si="165"/>
        <v>0</v>
      </c>
      <c r="L222" s="3141">
        <f>+L223+L226</f>
        <v>0</v>
      </c>
      <c r="M222" s="1734">
        <f>+M223+M226</f>
        <v>361951</v>
      </c>
      <c r="N222" s="3607"/>
      <c r="O222" s="2809"/>
    </row>
    <row r="223" spans="1:15" s="2820" customFormat="1">
      <c r="A223" s="3610"/>
      <c r="B223" s="1589" t="s">
        <v>11</v>
      </c>
      <c r="C223" s="3614"/>
      <c r="D223" s="1113">
        <f>E223+L223+F223+G223+H223+I223+J223+K223</f>
        <v>177346</v>
      </c>
      <c r="E223" s="3163">
        <v>0</v>
      </c>
      <c r="F223" s="1460">
        <f>F224+F225</f>
        <v>56696</v>
      </c>
      <c r="G223" s="1460">
        <f t="shared" ref="G223:K223" si="166">G224+G225</f>
        <v>60361</v>
      </c>
      <c r="H223" s="1460">
        <f t="shared" si="166"/>
        <v>60289</v>
      </c>
      <c r="I223" s="3148">
        <f t="shared" si="166"/>
        <v>0</v>
      </c>
      <c r="J223" s="3148">
        <f t="shared" si="166"/>
        <v>0</v>
      </c>
      <c r="K223" s="3148">
        <f t="shared" si="166"/>
        <v>0</v>
      </c>
      <c r="L223" s="3148">
        <v>0</v>
      </c>
      <c r="M223" s="1431">
        <f>SUM(G223:K223)</f>
        <v>120650</v>
      </c>
      <c r="N223" s="3607"/>
      <c r="O223" s="2809"/>
    </row>
    <row r="224" spans="1:15" s="2820" customFormat="1" hidden="1">
      <c r="A224" s="3610"/>
      <c r="B224" s="3164" t="s">
        <v>245</v>
      </c>
      <c r="C224" s="3614"/>
      <c r="D224" s="3150">
        <f>SUM(E224:K224)</f>
        <v>61066</v>
      </c>
      <c r="E224" s="1485">
        <v>0</v>
      </c>
      <c r="F224" s="3151">
        <v>19284</v>
      </c>
      <c r="G224" s="3151">
        <v>20891</v>
      </c>
      <c r="H224" s="3151">
        <v>20891</v>
      </c>
      <c r="I224" s="1485">
        <v>0</v>
      </c>
      <c r="J224" s="1485">
        <v>0</v>
      </c>
      <c r="K224" s="1485">
        <v>0</v>
      </c>
      <c r="L224" s="3152">
        <v>0</v>
      </c>
      <c r="M224" s="3144">
        <f>SUM(F224:K224)</f>
        <v>61066</v>
      </c>
      <c r="N224" s="3607"/>
      <c r="O224" s="2809"/>
    </row>
    <row r="225" spans="1:15" s="2820" customFormat="1" hidden="1">
      <c r="A225" s="3610"/>
      <c r="B225" s="3165" t="s">
        <v>260</v>
      </c>
      <c r="C225" s="3614"/>
      <c r="D225" s="3166">
        <f>SUM(E225:K225)</f>
        <v>116280</v>
      </c>
      <c r="E225" s="3167">
        <v>0</v>
      </c>
      <c r="F225" s="3168">
        <v>37412</v>
      </c>
      <c r="G225" s="3168">
        <v>39470</v>
      </c>
      <c r="H225" s="3168">
        <v>39398</v>
      </c>
      <c r="I225" s="3167">
        <v>0</v>
      </c>
      <c r="J225" s="3167">
        <v>0</v>
      </c>
      <c r="K225" s="3167">
        <v>0</v>
      </c>
      <c r="L225" s="3169">
        <v>0</v>
      </c>
      <c r="M225" s="3144">
        <f>SUM(F225:K225)</f>
        <v>116280</v>
      </c>
      <c r="N225" s="3607"/>
      <c r="O225" s="2809"/>
    </row>
    <row r="226" spans="1:15" s="2820" customFormat="1">
      <c r="A226" s="3610"/>
      <c r="B226" s="2219" t="s">
        <v>12</v>
      </c>
      <c r="C226" s="3614"/>
      <c r="D226" s="1113">
        <f>E226+L226+F226+G226+H226+I226+J226+K226</f>
        <v>354692</v>
      </c>
      <c r="E226" s="3163">
        <v>0</v>
      </c>
      <c r="F226" s="1460">
        <f>F227+F228</f>
        <v>113391</v>
      </c>
      <c r="G226" s="1460">
        <f t="shared" ref="G226:K226" si="167">G227+G228</f>
        <v>120722</v>
      </c>
      <c r="H226" s="1460">
        <f t="shared" si="167"/>
        <v>120579</v>
      </c>
      <c r="I226" s="3148">
        <f t="shared" si="167"/>
        <v>0</v>
      </c>
      <c r="J226" s="3148">
        <f t="shared" si="167"/>
        <v>0</v>
      </c>
      <c r="K226" s="3148">
        <f t="shared" si="167"/>
        <v>0</v>
      </c>
      <c r="L226" s="3148">
        <v>0</v>
      </c>
      <c r="M226" s="1431">
        <f>SUM(G226:K226)</f>
        <v>241301</v>
      </c>
      <c r="N226" s="3607"/>
      <c r="O226" s="2809">
        <f>D226-D235</f>
        <v>0</v>
      </c>
    </row>
    <row r="227" spans="1:15" s="2820" customFormat="1" hidden="1">
      <c r="A227" s="3610"/>
      <c r="B227" s="3164" t="s">
        <v>245</v>
      </c>
      <c r="C227" s="3614"/>
      <c r="D227" s="3150">
        <f>SUM(E227:K227)</f>
        <v>122132</v>
      </c>
      <c r="E227" s="1485">
        <v>0</v>
      </c>
      <c r="F227" s="3151">
        <v>38568</v>
      </c>
      <c r="G227" s="3151">
        <v>41782</v>
      </c>
      <c r="H227" s="3151">
        <v>41782</v>
      </c>
      <c r="I227" s="1485">
        <v>0</v>
      </c>
      <c r="J227" s="1485">
        <v>0</v>
      </c>
      <c r="K227" s="1485">
        <v>0</v>
      </c>
      <c r="L227" s="3152">
        <v>0</v>
      </c>
      <c r="M227" s="1431">
        <f t="shared" ref="M227:M228" si="168">SUM(F227:K227)</f>
        <v>122132</v>
      </c>
      <c r="N227" s="3607"/>
      <c r="O227" s="2809"/>
    </row>
    <row r="228" spans="1:15" s="2820" customFormat="1" hidden="1">
      <c r="A228" s="3610"/>
      <c r="B228" s="3165" t="s">
        <v>260</v>
      </c>
      <c r="C228" s="3614"/>
      <c r="D228" s="3166">
        <f>SUM(E228:K228)</f>
        <v>232560</v>
      </c>
      <c r="E228" s="3167">
        <v>0</v>
      </c>
      <c r="F228" s="3168">
        <v>74823</v>
      </c>
      <c r="G228" s="3168">
        <v>78940</v>
      </c>
      <c r="H228" s="3168">
        <v>78797</v>
      </c>
      <c r="I228" s="3167">
        <v>0</v>
      </c>
      <c r="J228" s="3167">
        <v>0</v>
      </c>
      <c r="K228" s="3167">
        <v>0</v>
      </c>
      <c r="L228" s="3169">
        <v>0</v>
      </c>
      <c r="M228" s="1431">
        <f t="shared" si="168"/>
        <v>232560</v>
      </c>
      <c r="N228" s="3607"/>
      <c r="O228" s="2809"/>
    </row>
    <row r="229" spans="1:15" s="2820" customFormat="1">
      <c r="A229" s="3610"/>
      <c r="B229" s="1588" t="s">
        <v>17</v>
      </c>
      <c r="C229" s="3614"/>
      <c r="D229" s="1179">
        <f>+D230</f>
        <v>3014884</v>
      </c>
      <c r="E229" s="1219">
        <f t="shared" ref="E229:K229" si="169">+E230</f>
        <v>0</v>
      </c>
      <c r="F229" s="1179">
        <f t="shared" si="169"/>
        <v>963825</v>
      </c>
      <c r="G229" s="1179">
        <f t="shared" si="169"/>
        <v>1026141</v>
      </c>
      <c r="H229" s="1179">
        <f t="shared" si="169"/>
        <v>1024918</v>
      </c>
      <c r="I229" s="1219">
        <f t="shared" si="169"/>
        <v>0</v>
      </c>
      <c r="J229" s="1219">
        <f t="shared" si="169"/>
        <v>0</v>
      </c>
      <c r="K229" s="1219">
        <f t="shared" si="169"/>
        <v>0</v>
      </c>
      <c r="L229" s="1219">
        <f>+L230</f>
        <v>0</v>
      </c>
      <c r="M229" s="1433">
        <f>+M230</f>
        <v>2051059</v>
      </c>
      <c r="N229" s="3607"/>
      <c r="O229" s="2809">
        <f>D229-D236</f>
        <v>0</v>
      </c>
    </row>
    <row r="230" spans="1:15" s="2820" customFormat="1">
      <c r="A230" s="3610"/>
      <c r="B230" s="1589" t="s">
        <v>19</v>
      </c>
      <c r="C230" s="3614"/>
      <c r="D230" s="1113">
        <f>E230+L230+F230+G230+H230+I230+J230+K230</f>
        <v>3014884</v>
      </c>
      <c r="E230" s="3163">
        <v>0</v>
      </c>
      <c r="F230" s="1182">
        <f>F231+F232</f>
        <v>963825</v>
      </c>
      <c r="G230" s="1182">
        <f t="shared" ref="G230:K230" si="170">G231+G232</f>
        <v>1026141</v>
      </c>
      <c r="H230" s="1182">
        <f t="shared" si="170"/>
        <v>1024918</v>
      </c>
      <c r="I230" s="2397">
        <f t="shared" si="170"/>
        <v>0</v>
      </c>
      <c r="J230" s="2397">
        <f t="shared" si="170"/>
        <v>0</v>
      </c>
      <c r="K230" s="2397">
        <f t="shared" si="170"/>
        <v>0</v>
      </c>
      <c r="L230" s="2397">
        <v>0</v>
      </c>
      <c r="M230" s="1431">
        <f>SUM(G230:K230)</f>
        <v>2051059</v>
      </c>
      <c r="N230" s="3607"/>
      <c r="O230" s="2809"/>
    </row>
    <row r="231" spans="1:15" s="2820" customFormat="1" ht="12.75" hidden="1" customHeight="1">
      <c r="A231" s="3610"/>
      <c r="B231" s="3164" t="s">
        <v>245</v>
      </c>
      <c r="C231" s="3170"/>
      <c r="D231" s="3150">
        <f>SUM(E231:K231)</f>
        <v>1038122</v>
      </c>
      <c r="E231" s="1485">
        <v>0</v>
      </c>
      <c r="F231" s="3151">
        <v>327828</v>
      </c>
      <c r="G231" s="3151">
        <v>355147</v>
      </c>
      <c r="H231" s="3151">
        <v>355147</v>
      </c>
      <c r="I231" s="1485">
        <v>0</v>
      </c>
      <c r="J231" s="1485">
        <v>0</v>
      </c>
      <c r="K231" s="1485">
        <v>0</v>
      </c>
      <c r="L231" s="1485">
        <v>0</v>
      </c>
      <c r="M231" s="3144">
        <f>SUM(F231:K231)</f>
        <v>1038122</v>
      </c>
      <c r="N231" s="3607"/>
      <c r="O231" s="2809"/>
    </row>
    <row r="232" spans="1:15" s="2820" customFormat="1" hidden="1">
      <c r="A232" s="3610"/>
      <c r="B232" s="3165" t="s">
        <v>260</v>
      </c>
      <c r="C232" s="3171"/>
      <c r="D232" s="3166">
        <f>SUM(E232:K232)</f>
        <v>1976762</v>
      </c>
      <c r="E232" s="3167">
        <v>0</v>
      </c>
      <c r="F232" s="3168">
        <v>635997</v>
      </c>
      <c r="G232" s="3168">
        <v>670994</v>
      </c>
      <c r="H232" s="3168">
        <v>669771</v>
      </c>
      <c r="I232" s="3167">
        <v>0</v>
      </c>
      <c r="J232" s="3167">
        <v>0</v>
      </c>
      <c r="K232" s="3167">
        <v>0</v>
      </c>
      <c r="L232" s="3167">
        <v>0</v>
      </c>
      <c r="M232" s="3144">
        <f>SUM(F232:K232)</f>
        <v>1976762</v>
      </c>
      <c r="N232" s="3608"/>
      <c r="O232" s="2809"/>
    </row>
    <row r="233" spans="1:15" s="2820" customFormat="1">
      <c r="A233" s="3611"/>
      <c r="B233" s="1587" t="s">
        <v>20</v>
      </c>
      <c r="C233" s="1587"/>
      <c r="D233" s="1432">
        <f>D236+D234</f>
        <v>3369576</v>
      </c>
      <c r="E233" s="3161">
        <f t="shared" ref="E233:K233" si="171">E236+E234</f>
        <v>0</v>
      </c>
      <c r="F233" s="1432">
        <f t="shared" si="171"/>
        <v>1077216</v>
      </c>
      <c r="G233" s="1432">
        <f t="shared" si="171"/>
        <v>1146863</v>
      </c>
      <c r="H233" s="1432">
        <f t="shared" si="171"/>
        <v>1145497</v>
      </c>
      <c r="I233" s="3161">
        <f t="shared" si="171"/>
        <v>0</v>
      </c>
      <c r="J233" s="3161">
        <f t="shared" si="171"/>
        <v>0</v>
      </c>
      <c r="K233" s="3161">
        <f t="shared" si="171"/>
        <v>0</v>
      </c>
      <c r="L233" s="3161">
        <f>L236+L234</f>
        <v>0</v>
      </c>
      <c r="M233" s="3601" t="s">
        <v>52</v>
      </c>
      <c r="N233" s="3615" t="s">
        <v>401</v>
      </c>
      <c r="O233" s="2809"/>
    </row>
    <row r="234" spans="1:15" s="2820" customFormat="1">
      <c r="A234" s="3611"/>
      <c r="B234" s="1597" t="s">
        <v>22</v>
      </c>
      <c r="C234" s="3618" t="s">
        <v>321</v>
      </c>
      <c r="D234" s="1179">
        <f t="shared" ref="D234:K236" si="172">+D235</f>
        <v>354692</v>
      </c>
      <c r="E234" s="1219">
        <f t="shared" si="172"/>
        <v>0</v>
      </c>
      <c r="F234" s="1179">
        <f t="shared" si="172"/>
        <v>113391</v>
      </c>
      <c r="G234" s="1179">
        <f t="shared" si="172"/>
        <v>120722</v>
      </c>
      <c r="H234" s="1179">
        <f t="shared" si="172"/>
        <v>120579</v>
      </c>
      <c r="I234" s="1219">
        <f t="shared" si="172"/>
        <v>0</v>
      </c>
      <c r="J234" s="1219">
        <f t="shared" si="172"/>
        <v>0</v>
      </c>
      <c r="K234" s="1219">
        <f t="shared" si="172"/>
        <v>0</v>
      </c>
      <c r="L234" s="1219">
        <f>+L235</f>
        <v>0</v>
      </c>
      <c r="M234" s="3601"/>
      <c r="N234" s="3616"/>
      <c r="O234" s="2809"/>
    </row>
    <row r="235" spans="1:15" s="2820" customFormat="1">
      <c r="A235" s="3611"/>
      <c r="B235" s="2219" t="s">
        <v>12</v>
      </c>
      <c r="C235" s="3619"/>
      <c r="D235" s="1152">
        <f>E235+L235+F235+G235+H235+I235+J235+K235</f>
        <v>354692</v>
      </c>
      <c r="E235" s="1490">
        <v>0</v>
      </c>
      <c r="F235" s="1491">
        <v>113391</v>
      </c>
      <c r="G235" s="1491">
        <v>120722</v>
      </c>
      <c r="H235" s="1491">
        <v>120579</v>
      </c>
      <c r="I235" s="1490">
        <v>0</v>
      </c>
      <c r="J235" s="1490">
        <v>0</v>
      </c>
      <c r="K235" s="1490">
        <v>0</v>
      </c>
      <c r="L235" s="1490">
        <v>0</v>
      </c>
      <c r="M235" s="3601"/>
      <c r="N235" s="3616"/>
      <c r="O235" s="2809"/>
    </row>
    <row r="236" spans="1:15" s="2820" customFormat="1">
      <c r="A236" s="3611"/>
      <c r="B236" s="1588" t="s">
        <v>17</v>
      </c>
      <c r="C236" s="3619"/>
      <c r="D236" s="1480">
        <f t="shared" si="172"/>
        <v>3014884</v>
      </c>
      <c r="E236" s="1219">
        <f t="shared" si="172"/>
        <v>0</v>
      </c>
      <c r="F236" s="1179">
        <f t="shared" si="172"/>
        <v>963825</v>
      </c>
      <c r="G236" s="1179">
        <f t="shared" si="172"/>
        <v>1026141</v>
      </c>
      <c r="H236" s="1179">
        <f t="shared" si="172"/>
        <v>1024918</v>
      </c>
      <c r="I236" s="1219">
        <f t="shared" si="172"/>
        <v>0</v>
      </c>
      <c r="J236" s="1219">
        <f t="shared" si="172"/>
        <v>0</v>
      </c>
      <c r="K236" s="1219">
        <f t="shared" si="172"/>
        <v>0</v>
      </c>
      <c r="L236" s="1219">
        <f>+L237</f>
        <v>0</v>
      </c>
      <c r="M236" s="3601"/>
      <c r="N236" s="3616"/>
      <c r="O236" s="2809"/>
    </row>
    <row r="237" spans="1:15" s="2820" customFormat="1" ht="13.5" thickBot="1">
      <c r="A237" s="3612"/>
      <c r="B237" s="1733" t="s">
        <v>19</v>
      </c>
      <c r="C237" s="3620"/>
      <c r="D237" s="1679">
        <f>E237+L237+F237+G237+H237+I237+J237+K237</f>
        <v>3014884</v>
      </c>
      <c r="E237" s="2028">
        <v>0</v>
      </c>
      <c r="F237" s="1423">
        <v>963825</v>
      </c>
      <c r="G237" s="1423">
        <v>1026141</v>
      </c>
      <c r="H237" s="1423">
        <v>1024918</v>
      </c>
      <c r="I237" s="1424">
        <v>0</v>
      </c>
      <c r="J237" s="1424">
        <v>0</v>
      </c>
      <c r="K237" s="1424">
        <v>0</v>
      </c>
      <c r="L237" s="1424">
        <v>0</v>
      </c>
      <c r="M237" s="3548"/>
      <c r="N237" s="3617"/>
      <c r="O237" s="2809"/>
    </row>
    <row r="238" spans="1:15" s="2820" customFormat="1" ht="27" customHeight="1">
      <c r="A238" s="3609" t="s">
        <v>87</v>
      </c>
      <c r="B238" s="1003" t="s">
        <v>435</v>
      </c>
      <c r="C238" s="1004" t="s">
        <v>99</v>
      </c>
      <c r="D238" s="942"/>
      <c r="E238" s="942"/>
      <c r="F238" s="942"/>
      <c r="G238" s="942"/>
      <c r="H238" s="942"/>
      <c r="I238" s="942"/>
      <c r="J238" s="942"/>
      <c r="K238" s="942"/>
      <c r="L238" s="942"/>
      <c r="M238" s="942"/>
      <c r="N238" s="3605" t="s">
        <v>265</v>
      </c>
      <c r="O238" s="2809"/>
    </row>
    <row r="239" spans="1:15" s="2820" customFormat="1">
      <c r="A239" s="3610"/>
      <c r="B239" s="1587" t="s">
        <v>9</v>
      </c>
      <c r="C239" s="1005"/>
      <c r="D239" s="1596">
        <f t="shared" ref="D239:M239" si="173">+D240+D244</f>
        <v>2823073</v>
      </c>
      <c r="E239" s="3140">
        <f t="shared" si="173"/>
        <v>0</v>
      </c>
      <c r="F239" s="1214">
        <f t="shared" si="173"/>
        <v>981527</v>
      </c>
      <c r="G239" s="1214">
        <f t="shared" si="173"/>
        <v>1052185</v>
      </c>
      <c r="H239" s="1214">
        <f t="shared" si="173"/>
        <v>789361</v>
      </c>
      <c r="I239" s="1214">
        <f t="shared" si="173"/>
        <v>0</v>
      </c>
      <c r="J239" s="1214">
        <f t="shared" si="173"/>
        <v>0</v>
      </c>
      <c r="K239" s="3140">
        <f t="shared" si="173"/>
        <v>0</v>
      </c>
      <c r="L239" s="3140">
        <f>+L240+L244</f>
        <v>0</v>
      </c>
      <c r="M239" s="1171">
        <f t="shared" si="173"/>
        <v>1841546</v>
      </c>
      <c r="N239" s="3607"/>
      <c r="O239" s="2809">
        <f>D239+D254</f>
        <v>3392273</v>
      </c>
    </row>
    <row r="240" spans="1:15" s="2820" customFormat="1">
      <c r="A240" s="3610"/>
      <c r="B240" s="1588" t="s">
        <v>22</v>
      </c>
      <c r="C240" s="3613" t="s">
        <v>402</v>
      </c>
      <c r="D240" s="1412">
        <f>+D241</f>
        <v>80369</v>
      </c>
      <c r="E240" s="3141">
        <f t="shared" ref="E240:K240" si="174">+E241</f>
        <v>0</v>
      </c>
      <c r="F240" s="1412">
        <f t="shared" si="174"/>
        <v>27974</v>
      </c>
      <c r="G240" s="1412">
        <f t="shared" si="174"/>
        <v>29987</v>
      </c>
      <c r="H240" s="1412">
        <f t="shared" si="174"/>
        <v>22408</v>
      </c>
      <c r="I240" s="1412">
        <f t="shared" si="174"/>
        <v>0</v>
      </c>
      <c r="J240" s="1412">
        <f t="shared" si="174"/>
        <v>0</v>
      </c>
      <c r="K240" s="1412">
        <f t="shared" si="174"/>
        <v>0</v>
      </c>
      <c r="L240" s="3141">
        <f>+L241</f>
        <v>0</v>
      </c>
      <c r="M240" s="1734">
        <f>+M241</f>
        <v>52395</v>
      </c>
      <c r="N240" s="3607"/>
      <c r="O240" s="2809"/>
    </row>
    <row r="241" spans="1:15" s="2820" customFormat="1">
      <c r="A241" s="3610"/>
      <c r="B241" s="2219" t="s">
        <v>12</v>
      </c>
      <c r="C241" s="3614"/>
      <c r="D241" s="1113">
        <f>E241+L241+F241+G241+H241+I241+J241+K241</f>
        <v>80369</v>
      </c>
      <c r="E241" s="3163">
        <v>0</v>
      </c>
      <c r="F241" s="1460">
        <f>F242+F243</f>
        <v>27974</v>
      </c>
      <c r="G241" s="1460">
        <f t="shared" ref="G241:K241" si="175">G242+G243</f>
        <v>29987</v>
      </c>
      <c r="H241" s="1460">
        <f t="shared" si="175"/>
        <v>22408</v>
      </c>
      <c r="I241" s="1460">
        <f t="shared" si="175"/>
        <v>0</v>
      </c>
      <c r="J241" s="1460">
        <f t="shared" si="175"/>
        <v>0</v>
      </c>
      <c r="K241" s="3148">
        <f t="shared" si="175"/>
        <v>0</v>
      </c>
      <c r="L241" s="3148">
        <v>0</v>
      </c>
      <c r="M241" s="1431">
        <f>SUM(G241:K241)</f>
        <v>52395</v>
      </c>
      <c r="N241" s="3607"/>
      <c r="O241" s="2809">
        <f>D241-D250</f>
        <v>0</v>
      </c>
    </row>
    <row r="242" spans="1:15" s="2820" customFormat="1" hidden="1">
      <c r="A242" s="3610"/>
      <c r="B242" s="3164" t="s">
        <v>245</v>
      </c>
      <c r="C242" s="3614"/>
      <c r="D242" s="3150">
        <f>SUM(E242:K242)</f>
        <v>17859</v>
      </c>
      <c r="E242" s="1485">
        <v>0</v>
      </c>
      <c r="F242" s="3151">
        <v>7649</v>
      </c>
      <c r="G242" s="3151">
        <v>5437</v>
      </c>
      <c r="H242" s="3151">
        <v>4773</v>
      </c>
      <c r="I242" s="3151"/>
      <c r="J242" s="3151"/>
      <c r="K242" s="1485">
        <v>0</v>
      </c>
      <c r="L242" s="3152">
        <v>0</v>
      </c>
      <c r="M242" s="1431">
        <f t="shared" ref="M242:M243" si="176">SUM(F242:K242)</f>
        <v>17859</v>
      </c>
      <c r="N242" s="3607"/>
      <c r="O242" s="2809"/>
    </row>
    <row r="243" spans="1:15" s="2820" customFormat="1" hidden="1">
      <c r="A243" s="3610"/>
      <c r="B243" s="3165" t="s">
        <v>260</v>
      </c>
      <c r="C243" s="3614"/>
      <c r="D243" s="3166">
        <f>SUM(E243:K243)</f>
        <v>62510</v>
      </c>
      <c r="E243" s="3167">
        <v>0</v>
      </c>
      <c r="F243" s="3168">
        <f>21245-920</f>
        <v>20325</v>
      </c>
      <c r="G243" s="3168">
        <v>24550</v>
      </c>
      <c r="H243" s="3168">
        <v>17635</v>
      </c>
      <c r="I243" s="3168"/>
      <c r="J243" s="3168"/>
      <c r="K243" s="3167">
        <v>0</v>
      </c>
      <c r="L243" s="3169">
        <v>0</v>
      </c>
      <c r="M243" s="1431">
        <f t="shared" si="176"/>
        <v>62510</v>
      </c>
      <c r="N243" s="3607"/>
      <c r="O243" s="2809"/>
    </row>
    <row r="244" spans="1:15" s="2820" customFormat="1">
      <c r="A244" s="3610"/>
      <c r="B244" s="1588" t="s">
        <v>17</v>
      </c>
      <c r="C244" s="3614"/>
      <c r="D244" s="1179">
        <f>+D245</f>
        <v>2742704</v>
      </c>
      <c r="E244" s="1219">
        <f t="shared" ref="E244:K244" si="177">+E245</f>
        <v>0</v>
      </c>
      <c r="F244" s="1179">
        <f t="shared" si="177"/>
        <v>953553</v>
      </c>
      <c r="G244" s="1179">
        <f t="shared" si="177"/>
        <v>1022198</v>
      </c>
      <c r="H244" s="1179">
        <f t="shared" si="177"/>
        <v>766953</v>
      </c>
      <c r="I244" s="1179">
        <f t="shared" si="177"/>
        <v>0</v>
      </c>
      <c r="J244" s="1179">
        <f t="shared" si="177"/>
        <v>0</v>
      </c>
      <c r="K244" s="1219">
        <f t="shared" si="177"/>
        <v>0</v>
      </c>
      <c r="L244" s="1219">
        <f>+L245</f>
        <v>0</v>
      </c>
      <c r="M244" s="1433">
        <f>+M245</f>
        <v>1789151</v>
      </c>
      <c r="N244" s="3607"/>
      <c r="O244" s="2809">
        <f>D244-D251</f>
        <v>0</v>
      </c>
    </row>
    <row r="245" spans="1:15" s="2820" customFormat="1">
      <c r="A245" s="3610"/>
      <c r="B245" s="1589" t="s">
        <v>19</v>
      </c>
      <c r="C245" s="3614"/>
      <c r="D245" s="1113">
        <f>E245+L245+F245+G245+H245+I245+J245+K245</f>
        <v>2742704</v>
      </c>
      <c r="E245" s="3163">
        <v>0</v>
      </c>
      <c r="F245" s="1182">
        <f>F246+F247</f>
        <v>953553</v>
      </c>
      <c r="G245" s="1182">
        <f t="shared" ref="G245:K245" si="178">G246+G247</f>
        <v>1022198</v>
      </c>
      <c r="H245" s="1182">
        <f t="shared" si="178"/>
        <v>766953</v>
      </c>
      <c r="I245" s="1182">
        <f t="shared" si="178"/>
        <v>0</v>
      </c>
      <c r="J245" s="1182">
        <f t="shared" si="178"/>
        <v>0</v>
      </c>
      <c r="K245" s="2397">
        <f t="shared" si="178"/>
        <v>0</v>
      </c>
      <c r="L245" s="2397">
        <v>0</v>
      </c>
      <c r="M245" s="1431">
        <f>SUM(G245:K245)</f>
        <v>1789151</v>
      </c>
      <c r="N245" s="3607"/>
      <c r="O245" s="2809"/>
    </row>
    <row r="246" spans="1:15" s="2820" customFormat="1" hidden="1">
      <c r="A246" s="3610"/>
      <c r="B246" s="3164" t="s">
        <v>245</v>
      </c>
      <c r="C246" s="3170"/>
      <c r="D246" s="3150">
        <f>SUM(E246:K246)</f>
        <v>608761</v>
      </c>
      <c r="E246" s="1485">
        <v>0</v>
      </c>
      <c r="F246" s="3151">
        <v>260714</v>
      </c>
      <c r="G246" s="3151">
        <v>185342</v>
      </c>
      <c r="H246" s="3151">
        <v>162705</v>
      </c>
      <c r="I246" s="3151">
        <v>0</v>
      </c>
      <c r="J246" s="3151">
        <v>0</v>
      </c>
      <c r="K246" s="1485">
        <v>0</v>
      </c>
      <c r="L246" s="1485">
        <v>0</v>
      </c>
      <c r="M246" s="3144">
        <f>SUM(F246:K246)</f>
        <v>608761</v>
      </c>
      <c r="N246" s="3607"/>
      <c r="O246" s="2809"/>
    </row>
    <row r="247" spans="1:15" s="2820" customFormat="1" hidden="1">
      <c r="A247" s="3610"/>
      <c r="B247" s="3165" t="s">
        <v>260</v>
      </c>
      <c r="C247" s="3171"/>
      <c r="D247" s="3166">
        <f>SUM(E247:K247)</f>
        <v>2133943</v>
      </c>
      <c r="E247" s="3167">
        <v>0</v>
      </c>
      <c r="F247" s="3168">
        <f>724218-31379</f>
        <v>692839</v>
      </c>
      <c r="G247" s="3168">
        <v>836856</v>
      </c>
      <c r="H247" s="3168">
        <v>604248</v>
      </c>
      <c r="I247" s="3168"/>
      <c r="J247" s="3168"/>
      <c r="K247" s="3167">
        <v>0</v>
      </c>
      <c r="L247" s="3167">
        <v>0</v>
      </c>
      <c r="M247" s="3144">
        <f>SUM(F247:K247)</f>
        <v>2133943</v>
      </c>
      <c r="N247" s="3608"/>
      <c r="O247" s="2809"/>
    </row>
    <row r="248" spans="1:15" s="2820" customFormat="1" ht="13.5" thickBot="1">
      <c r="A248" s="3611"/>
      <c r="B248" s="1587" t="s">
        <v>20</v>
      </c>
      <c r="C248" s="1587"/>
      <c r="D248" s="1432">
        <f>D251+D249</f>
        <v>2823073</v>
      </c>
      <c r="E248" s="3161">
        <f t="shared" ref="E248:K248" si="179">E251+E249</f>
        <v>0</v>
      </c>
      <c r="F248" s="1432">
        <f t="shared" si="179"/>
        <v>981527</v>
      </c>
      <c r="G248" s="1432">
        <f t="shared" si="179"/>
        <v>1052185</v>
      </c>
      <c r="H248" s="1432">
        <f t="shared" si="179"/>
        <v>789361</v>
      </c>
      <c r="I248" s="1432">
        <f t="shared" si="179"/>
        <v>0</v>
      </c>
      <c r="J248" s="1432">
        <f t="shared" si="179"/>
        <v>0</v>
      </c>
      <c r="K248" s="3161">
        <f t="shared" si="179"/>
        <v>0</v>
      </c>
      <c r="L248" s="3161">
        <f>L251+L249</f>
        <v>0</v>
      </c>
      <c r="M248" s="3601" t="s">
        <v>52</v>
      </c>
      <c r="N248" s="3624" t="s">
        <v>401</v>
      </c>
      <c r="O248" s="2809"/>
    </row>
    <row r="249" spans="1:15" s="2820" customFormat="1" ht="12.75" customHeight="1" thickBot="1">
      <c r="A249" s="3611"/>
      <c r="B249" s="1597" t="s">
        <v>22</v>
      </c>
      <c r="C249" s="3618" t="s">
        <v>321</v>
      </c>
      <c r="D249" s="1179">
        <f t="shared" ref="D249:K251" si="180">+D250</f>
        <v>80369</v>
      </c>
      <c r="E249" s="1219">
        <f t="shared" si="180"/>
        <v>0</v>
      </c>
      <c r="F249" s="1179">
        <f t="shared" si="180"/>
        <v>27974</v>
      </c>
      <c r="G249" s="1179">
        <f t="shared" si="180"/>
        <v>29987</v>
      </c>
      <c r="H249" s="1179">
        <f t="shared" si="180"/>
        <v>22408</v>
      </c>
      <c r="I249" s="1179">
        <f t="shared" si="180"/>
        <v>0</v>
      </c>
      <c r="J249" s="1179">
        <f t="shared" si="180"/>
        <v>0</v>
      </c>
      <c r="K249" s="1219">
        <f t="shared" si="180"/>
        <v>0</v>
      </c>
      <c r="L249" s="1219">
        <f>+L250</f>
        <v>0</v>
      </c>
      <c r="M249" s="3601"/>
      <c r="N249" s="3622"/>
      <c r="O249" s="2809"/>
    </row>
    <row r="250" spans="1:15" s="2820" customFormat="1" ht="13.5" thickBot="1">
      <c r="A250" s="3611"/>
      <c r="B250" s="2219" t="s">
        <v>12</v>
      </c>
      <c r="C250" s="3619"/>
      <c r="D250" s="1152">
        <f>E250+L250+F250+G250+H250+I250+J250+K250</f>
        <v>80369</v>
      </c>
      <c r="E250" s="1490">
        <v>0</v>
      </c>
      <c r="F250" s="1491">
        <f>28894-920</f>
        <v>27974</v>
      </c>
      <c r="G250" s="1491">
        <v>29987</v>
      </c>
      <c r="H250" s="1491">
        <v>22408</v>
      </c>
      <c r="I250" s="1491"/>
      <c r="J250" s="1491"/>
      <c r="K250" s="1490">
        <v>0</v>
      </c>
      <c r="L250" s="1490">
        <v>0</v>
      </c>
      <c r="M250" s="3601"/>
      <c r="N250" s="3622"/>
      <c r="O250" s="2809"/>
    </row>
    <row r="251" spans="1:15" s="2820" customFormat="1" ht="13.5" thickBot="1">
      <c r="A251" s="3611"/>
      <c r="B251" s="1588" t="s">
        <v>17</v>
      </c>
      <c r="C251" s="3619"/>
      <c r="D251" s="1480">
        <f t="shared" si="180"/>
        <v>2742704</v>
      </c>
      <c r="E251" s="1219">
        <f t="shared" si="180"/>
        <v>0</v>
      </c>
      <c r="F251" s="1179">
        <f t="shared" si="180"/>
        <v>953553</v>
      </c>
      <c r="G251" s="1179">
        <f t="shared" si="180"/>
        <v>1022198</v>
      </c>
      <c r="H251" s="1179">
        <f t="shared" si="180"/>
        <v>766953</v>
      </c>
      <c r="I251" s="1179">
        <f t="shared" si="180"/>
        <v>0</v>
      </c>
      <c r="J251" s="1179">
        <f t="shared" si="180"/>
        <v>0</v>
      </c>
      <c r="K251" s="1219">
        <f t="shared" si="180"/>
        <v>0</v>
      </c>
      <c r="L251" s="1219">
        <f>+L252</f>
        <v>0</v>
      </c>
      <c r="M251" s="3601"/>
      <c r="N251" s="3622"/>
      <c r="O251" s="2809"/>
    </row>
    <row r="252" spans="1:15" s="2820" customFormat="1" ht="13.5" thickBot="1">
      <c r="A252" s="3612"/>
      <c r="B252" s="1733" t="s">
        <v>19</v>
      </c>
      <c r="C252" s="3620"/>
      <c r="D252" s="1679">
        <f>E252+L252+F252+G252+H252+I252+J252+K252</f>
        <v>2742704</v>
      </c>
      <c r="E252" s="2028">
        <v>0</v>
      </c>
      <c r="F252" s="1423">
        <f>984932-31379</f>
        <v>953553</v>
      </c>
      <c r="G252" s="1423">
        <v>1022198</v>
      </c>
      <c r="H252" s="1423">
        <v>766953</v>
      </c>
      <c r="I252" s="1423"/>
      <c r="J252" s="1423"/>
      <c r="K252" s="1424">
        <v>0</v>
      </c>
      <c r="L252" s="1424">
        <v>0</v>
      </c>
      <c r="M252" s="3548"/>
      <c r="N252" s="3622"/>
      <c r="O252" s="2809"/>
    </row>
    <row r="253" spans="1:15" s="2820" customFormat="1" ht="24.75" customHeight="1" thickBot="1">
      <c r="A253" s="3609" t="s">
        <v>88</v>
      </c>
      <c r="B253" s="1003" t="s">
        <v>436</v>
      </c>
      <c r="C253" s="1004" t="s">
        <v>72</v>
      </c>
      <c r="D253" s="942"/>
      <c r="E253" s="2221"/>
      <c r="F253" s="2221"/>
      <c r="G253" s="2221"/>
      <c r="H253" s="2221"/>
      <c r="I253" s="2221"/>
      <c r="J253" s="2221"/>
      <c r="K253" s="34"/>
      <c r="L253" s="2221"/>
      <c r="M253" s="487"/>
      <c r="N253" s="3621" t="s">
        <v>405</v>
      </c>
      <c r="O253" s="2809"/>
    </row>
    <row r="254" spans="1:15" s="2820" customFormat="1" ht="13.5" thickBot="1">
      <c r="A254" s="3610"/>
      <c r="B254" s="1587" t="s">
        <v>9</v>
      </c>
      <c r="C254" s="1005"/>
      <c r="D254" s="1596">
        <f t="shared" ref="D254:M254" si="181">+D255+D257</f>
        <v>569200</v>
      </c>
      <c r="E254" s="3140">
        <f t="shared" si="181"/>
        <v>0</v>
      </c>
      <c r="F254" s="1214">
        <f t="shared" si="181"/>
        <v>569200</v>
      </c>
      <c r="G254" s="1214">
        <f t="shared" si="181"/>
        <v>0</v>
      </c>
      <c r="H254" s="1214">
        <f t="shared" si="181"/>
        <v>0</v>
      </c>
      <c r="I254" s="1214">
        <f t="shared" si="181"/>
        <v>0</v>
      </c>
      <c r="J254" s="1214">
        <f t="shared" si="181"/>
        <v>0</v>
      </c>
      <c r="K254" s="3140">
        <f t="shared" si="181"/>
        <v>0</v>
      </c>
      <c r="L254" s="3140">
        <f>+L255+L257</f>
        <v>0</v>
      </c>
      <c r="M254" s="1171">
        <f t="shared" si="181"/>
        <v>0</v>
      </c>
      <c r="N254" s="3621"/>
      <c r="O254" s="2809"/>
    </row>
    <row r="255" spans="1:15" s="2820" customFormat="1" ht="13.5" thickBot="1">
      <c r="A255" s="3610"/>
      <c r="B255" s="1588" t="s">
        <v>22</v>
      </c>
      <c r="C255" s="3613" t="s">
        <v>406</v>
      </c>
      <c r="D255" s="1412">
        <f>+D256</f>
        <v>16222</v>
      </c>
      <c r="E255" s="3141">
        <f t="shared" ref="E255:K255" si="182">+E256</f>
        <v>0</v>
      </c>
      <c r="F255" s="1412">
        <f t="shared" si="182"/>
        <v>16222</v>
      </c>
      <c r="G255" s="1412">
        <f t="shared" si="182"/>
        <v>0</v>
      </c>
      <c r="H255" s="1412">
        <f t="shared" si="182"/>
        <v>0</v>
      </c>
      <c r="I255" s="1412">
        <f t="shared" si="182"/>
        <v>0</v>
      </c>
      <c r="J255" s="1412">
        <f t="shared" si="182"/>
        <v>0</v>
      </c>
      <c r="K255" s="1412">
        <f t="shared" si="182"/>
        <v>0</v>
      </c>
      <c r="L255" s="3141">
        <f>+L256</f>
        <v>0</v>
      </c>
      <c r="M255" s="1734">
        <f>+M256</f>
        <v>0</v>
      </c>
      <c r="N255" s="3621"/>
      <c r="O255" s="2809"/>
    </row>
    <row r="256" spans="1:15" s="2820" customFormat="1" ht="12" customHeight="1" thickBot="1">
      <c r="A256" s="3610"/>
      <c r="B256" s="2219" t="s">
        <v>12</v>
      </c>
      <c r="C256" s="3614"/>
      <c r="D256" s="1113">
        <f>E256+L256+F256+G256+H256+I256+J256+K256</f>
        <v>16222</v>
      </c>
      <c r="E256" s="3163">
        <v>0</v>
      </c>
      <c r="F256" s="1460">
        <f>15302+920</f>
        <v>16222</v>
      </c>
      <c r="G256" s="1460"/>
      <c r="H256" s="1460"/>
      <c r="I256" s="1460"/>
      <c r="J256" s="1460"/>
      <c r="K256" s="3148"/>
      <c r="L256" s="3148">
        <v>0</v>
      </c>
      <c r="M256" s="1431">
        <f>SUM(G256:K256)</f>
        <v>0</v>
      </c>
      <c r="N256" s="3621"/>
      <c r="O256" s="2809"/>
    </row>
    <row r="257" spans="1:15" s="2820" customFormat="1" ht="12" customHeight="1" thickBot="1">
      <c r="A257" s="3610"/>
      <c r="B257" s="1588" t="s">
        <v>17</v>
      </c>
      <c r="C257" s="3614"/>
      <c r="D257" s="1179">
        <f>+D258</f>
        <v>552978</v>
      </c>
      <c r="E257" s="1219">
        <f t="shared" ref="E257:K257" si="183">+E258</f>
        <v>0</v>
      </c>
      <c r="F257" s="1179">
        <f t="shared" si="183"/>
        <v>552978</v>
      </c>
      <c r="G257" s="1179">
        <f t="shared" si="183"/>
        <v>0</v>
      </c>
      <c r="H257" s="1179">
        <f t="shared" si="183"/>
        <v>0</v>
      </c>
      <c r="I257" s="1179">
        <f t="shared" si="183"/>
        <v>0</v>
      </c>
      <c r="J257" s="1179">
        <f t="shared" si="183"/>
        <v>0</v>
      </c>
      <c r="K257" s="1219">
        <f t="shared" si="183"/>
        <v>0</v>
      </c>
      <c r="L257" s="1219">
        <f>+L258</f>
        <v>0</v>
      </c>
      <c r="M257" s="1433">
        <f>+M258</f>
        <v>0</v>
      </c>
      <c r="N257" s="3621"/>
      <c r="O257" s="2809"/>
    </row>
    <row r="258" spans="1:15" s="2820" customFormat="1">
      <c r="A258" s="3610"/>
      <c r="B258" s="1589" t="s">
        <v>19</v>
      </c>
      <c r="C258" s="3614"/>
      <c r="D258" s="1113">
        <f>E258+L258+F258+G258+H258+I258+J258+K258</f>
        <v>552978</v>
      </c>
      <c r="E258" s="3163">
        <v>0</v>
      </c>
      <c r="F258" s="1182">
        <f>521599+31379</f>
        <v>552978</v>
      </c>
      <c r="G258" s="1182"/>
      <c r="H258" s="1182"/>
      <c r="I258" s="1182"/>
      <c r="J258" s="1182"/>
      <c r="K258" s="2397"/>
      <c r="L258" s="2397">
        <v>0</v>
      </c>
      <c r="M258" s="1431">
        <f>SUM(G258:K258)</f>
        <v>0</v>
      </c>
      <c r="N258" s="3606"/>
      <c r="O258" s="2809"/>
    </row>
    <row r="259" spans="1:15" s="2820" customFormat="1" ht="13.5" thickBot="1">
      <c r="A259" s="3611"/>
      <c r="B259" s="1587" t="s">
        <v>20</v>
      </c>
      <c r="C259" s="1587"/>
      <c r="D259" s="1432">
        <f>D262+D260</f>
        <v>569200</v>
      </c>
      <c r="E259" s="3161">
        <f t="shared" ref="E259:K259" si="184">E262+E260</f>
        <v>0</v>
      </c>
      <c r="F259" s="1432">
        <f t="shared" si="184"/>
        <v>569200</v>
      </c>
      <c r="G259" s="1432">
        <f t="shared" si="184"/>
        <v>0</v>
      </c>
      <c r="H259" s="1432">
        <f t="shared" si="184"/>
        <v>0</v>
      </c>
      <c r="I259" s="1432">
        <f t="shared" si="184"/>
        <v>0</v>
      </c>
      <c r="J259" s="1432">
        <f t="shared" si="184"/>
        <v>0</v>
      </c>
      <c r="K259" s="3161">
        <f t="shared" si="184"/>
        <v>0</v>
      </c>
      <c r="L259" s="3161">
        <f>L262+L260</f>
        <v>0</v>
      </c>
      <c r="M259" s="3601" t="s">
        <v>52</v>
      </c>
      <c r="N259" s="3617" t="s">
        <v>401</v>
      </c>
      <c r="O259" s="2809"/>
    </row>
    <row r="260" spans="1:15" s="2820" customFormat="1" ht="12.75" customHeight="1" thickBot="1">
      <c r="A260" s="3611"/>
      <c r="B260" s="1597" t="s">
        <v>22</v>
      </c>
      <c r="C260" s="3618" t="s">
        <v>321</v>
      </c>
      <c r="D260" s="1179">
        <f t="shared" ref="D260:K262" si="185">+D261</f>
        <v>16222</v>
      </c>
      <c r="E260" s="1219">
        <f t="shared" si="185"/>
        <v>0</v>
      </c>
      <c r="F260" s="1179">
        <f t="shared" si="185"/>
        <v>16222</v>
      </c>
      <c r="G260" s="1179">
        <f t="shared" si="185"/>
        <v>0</v>
      </c>
      <c r="H260" s="1179">
        <f t="shared" si="185"/>
        <v>0</v>
      </c>
      <c r="I260" s="1179">
        <f t="shared" si="185"/>
        <v>0</v>
      </c>
      <c r="J260" s="1179">
        <f t="shared" si="185"/>
        <v>0</v>
      </c>
      <c r="K260" s="1219">
        <f t="shared" si="185"/>
        <v>0</v>
      </c>
      <c r="L260" s="1219">
        <f>+L261</f>
        <v>0</v>
      </c>
      <c r="M260" s="3601"/>
      <c r="N260" s="3622"/>
      <c r="O260" s="2809"/>
    </row>
    <row r="261" spans="1:15" s="2820" customFormat="1" ht="11.25" customHeight="1" thickBot="1">
      <c r="A261" s="3611"/>
      <c r="B261" s="2219" t="s">
        <v>12</v>
      </c>
      <c r="C261" s="3619"/>
      <c r="D261" s="1152">
        <f>E261+L261+F261+G261+H261+I261+J261+K261</f>
        <v>16222</v>
      </c>
      <c r="E261" s="1490">
        <v>0</v>
      </c>
      <c r="F261" s="1491">
        <f>15302+920</f>
        <v>16222</v>
      </c>
      <c r="G261" s="1491"/>
      <c r="H261" s="1491"/>
      <c r="I261" s="1491"/>
      <c r="J261" s="1491"/>
      <c r="K261" s="1490">
        <v>0</v>
      </c>
      <c r="L261" s="1490">
        <v>0</v>
      </c>
      <c r="M261" s="3601"/>
      <c r="N261" s="3622"/>
      <c r="O261" s="2809"/>
    </row>
    <row r="262" spans="1:15" s="2820" customFormat="1">
      <c r="A262" s="3611"/>
      <c r="B262" s="1588" t="s">
        <v>17</v>
      </c>
      <c r="C262" s="3619"/>
      <c r="D262" s="1480">
        <f t="shared" si="185"/>
        <v>552978</v>
      </c>
      <c r="E262" s="1219">
        <f t="shared" si="185"/>
        <v>0</v>
      </c>
      <c r="F262" s="1179">
        <f t="shared" si="185"/>
        <v>552978</v>
      </c>
      <c r="G262" s="1179">
        <f t="shared" si="185"/>
        <v>0</v>
      </c>
      <c r="H262" s="1179">
        <f t="shared" si="185"/>
        <v>0</v>
      </c>
      <c r="I262" s="1179">
        <f t="shared" si="185"/>
        <v>0</v>
      </c>
      <c r="J262" s="1179">
        <f t="shared" si="185"/>
        <v>0</v>
      </c>
      <c r="K262" s="1219">
        <f t="shared" si="185"/>
        <v>0</v>
      </c>
      <c r="L262" s="1219">
        <f>+L263</f>
        <v>0</v>
      </c>
      <c r="M262" s="3601"/>
      <c r="N262" s="3623"/>
      <c r="O262" s="2809"/>
    </row>
    <row r="263" spans="1:15" s="2820" customFormat="1" ht="13.5" thickBot="1">
      <c r="A263" s="3612"/>
      <c r="B263" s="1733" t="s">
        <v>19</v>
      </c>
      <c r="C263" s="3620"/>
      <c r="D263" s="1679">
        <f>E263+L263+F263+G263+H263+I263+J263+K263</f>
        <v>552978</v>
      </c>
      <c r="E263" s="2028">
        <v>0</v>
      </c>
      <c r="F263" s="1423">
        <f>521599+31379</f>
        <v>552978</v>
      </c>
      <c r="G263" s="1423"/>
      <c r="H263" s="1423"/>
      <c r="I263" s="1423"/>
      <c r="J263" s="1423"/>
      <c r="K263" s="1424">
        <v>0</v>
      </c>
      <c r="L263" s="1424">
        <v>0</v>
      </c>
      <c r="M263" s="3548"/>
      <c r="N263" s="3617"/>
      <c r="O263" s="2809"/>
    </row>
    <row r="264" spans="1:15" s="2820" customFormat="1" ht="25.5" customHeight="1">
      <c r="A264" s="3609" t="s">
        <v>90</v>
      </c>
      <c r="B264" s="1003" t="s">
        <v>434</v>
      </c>
      <c r="C264" s="1004" t="s">
        <v>99</v>
      </c>
      <c r="D264" s="942"/>
      <c r="E264" s="942"/>
      <c r="F264" s="942"/>
      <c r="G264" s="942"/>
      <c r="H264" s="942"/>
      <c r="I264" s="942"/>
      <c r="J264" s="942"/>
      <c r="K264" s="942"/>
      <c r="L264" s="942"/>
      <c r="M264" s="942"/>
      <c r="N264" s="3605" t="s">
        <v>265</v>
      </c>
      <c r="O264" s="2809"/>
    </row>
    <row r="265" spans="1:15" s="2820" customFormat="1">
      <c r="A265" s="3610"/>
      <c r="B265" s="1587" t="s">
        <v>9</v>
      </c>
      <c r="C265" s="1005"/>
      <c r="D265" s="1596">
        <f>+D266+D273</f>
        <v>1113035</v>
      </c>
      <c r="E265" s="3140">
        <f t="shared" ref="E265:M265" si="186">+E266+E273</f>
        <v>0</v>
      </c>
      <c r="F265" s="1214">
        <f t="shared" si="186"/>
        <v>294044</v>
      </c>
      <c r="G265" s="1214">
        <f t="shared" si="186"/>
        <v>392447</v>
      </c>
      <c r="H265" s="1214">
        <f t="shared" si="186"/>
        <v>351828</v>
      </c>
      <c r="I265" s="1214">
        <f t="shared" si="186"/>
        <v>74716</v>
      </c>
      <c r="J265" s="3140">
        <f t="shared" si="186"/>
        <v>0</v>
      </c>
      <c r="K265" s="3140">
        <f t="shared" si="186"/>
        <v>0</v>
      </c>
      <c r="L265" s="3140">
        <f>+L266+L273</f>
        <v>0</v>
      </c>
      <c r="M265" s="1171">
        <f t="shared" si="186"/>
        <v>818991</v>
      </c>
      <c r="N265" s="3607"/>
      <c r="O265" s="2809"/>
    </row>
    <row r="266" spans="1:15" s="2820" customFormat="1">
      <c r="A266" s="3610"/>
      <c r="B266" s="1588" t="s">
        <v>22</v>
      </c>
      <c r="C266" s="3613" t="s">
        <v>386</v>
      </c>
      <c r="D266" s="1412">
        <f>+D267+D270</f>
        <v>174969</v>
      </c>
      <c r="E266" s="3141">
        <f t="shared" ref="E266:K266" si="187">+E267+E270</f>
        <v>0</v>
      </c>
      <c r="F266" s="1412">
        <f t="shared" si="187"/>
        <v>46224</v>
      </c>
      <c r="G266" s="1412">
        <f t="shared" si="187"/>
        <v>61693</v>
      </c>
      <c r="H266" s="1412">
        <f t="shared" si="187"/>
        <v>55307</v>
      </c>
      <c r="I266" s="1412">
        <f t="shared" si="187"/>
        <v>11745</v>
      </c>
      <c r="J266" s="3141">
        <f t="shared" si="187"/>
        <v>0</v>
      </c>
      <c r="K266" s="3141">
        <f t="shared" si="187"/>
        <v>0</v>
      </c>
      <c r="L266" s="3141">
        <f>+L267+L270</f>
        <v>0</v>
      </c>
      <c r="M266" s="1734">
        <f>+M267+M270</f>
        <v>128745</v>
      </c>
      <c r="N266" s="3607"/>
      <c r="O266" s="2809"/>
    </row>
    <row r="267" spans="1:15" s="2820" customFormat="1">
      <c r="A267" s="3610"/>
      <c r="B267" s="1589" t="s">
        <v>11</v>
      </c>
      <c r="C267" s="3614"/>
      <c r="D267" s="1113">
        <f>E267+L267+F267+G267+H267+I267+J267+K267</f>
        <v>0</v>
      </c>
      <c r="E267" s="3163">
        <v>0</v>
      </c>
      <c r="F267" s="1460">
        <f>F268+F269</f>
        <v>0</v>
      </c>
      <c r="G267" s="1460">
        <f t="shared" ref="G267:K267" si="188">G268+G269</f>
        <v>0</v>
      </c>
      <c r="H267" s="1460">
        <f t="shared" si="188"/>
        <v>0</v>
      </c>
      <c r="I267" s="1460">
        <f t="shared" si="188"/>
        <v>0</v>
      </c>
      <c r="J267" s="3148">
        <f t="shared" si="188"/>
        <v>0</v>
      </c>
      <c r="K267" s="3148">
        <f t="shared" si="188"/>
        <v>0</v>
      </c>
      <c r="L267" s="3148">
        <v>0</v>
      </c>
      <c r="M267" s="3172">
        <f>SUM(F267:K267)</f>
        <v>0</v>
      </c>
      <c r="N267" s="3607"/>
      <c r="O267" s="2809"/>
    </row>
    <row r="268" spans="1:15" s="2820" customFormat="1" hidden="1">
      <c r="A268" s="3610"/>
      <c r="B268" s="3164" t="s">
        <v>245</v>
      </c>
      <c r="C268" s="3614"/>
      <c r="D268" s="3150">
        <f>SUM(E268:K268)</f>
        <v>0</v>
      </c>
      <c r="E268" s="1485">
        <v>0</v>
      </c>
      <c r="F268" s="3151"/>
      <c r="G268" s="3151"/>
      <c r="H268" s="3151"/>
      <c r="I268" s="3151">
        <v>0</v>
      </c>
      <c r="J268" s="1485">
        <v>0</v>
      </c>
      <c r="K268" s="1485">
        <v>0</v>
      </c>
      <c r="L268" s="3152">
        <v>0</v>
      </c>
      <c r="M268" s="3144">
        <f>SUM(F268:K268)</f>
        <v>0</v>
      </c>
      <c r="N268" s="3607"/>
      <c r="O268" s="2809"/>
    </row>
    <row r="269" spans="1:15" s="2820" customFormat="1" hidden="1">
      <c r="A269" s="3610"/>
      <c r="B269" s="3165" t="s">
        <v>260</v>
      </c>
      <c r="C269" s="3614"/>
      <c r="D269" s="3166">
        <f>SUM(E269:K269)</f>
        <v>0</v>
      </c>
      <c r="E269" s="3167">
        <v>0</v>
      </c>
      <c r="F269" s="3168"/>
      <c r="G269" s="3168"/>
      <c r="H269" s="3168"/>
      <c r="I269" s="3168">
        <v>0</v>
      </c>
      <c r="J269" s="3167">
        <v>0</v>
      </c>
      <c r="K269" s="3167">
        <v>0</v>
      </c>
      <c r="L269" s="3169">
        <v>0</v>
      </c>
      <c r="M269" s="3144">
        <f>SUM(F269:K269)</f>
        <v>0</v>
      </c>
      <c r="N269" s="3607"/>
      <c r="O269" s="2809"/>
    </row>
    <row r="270" spans="1:15" s="2820" customFormat="1">
      <c r="A270" s="3610"/>
      <c r="B270" s="2219" t="s">
        <v>12</v>
      </c>
      <c r="C270" s="3614"/>
      <c r="D270" s="1113">
        <f>E270+L270+F270+G270+H270+I270+J270+K270</f>
        <v>174969</v>
      </c>
      <c r="E270" s="3163">
        <v>0</v>
      </c>
      <c r="F270" s="1460">
        <f>F271+F272</f>
        <v>46224</v>
      </c>
      <c r="G270" s="1460">
        <f t="shared" ref="G270:K270" si="189">G271+G272</f>
        <v>61693</v>
      </c>
      <c r="H270" s="1460">
        <f t="shared" si="189"/>
        <v>55307</v>
      </c>
      <c r="I270" s="1460">
        <f t="shared" si="189"/>
        <v>11745</v>
      </c>
      <c r="J270" s="3148">
        <f t="shared" si="189"/>
        <v>0</v>
      </c>
      <c r="K270" s="3148">
        <f t="shared" si="189"/>
        <v>0</v>
      </c>
      <c r="L270" s="3148">
        <v>0</v>
      </c>
      <c r="M270" s="1431">
        <f>SUM(G270:K270)</f>
        <v>128745</v>
      </c>
      <c r="N270" s="3607"/>
      <c r="O270" s="2809"/>
    </row>
    <row r="271" spans="1:15" s="2820" customFormat="1" hidden="1">
      <c r="A271" s="3610"/>
      <c r="B271" s="3164" t="s">
        <v>245</v>
      </c>
      <c r="C271" s="3614"/>
      <c r="D271" s="3150">
        <f>SUM(E271:K271)</f>
        <v>115553</v>
      </c>
      <c r="E271" s="1485">
        <v>0</v>
      </c>
      <c r="F271" s="3151">
        <v>27998</v>
      </c>
      <c r="G271" s="3151">
        <v>38418</v>
      </c>
      <c r="H271" s="3151">
        <v>38208</v>
      </c>
      <c r="I271" s="3151">
        <v>10929</v>
      </c>
      <c r="J271" s="1485">
        <v>0</v>
      </c>
      <c r="K271" s="1485">
        <v>0</v>
      </c>
      <c r="L271" s="3152">
        <v>0</v>
      </c>
      <c r="M271" s="1431">
        <f t="shared" ref="M271:M272" si="190">SUM(F271:K271)</f>
        <v>115553</v>
      </c>
      <c r="N271" s="3607"/>
      <c r="O271" s="2809">
        <f>D270-D279</f>
        <v>0</v>
      </c>
    </row>
    <row r="272" spans="1:15" s="2820" customFormat="1" hidden="1">
      <c r="A272" s="3610"/>
      <c r="B272" s="3165" t="s">
        <v>260</v>
      </c>
      <c r="C272" s="3614"/>
      <c r="D272" s="3166">
        <f>SUM(E272:K272)</f>
        <v>59416</v>
      </c>
      <c r="E272" s="3167">
        <v>0</v>
      </c>
      <c r="F272" s="3168">
        <v>18226</v>
      </c>
      <c r="G272" s="3168">
        <v>23275</v>
      </c>
      <c r="H272" s="3168">
        <v>17099</v>
      </c>
      <c r="I272" s="3168">
        <v>816</v>
      </c>
      <c r="J272" s="3167">
        <v>0</v>
      </c>
      <c r="K272" s="3167">
        <v>0</v>
      </c>
      <c r="L272" s="3169">
        <v>0</v>
      </c>
      <c r="M272" s="1431">
        <f t="shared" si="190"/>
        <v>59416</v>
      </c>
      <c r="N272" s="3607"/>
      <c r="O272" s="2809"/>
    </row>
    <row r="273" spans="1:15" s="2820" customFormat="1">
      <c r="A273" s="3610"/>
      <c r="B273" s="1588" t="s">
        <v>17</v>
      </c>
      <c r="C273" s="3614"/>
      <c r="D273" s="1179">
        <f>+D274</f>
        <v>938066</v>
      </c>
      <c r="E273" s="1219">
        <f t="shared" ref="E273:K273" si="191">+E274</f>
        <v>0</v>
      </c>
      <c r="F273" s="1179">
        <f t="shared" si="191"/>
        <v>247820</v>
      </c>
      <c r="G273" s="1179">
        <f t="shared" si="191"/>
        <v>330754</v>
      </c>
      <c r="H273" s="1179">
        <f t="shared" si="191"/>
        <v>296521</v>
      </c>
      <c r="I273" s="1179">
        <f t="shared" si="191"/>
        <v>62971</v>
      </c>
      <c r="J273" s="1219">
        <f t="shared" si="191"/>
        <v>0</v>
      </c>
      <c r="K273" s="1219">
        <f t="shared" si="191"/>
        <v>0</v>
      </c>
      <c r="L273" s="1219">
        <f>+L274</f>
        <v>0</v>
      </c>
      <c r="M273" s="1433">
        <f>+M274</f>
        <v>690246</v>
      </c>
      <c r="N273" s="3607"/>
      <c r="O273" s="2809">
        <f>D274-D281</f>
        <v>0</v>
      </c>
    </row>
    <row r="274" spans="1:15" s="2820" customFormat="1">
      <c r="A274" s="3610"/>
      <c r="B274" s="1589" t="s">
        <v>19</v>
      </c>
      <c r="C274" s="3614"/>
      <c r="D274" s="1113">
        <f>E274+L274+F274+G274+H274+I274+J274+K274</f>
        <v>938066</v>
      </c>
      <c r="E274" s="3163">
        <v>0</v>
      </c>
      <c r="F274" s="1182">
        <f>F275+F276</f>
        <v>247820</v>
      </c>
      <c r="G274" s="1182">
        <f t="shared" ref="G274:K274" si="192">G275+G276</f>
        <v>330754</v>
      </c>
      <c r="H274" s="1182">
        <f t="shared" si="192"/>
        <v>296521</v>
      </c>
      <c r="I274" s="1182">
        <f t="shared" si="192"/>
        <v>62971</v>
      </c>
      <c r="J274" s="2397">
        <f t="shared" si="192"/>
        <v>0</v>
      </c>
      <c r="K274" s="2397">
        <f t="shared" si="192"/>
        <v>0</v>
      </c>
      <c r="L274" s="2397">
        <v>0</v>
      </c>
      <c r="M274" s="1431">
        <f>SUM(G274:K274)</f>
        <v>690246</v>
      </c>
      <c r="N274" s="3607"/>
      <c r="O274" s="2809"/>
    </row>
    <row r="275" spans="1:15" s="2820" customFormat="1" hidden="1">
      <c r="A275" s="3610"/>
      <c r="B275" s="3164" t="s">
        <v>245</v>
      </c>
      <c r="C275" s="3170"/>
      <c r="D275" s="3150">
        <f>SUM(E275:K275)</f>
        <v>619522</v>
      </c>
      <c r="E275" s="1485">
        <v>0</v>
      </c>
      <c r="F275" s="3151">
        <v>150106</v>
      </c>
      <c r="G275" s="3151">
        <v>205970</v>
      </c>
      <c r="H275" s="3151">
        <v>204850</v>
      </c>
      <c r="I275" s="3151">
        <v>58596</v>
      </c>
      <c r="J275" s="1485">
        <v>0</v>
      </c>
      <c r="K275" s="1485">
        <v>0</v>
      </c>
      <c r="L275" s="1485">
        <v>0</v>
      </c>
      <c r="M275" s="3144">
        <f>SUM(F275:K275)</f>
        <v>619522</v>
      </c>
      <c r="N275" s="3607"/>
      <c r="O275" s="2809"/>
    </row>
    <row r="276" spans="1:15" s="2820" customFormat="1" hidden="1">
      <c r="A276" s="3610"/>
      <c r="B276" s="3165" t="s">
        <v>260</v>
      </c>
      <c r="C276" s="3171"/>
      <c r="D276" s="3166">
        <f>SUM(E276:K276)</f>
        <v>318544</v>
      </c>
      <c r="E276" s="3167">
        <v>0</v>
      </c>
      <c r="F276" s="3168">
        <v>97714</v>
      </c>
      <c r="G276" s="3168">
        <v>124784</v>
      </c>
      <c r="H276" s="3168">
        <v>91671</v>
      </c>
      <c r="I276" s="3168">
        <v>4375</v>
      </c>
      <c r="J276" s="3167">
        <v>0</v>
      </c>
      <c r="K276" s="3167">
        <v>0</v>
      </c>
      <c r="L276" s="3167">
        <v>0</v>
      </c>
      <c r="M276" s="3144">
        <f>SUM(F276:K276)</f>
        <v>318544</v>
      </c>
      <c r="N276" s="3608"/>
      <c r="O276" s="2809"/>
    </row>
    <row r="277" spans="1:15" s="2820" customFormat="1">
      <c r="A277" s="3611"/>
      <c r="B277" s="1587" t="s">
        <v>20</v>
      </c>
      <c r="C277" s="1587"/>
      <c r="D277" s="1432">
        <f>D280+D278</f>
        <v>1113035</v>
      </c>
      <c r="E277" s="3161">
        <f t="shared" ref="E277:K277" si="193">E280+E278</f>
        <v>0</v>
      </c>
      <c r="F277" s="1432">
        <f t="shared" si="193"/>
        <v>294044</v>
      </c>
      <c r="G277" s="1432">
        <f t="shared" si="193"/>
        <v>392447</v>
      </c>
      <c r="H277" s="1432">
        <f t="shared" si="193"/>
        <v>351828</v>
      </c>
      <c r="I277" s="1432">
        <f t="shared" si="193"/>
        <v>74716</v>
      </c>
      <c r="J277" s="3161">
        <f t="shared" si="193"/>
        <v>0</v>
      </c>
      <c r="K277" s="3161">
        <f t="shared" si="193"/>
        <v>0</v>
      </c>
      <c r="L277" s="3161">
        <f>L280+L278</f>
        <v>0</v>
      </c>
      <c r="M277" s="3601" t="s">
        <v>52</v>
      </c>
      <c r="N277" s="3615" t="s">
        <v>260</v>
      </c>
      <c r="O277" s="2809"/>
    </row>
    <row r="278" spans="1:15" s="2820" customFormat="1">
      <c r="A278" s="3611"/>
      <c r="B278" s="1597" t="s">
        <v>22</v>
      </c>
      <c r="C278" s="3618" t="s">
        <v>389</v>
      </c>
      <c r="D278" s="1179">
        <f t="shared" ref="D278:K280" si="194">+D279</f>
        <v>174969</v>
      </c>
      <c r="E278" s="1219">
        <f t="shared" si="194"/>
        <v>0</v>
      </c>
      <c r="F278" s="1179">
        <f t="shared" si="194"/>
        <v>46224</v>
      </c>
      <c r="G278" s="1179">
        <f t="shared" si="194"/>
        <v>61693</v>
      </c>
      <c r="H278" s="1179">
        <f t="shared" si="194"/>
        <v>55307</v>
      </c>
      <c r="I278" s="1179">
        <f t="shared" si="194"/>
        <v>11745</v>
      </c>
      <c r="J278" s="1219">
        <f t="shared" si="194"/>
        <v>0</v>
      </c>
      <c r="K278" s="1219">
        <f t="shared" si="194"/>
        <v>0</v>
      </c>
      <c r="L278" s="1219">
        <f>+L279</f>
        <v>0</v>
      </c>
      <c r="M278" s="3601"/>
      <c r="N278" s="3616"/>
      <c r="O278" s="2809"/>
    </row>
    <row r="279" spans="1:15" s="2820" customFormat="1">
      <c r="A279" s="3611"/>
      <c r="B279" s="2219" t="s">
        <v>12</v>
      </c>
      <c r="C279" s="3619"/>
      <c r="D279" s="1152">
        <f>E279+L279+F279+G279+H279+I279+J279+K279</f>
        <v>174969</v>
      </c>
      <c r="E279" s="1490">
        <v>0</v>
      </c>
      <c r="F279" s="1491">
        <v>46224</v>
      </c>
      <c r="G279" s="1491">
        <v>61693</v>
      </c>
      <c r="H279" s="1491">
        <v>55307</v>
      </c>
      <c r="I279" s="1491">
        <v>11745</v>
      </c>
      <c r="J279" s="1490">
        <v>0</v>
      </c>
      <c r="K279" s="1490">
        <v>0</v>
      </c>
      <c r="L279" s="1490">
        <v>0</v>
      </c>
      <c r="M279" s="3601"/>
      <c r="N279" s="3616"/>
      <c r="O279" s="2809"/>
    </row>
    <row r="280" spans="1:15" s="2820" customFormat="1">
      <c r="A280" s="3611"/>
      <c r="B280" s="1588" t="s">
        <v>17</v>
      </c>
      <c r="C280" s="3619"/>
      <c r="D280" s="1480">
        <f t="shared" si="194"/>
        <v>938066</v>
      </c>
      <c r="E280" s="1219">
        <f t="shared" si="194"/>
        <v>0</v>
      </c>
      <c r="F280" s="1480">
        <f t="shared" si="194"/>
        <v>247820</v>
      </c>
      <c r="G280" s="1480">
        <f t="shared" si="194"/>
        <v>330754</v>
      </c>
      <c r="H280" s="1480">
        <f t="shared" si="194"/>
        <v>296521</v>
      </c>
      <c r="I280" s="1480">
        <f t="shared" si="194"/>
        <v>62971</v>
      </c>
      <c r="J280" s="1219">
        <f t="shared" si="194"/>
        <v>0</v>
      </c>
      <c r="K280" s="1219">
        <f t="shared" si="194"/>
        <v>0</v>
      </c>
      <c r="L280" s="1219">
        <f>+L281</f>
        <v>0</v>
      </c>
      <c r="M280" s="3601"/>
      <c r="N280" s="3616"/>
      <c r="O280" s="2809"/>
    </row>
    <row r="281" spans="1:15" s="2820" customFormat="1" ht="13.5" thickBot="1">
      <c r="A281" s="3612"/>
      <c r="B281" s="1733" t="s">
        <v>19</v>
      </c>
      <c r="C281" s="3620"/>
      <c r="D281" s="1679">
        <f>E281+L281+F281+G281+H281+I281+J281+K281</f>
        <v>938066</v>
      </c>
      <c r="E281" s="2028">
        <v>0</v>
      </c>
      <c r="F281" s="1679">
        <v>247820</v>
      </c>
      <c r="G281" s="1679">
        <v>330754</v>
      </c>
      <c r="H281" s="1679">
        <v>296521</v>
      </c>
      <c r="I281" s="1679">
        <v>62971</v>
      </c>
      <c r="J281" s="1424">
        <v>0</v>
      </c>
      <c r="K281" s="1424">
        <v>0</v>
      </c>
      <c r="L281" s="1424">
        <v>0</v>
      </c>
      <c r="M281" s="3548"/>
      <c r="N281" s="3617"/>
      <c r="O281" s="2809"/>
    </row>
    <row r="282" spans="1:15" s="2810" customFormat="1" ht="26.25" customHeight="1" thickBot="1">
      <c r="A282" s="165" t="s">
        <v>550</v>
      </c>
      <c r="B282" s="166"/>
      <c r="C282" s="166"/>
      <c r="D282" s="166"/>
      <c r="E282" s="1110"/>
      <c r="F282" s="166"/>
      <c r="G282" s="166"/>
      <c r="H282" s="166"/>
      <c r="I282" s="166"/>
      <c r="J282" s="166"/>
      <c r="K282" s="166"/>
      <c r="L282" s="166"/>
      <c r="M282" s="772"/>
      <c r="N282" s="3083"/>
      <c r="O282" s="2809"/>
    </row>
    <row r="283" spans="1:15" s="2810" customFormat="1">
      <c r="A283" s="3586"/>
      <c r="B283" s="180" t="s">
        <v>67</v>
      </c>
      <c r="C283" s="181"/>
      <c r="D283" s="2347">
        <f>D284+D285</f>
        <v>12000000</v>
      </c>
      <c r="E283" s="182">
        <f t="shared" ref="E283:K283" si="195">E284+E285</f>
        <v>0</v>
      </c>
      <c r="F283" s="182">
        <f t="shared" si="195"/>
        <v>0</v>
      </c>
      <c r="G283" s="182">
        <f t="shared" si="195"/>
        <v>4000000</v>
      </c>
      <c r="H283" s="182">
        <f t="shared" si="195"/>
        <v>4000000</v>
      </c>
      <c r="I283" s="182">
        <f t="shared" si="195"/>
        <v>4000000</v>
      </c>
      <c r="J283" s="182">
        <f t="shared" si="195"/>
        <v>0</v>
      </c>
      <c r="K283" s="182">
        <f t="shared" si="195"/>
        <v>0</v>
      </c>
      <c r="L283" s="182">
        <f>L284+L285</f>
        <v>0</v>
      </c>
      <c r="M283" s="2348">
        <f>M284+M285</f>
        <v>12000000</v>
      </c>
      <c r="N283" s="3589"/>
      <c r="O283" s="2809"/>
    </row>
    <row r="284" spans="1:15" s="2810" customFormat="1" ht="13.5" thickBot="1">
      <c r="A284" s="3587"/>
      <c r="B284" s="183" t="s">
        <v>68</v>
      </c>
      <c r="C284" s="184"/>
      <c r="D284" s="2349">
        <f>D291</f>
        <v>12000000</v>
      </c>
      <c r="E284" s="193">
        <f t="shared" ref="E284:K284" si="196">E291</f>
        <v>0</v>
      </c>
      <c r="F284" s="193">
        <f t="shared" si="196"/>
        <v>0</v>
      </c>
      <c r="G284" s="193">
        <f t="shared" si="196"/>
        <v>4000000</v>
      </c>
      <c r="H284" s="193">
        <f t="shared" si="196"/>
        <v>4000000</v>
      </c>
      <c r="I284" s="193">
        <f t="shared" si="196"/>
        <v>4000000</v>
      </c>
      <c r="J284" s="193">
        <f t="shared" si="196"/>
        <v>0</v>
      </c>
      <c r="K284" s="193">
        <f t="shared" si="196"/>
        <v>0</v>
      </c>
      <c r="L284" s="193">
        <f>L291</f>
        <v>0</v>
      </c>
      <c r="M284" s="2048">
        <f>SUM(G284:K284)</f>
        <v>12000000</v>
      </c>
      <c r="N284" s="3590"/>
      <c r="O284" s="2809"/>
    </row>
    <row r="285" spans="1:15" s="2810" customFormat="1" ht="13.5" thickBot="1">
      <c r="A285" s="3587"/>
      <c r="B285" s="194" t="s">
        <v>8</v>
      </c>
      <c r="C285" s="184"/>
      <c r="D285" s="193">
        <v>0</v>
      </c>
      <c r="E285" s="185">
        <v>0</v>
      </c>
      <c r="F285" s="308">
        <v>0</v>
      </c>
      <c r="G285" s="308">
        <f>G296</f>
        <v>0</v>
      </c>
      <c r="H285" s="308">
        <f>H296</f>
        <v>0</v>
      </c>
      <c r="I285" s="308">
        <f>I296</f>
        <v>0</v>
      </c>
      <c r="J285" s="308">
        <f>J296</f>
        <v>0</v>
      </c>
      <c r="K285" s="308">
        <f>K296</f>
        <v>0</v>
      </c>
      <c r="L285" s="185">
        <v>0</v>
      </c>
      <c r="M285" s="1482">
        <f>SUM(G285:K285)</f>
        <v>0</v>
      </c>
      <c r="N285" s="3591"/>
      <c r="O285" s="2809"/>
    </row>
    <row r="286" spans="1:15" s="2810" customFormat="1" ht="13.5" thickBot="1">
      <c r="A286" s="3587"/>
      <c r="B286" s="155" t="s">
        <v>9</v>
      </c>
      <c r="C286" s="156"/>
      <c r="D286" s="130">
        <f>D287</f>
        <v>12000000</v>
      </c>
      <c r="E286" s="130">
        <f t="shared" ref="E286:K287" si="197">E287</f>
        <v>0</v>
      </c>
      <c r="F286" s="130">
        <f t="shared" si="197"/>
        <v>0</v>
      </c>
      <c r="G286" s="130">
        <f t="shared" si="197"/>
        <v>4000000</v>
      </c>
      <c r="H286" s="130">
        <f t="shared" si="197"/>
        <v>4000000</v>
      </c>
      <c r="I286" s="130">
        <f t="shared" si="197"/>
        <v>4000000</v>
      </c>
      <c r="J286" s="130">
        <f t="shared" si="197"/>
        <v>0</v>
      </c>
      <c r="K286" s="130">
        <f t="shared" si="197"/>
        <v>0</v>
      </c>
      <c r="L286" s="130">
        <f>L287</f>
        <v>0</v>
      </c>
      <c r="M286" s="2072">
        <f>M287</f>
        <v>12000000</v>
      </c>
      <c r="N286" s="3591"/>
      <c r="O286" s="2809"/>
    </row>
    <row r="287" spans="1:15" s="2810" customFormat="1" ht="13.5" thickBot="1">
      <c r="A287" s="3587"/>
      <c r="B287" s="3336" t="s">
        <v>10</v>
      </c>
      <c r="C287" s="3593" t="s">
        <v>52</v>
      </c>
      <c r="D287" s="1237">
        <f>D288</f>
        <v>12000000</v>
      </c>
      <c r="E287" s="1237">
        <f t="shared" si="197"/>
        <v>0</v>
      </c>
      <c r="F287" s="1237">
        <f t="shared" si="197"/>
        <v>0</v>
      </c>
      <c r="G287" s="1237">
        <f t="shared" si="197"/>
        <v>4000000</v>
      </c>
      <c r="H287" s="1237">
        <f t="shared" si="197"/>
        <v>4000000</v>
      </c>
      <c r="I287" s="1237">
        <f t="shared" si="197"/>
        <v>4000000</v>
      </c>
      <c r="J287" s="1237">
        <f t="shared" si="197"/>
        <v>0</v>
      </c>
      <c r="K287" s="1237">
        <f t="shared" si="197"/>
        <v>0</v>
      </c>
      <c r="L287" s="1237">
        <f>L288</f>
        <v>0</v>
      </c>
      <c r="M287" s="1238">
        <f>+M288</f>
        <v>12000000</v>
      </c>
      <c r="N287" s="3591"/>
      <c r="O287" s="2809"/>
    </row>
    <row r="288" spans="1:15" s="2810" customFormat="1" ht="13.5" thickBot="1">
      <c r="A288" s="3588"/>
      <c r="B288" s="134" t="s">
        <v>11</v>
      </c>
      <c r="C288" s="3594"/>
      <c r="D288" s="1979">
        <f t="shared" ref="D288:I288" si="198">D292</f>
        <v>12000000</v>
      </c>
      <c r="E288" s="1979">
        <f t="shared" si="198"/>
        <v>0</v>
      </c>
      <c r="F288" s="1979">
        <f t="shared" si="198"/>
        <v>0</v>
      </c>
      <c r="G288" s="1979">
        <f t="shared" si="198"/>
        <v>4000000</v>
      </c>
      <c r="H288" s="1979">
        <f t="shared" si="198"/>
        <v>4000000</v>
      </c>
      <c r="I288" s="1979">
        <f t="shared" si="198"/>
        <v>4000000</v>
      </c>
      <c r="J288" s="1979">
        <f t="shared" ref="J288:K288" si="199">J294</f>
        <v>0</v>
      </c>
      <c r="K288" s="1979">
        <f t="shared" si="199"/>
        <v>0</v>
      </c>
      <c r="L288" s="1979">
        <f>L294</f>
        <v>0</v>
      </c>
      <c r="M288" s="3030">
        <f>SUM(G288:K288)</f>
        <v>12000000</v>
      </c>
      <c r="N288" s="3592"/>
      <c r="O288" s="2809"/>
    </row>
    <row r="289" spans="1:15" s="2810" customFormat="1" ht="24.75" thickBot="1">
      <c r="A289" s="3595" t="s">
        <v>54</v>
      </c>
      <c r="B289" s="317" t="s">
        <v>552</v>
      </c>
      <c r="C289" s="318" t="s">
        <v>99</v>
      </c>
      <c r="D289" s="327"/>
      <c r="E289" s="326"/>
      <c r="F289" s="326"/>
      <c r="G289" s="326"/>
      <c r="H289" s="326"/>
      <c r="I289" s="326"/>
      <c r="J289" s="326"/>
      <c r="K289" s="1109"/>
      <c r="L289" s="326"/>
      <c r="M289" s="301"/>
      <c r="N289" s="3596" t="s">
        <v>551</v>
      </c>
      <c r="O289" s="2809"/>
    </row>
    <row r="290" spans="1:15" s="2810" customFormat="1" ht="13.5" thickBot="1">
      <c r="A290" s="3595"/>
      <c r="B290" s="68" t="s">
        <v>9</v>
      </c>
      <c r="C290" s="3049"/>
      <c r="D290" s="1132">
        <f>+D291</f>
        <v>12000000</v>
      </c>
      <c r="E290" s="1132">
        <f t="shared" ref="E290:M291" si="200">+E291</f>
        <v>0</v>
      </c>
      <c r="F290" s="1132">
        <f t="shared" si="200"/>
        <v>0</v>
      </c>
      <c r="G290" s="1132">
        <f t="shared" si="200"/>
        <v>4000000</v>
      </c>
      <c r="H290" s="1132">
        <f t="shared" si="200"/>
        <v>4000000</v>
      </c>
      <c r="I290" s="1132">
        <f t="shared" si="200"/>
        <v>4000000</v>
      </c>
      <c r="J290" s="1132">
        <f t="shared" si="200"/>
        <v>0</v>
      </c>
      <c r="K290" s="1132">
        <f t="shared" si="200"/>
        <v>0</v>
      </c>
      <c r="L290" s="1132">
        <f>+L291</f>
        <v>0</v>
      </c>
      <c r="M290" s="3050">
        <f t="shared" si="200"/>
        <v>12000000</v>
      </c>
      <c r="N290" s="3596"/>
      <c r="O290" s="2809"/>
    </row>
    <row r="291" spans="1:15" s="2810" customFormat="1" ht="13.5" thickBot="1">
      <c r="A291" s="3595"/>
      <c r="B291" s="1806" t="s">
        <v>22</v>
      </c>
      <c r="C291" s="3599" t="s">
        <v>168</v>
      </c>
      <c r="D291" s="1242">
        <f>+D292</f>
        <v>12000000</v>
      </c>
      <c r="E291" s="1639">
        <f t="shared" si="200"/>
        <v>0</v>
      </c>
      <c r="F291" s="1140">
        <f t="shared" si="200"/>
        <v>0</v>
      </c>
      <c r="G291" s="1140">
        <f t="shared" si="200"/>
        <v>4000000</v>
      </c>
      <c r="H291" s="1140">
        <f t="shared" si="200"/>
        <v>4000000</v>
      </c>
      <c r="I291" s="1140">
        <f t="shared" si="200"/>
        <v>4000000</v>
      </c>
      <c r="J291" s="1140">
        <f t="shared" si="200"/>
        <v>0</v>
      </c>
      <c r="K291" s="1140">
        <f t="shared" si="200"/>
        <v>0</v>
      </c>
      <c r="L291" s="1640">
        <f>+L292</f>
        <v>0</v>
      </c>
      <c r="M291" s="3051">
        <f t="shared" si="200"/>
        <v>12000000</v>
      </c>
      <c r="N291" s="3597"/>
      <c r="O291" s="2809"/>
    </row>
    <row r="292" spans="1:15" s="2810" customFormat="1" ht="13.5" thickBot="1">
      <c r="A292" s="3595"/>
      <c r="B292" s="1008" t="s">
        <v>11</v>
      </c>
      <c r="C292" s="3600"/>
      <c r="D292" s="1405">
        <f>E292+L292+F292+G292+H292+I292+J292+K292</f>
        <v>12000000</v>
      </c>
      <c r="E292" s="3052">
        <v>0</v>
      </c>
      <c r="F292" s="2440">
        <v>0</v>
      </c>
      <c r="G292" s="2440">
        <v>4000000</v>
      </c>
      <c r="H292" s="2440">
        <v>4000000</v>
      </c>
      <c r="I292" s="2440">
        <v>4000000</v>
      </c>
      <c r="J292" s="2440">
        <v>0</v>
      </c>
      <c r="K292" s="2440">
        <v>0</v>
      </c>
      <c r="L292" s="3053">
        <v>0</v>
      </c>
      <c r="M292" s="2360">
        <f>SUM(G292:K292)</f>
        <v>12000000</v>
      </c>
      <c r="N292" s="3598"/>
      <c r="O292" s="2809"/>
    </row>
    <row r="293" spans="1:15" s="2810" customFormat="1">
      <c r="A293" s="2894"/>
      <c r="B293" s="3329"/>
      <c r="C293" s="2895"/>
      <c r="D293" s="3330"/>
      <c r="E293" s="3331"/>
      <c r="F293" s="3332"/>
      <c r="G293" s="3332"/>
      <c r="H293" s="3332"/>
      <c r="I293" s="3332"/>
      <c r="J293" s="3332"/>
      <c r="K293" s="3332"/>
      <c r="L293" s="3333"/>
      <c r="M293" s="3334"/>
      <c r="N293" s="3335"/>
      <c r="O293" s="2838"/>
    </row>
    <row r="294" spans="1:15" hidden="1">
      <c r="B294" s="2821" t="s">
        <v>332</v>
      </c>
      <c r="C294" s="2821"/>
      <c r="D294" s="2821"/>
      <c r="E294" s="2821"/>
      <c r="F294" s="2821"/>
      <c r="G294" s="2821"/>
      <c r="H294" s="2821"/>
      <c r="I294" s="2821"/>
      <c r="J294" s="2821"/>
      <c r="K294" s="2821"/>
      <c r="L294" s="2821"/>
    </row>
    <row r="295" spans="1:15" hidden="1">
      <c r="B295" s="2821" t="s">
        <v>333</v>
      </c>
      <c r="C295" s="2821"/>
      <c r="D295" s="2822">
        <f t="shared" ref="D295:K295" si="201">D38+D55+D68+D92+D132+D144+D170+D200+D215+D233+D248+D277+D117</f>
        <v>123583221</v>
      </c>
      <c r="E295" s="2822">
        <f t="shared" si="201"/>
        <v>18714583</v>
      </c>
      <c r="F295" s="2822">
        <f t="shared" si="201"/>
        <v>23074765</v>
      </c>
      <c r="G295" s="2822">
        <f t="shared" si="201"/>
        <v>33349433</v>
      </c>
      <c r="H295" s="2822">
        <f t="shared" si="201"/>
        <v>20288719</v>
      </c>
      <c r="I295" s="2822">
        <f t="shared" si="201"/>
        <v>12123450</v>
      </c>
      <c r="J295" s="2822">
        <f t="shared" si="201"/>
        <v>8729767</v>
      </c>
      <c r="K295" s="2822">
        <f t="shared" si="201"/>
        <v>7302504</v>
      </c>
      <c r="L295" s="2822">
        <f>L38+L55+L68+L92+L132+L144+L170+L200+L215+L233+L248+L277+L117</f>
        <v>0</v>
      </c>
    </row>
    <row r="296" spans="1:15" hidden="1">
      <c r="B296" s="2821" t="s">
        <v>334</v>
      </c>
      <c r="C296" s="2821"/>
      <c r="D296" s="2822">
        <f t="shared" ref="D296:K296" si="202">D80+D104+D154+D182+D259</f>
        <v>719567</v>
      </c>
      <c r="E296" s="2822">
        <f t="shared" si="202"/>
        <v>82191</v>
      </c>
      <c r="F296" s="2822">
        <f t="shared" si="202"/>
        <v>637376</v>
      </c>
      <c r="G296" s="2822">
        <f t="shared" si="202"/>
        <v>0</v>
      </c>
      <c r="H296" s="2822">
        <f t="shared" si="202"/>
        <v>0</v>
      </c>
      <c r="I296" s="2822">
        <f t="shared" si="202"/>
        <v>0</v>
      </c>
      <c r="J296" s="2822">
        <f t="shared" si="202"/>
        <v>0</v>
      </c>
      <c r="K296" s="2822">
        <f t="shared" si="202"/>
        <v>0</v>
      </c>
      <c r="L296" s="2822">
        <f>L80+L104+L154+L182+L259</f>
        <v>0</v>
      </c>
    </row>
    <row r="297" spans="1:15" hidden="1">
      <c r="B297" s="2821" t="s">
        <v>335</v>
      </c>
      <c r="C297" s="2821"/>
      <c r="D297" s="992">
        <f>D295+D296</f>
        <v>124302788</v>
      </c>
      <c r="E297" s="992">
        <f t="shared" ref="E297:K297" si="203">E295+E296</f>
        <v>18796774</v>
      </c>
      <c r="F297" s="992">
        <f t="shared" si="203"/>
        <v>23712141</v>
      </c>
      <c r="G297" s="992">
        <f t="shared" si="203"/>
        <v>33349433</v>
      </c>
      <c r="H297" s="992">
        <f t="shared" si="203"/>
        <v>20288719</v>
      </c>
      <c r="I297" s="992">
        <f t="shared" si="203"/>
        <v>12123450</v>
      </c>
      <c r="J297" s="992">
        <f t="shared" si="203"/>
        <v>8729767</v>
      </c>
      <c r="K297" s="992">
        <f t="shared" si="203"/>
        <v>7302504</v>
      </c>
      <c r="L297" s="992">
        <f>L295+L296</f>
        <v>0</v>
      </c>
    </row>
    <row r="298" spans="1:15" hidden="1">
      <c r="B298" s="993" t="s">
        <v>40</v>
      </c>
      <c r="C298" s="993"/>
      <c r="D298" s="994">
        <f t="shared" ref="D298:K298" si="204">D297-D18</f>
        <v>0</v>
      </c>
      <c r="E298" s="994">
        <f t="shared" si="204"/>
        <v>0</v>
      </c>
      <c r="F298" s="994">
        <f t="shared" si="204"/>
        <v>0</v>
      </c>
      <c r="G298" s="994">
        <f t="shared" si="204"/>
        <v>0</v>
      </c>
      <c r="H298" s="994">
        <f t="shared" si="204"/>
        <v>0</v>
      </c>
      <c r="I298" s="994">
        <f t="shared" si="204"/>
        <v>0</v>
      </c>
      <c r="J298" s="994">
        <f t="shared" si="204"/>
        <v>0</v>
      </c>
      <c r="K298" s="994">
        <f t="shared" si="204"/>
        <v>0</v>
      </c>
      <c r="L298" s="994">
        <f>L297-L18</f>
        <v>0</v>
      </c>
    </row>
    <row r="299" spans="1:15" hidden="1">
      <c r="B299" s="2700"/>
      <c r="C299" s="2700"/>
      <c r="D299" s="2700"/>
      <c r="E299" s="2700"/>
      <c r="F299" s="2700"/>
      <c r="G299" s="2700"/>
      <c r="H299" s="2700"/>
      <c r="I299" s="2700"/>
      <c r="J299" s="2700"/>
      <c r="K299" s="2700"/>
    </row>
    <row r="300" spans="1:15" hidden="1"/>
    <row r="301" spans="1:15" ht="31.5" hidden="1" customHeight="1">
      <c r="B301" s="1926" t="s">
        <v>523</v>
      </c>
    </row>
    <row r="302" spans="1:15" hidden="1"/>
    <row r="413" spans="1:1" ht="13.5" thickBot="1">
      <c r="A413" s="2823"/>
    </row>
    <row r="414" spans="1:1" ht="13.5" thickBot="1">
      <c r="A414" s="2824"/>
    </row>
    <row r="415" spans="1:1" ht="13.5" thickBot="1">
      <c r="A415" s="2824"/>
    </row>
    <row r="416" spans="1:1" ht="13.5" thickBot="1">
      <c r="A416" s="2824"/>
    </row>
    <row r="417" spans="1:14" ht="13.5" thickBot="1">
      <c r="A417" s="2824"/>
    </row>
    <row r="418" spans="1:14" ht="13.5" thickBot="1">
      <c r="A418" s="2824"/>
    </row>
    <row r="419" spans="1:14" ht="13.5" thickBot="1">
      <c r="A419" s="2824"/>
      <c r="L419" s="2825"/>
      <c r="M419" s="2826"/>
      <c r="N419" s="2826"/>
    </row>
    <row r="420" spans="1:14" ht="13.5" thickBot="1">
      <c r="A420" s="2824"/>
      <c r="C420" s="2826"/>
      <c r="L420" s="2827"/>
      <c r="M420" s="2828"/>
      <c r="N420" s="2828"/>
    </row>
    <row r="421" spans="1:14" ht="13.5" thickBot="1">
      <c r="A421" s="2824"/>
      <c r="C421" s="2828"/>
      <c r="D421" s="2826"/>
      <c r="E421" s="2826"/>
      <c r="F421" s="2826"/>
      <c r="G421" s="2826"/>
      <c r="H421" s="2826"/>
      <c r="I421" s="2826"/>
      <c r="J421" s="2826"/>
      <c r="K421" s="2826"/>
      <c r="L421" s="2829"/>
      <c r="M421" s="2828"/>
      <c r="N421" s="2828"/>
    </row>
    <row r="422" spans="1:14" ht="13.5" thickBot="1">
      <c r="A422" s="2824"/>
      <c r="C422" s="2830"/>
      <c r="D422" s="2830"/>
      <c r="E422" s="2830"/>
      <c r="F422" s="2830"/>
      <c r="G422" s="2830"/>
      <c r="H422" s="2830"/>
      <c r="I422" s="2830"/>
      <c r="J422" s="2830"/>
      <c r="K422" s="2830"/>
      <c r="L422" s="2830"/>
      <c r="M422" s="2830"/>
      <c r="N422" s="2828"/>
    </row>
    <row r="423" spans="1:14" ht="13.5" thickBot="1">
      <c r="A423" s="2824"/>
      <c r="N423" s="2828"/>
    </row>
    <row r="424" spans="1:14" ht="13.5" thickBot="1">
      <c r="A424" s="2824"/>
      <c r="N424" s="2828"/>
    </row>
    <row r="425" spans="1:14" ht="13.5" thickBot="1">
      <c r="A425" s="2824"/>
      <c r="N425" s="2828"/>
    </row>
    <row r="426" spans="1:14" ht="13.5" thickBot="1">
      <c r="A426" s="2824"/>
      <c r="N426" s="2828"/>
    </row>
    <row r="427" spans="1:14" ht="13.5" thickBot="1">
      <c r="A427" s="2824"/>
      <c r="N427" s="2830"/>
    </row>
    <row r="428" spans="1:14" ht="13.5" thickBot="1">
      <c r="A428" s="2824"/>
    </row>
    <row r="429" spans="1:14" ht="13.5" thickBot="1">
      <c r="A429" s="2824"/>
    </row>
    <row r="430" spans="1:14">
      <c r="A430" s="2831"/>
    </row>
    <row r="528" spans="14:14" ht="13.5" thickBot="1">
      <c r="N528" s="2826"/>
    </row>
    <row r="529" spans="1:14" ht="13.5" thickBot="1">
      <c r="N529" s="2828"/>
    </row>
    <row r="530" spans="1:14" ht="13.5" thickBot="1">
      <c r="N530" s="2828"/>
    </row>
    <row r="531" spans="1:14" ht="13.5" thickBot="1">
      <c r="N531" s="2828"/>
    </row>
    <row r="532" spans="1:14" ht="13.5" thickBot="1">
      <c r="L532" s="2825"/>
      <c r="M532" s="2826"/>
      <c r="N532" s="2828"/>
    </row>
    <row r="533" spans="1:14" ht="13.5" thickBot="1">
      <c r="L533" s="2827"/>
      <c r="M533" s="2828"/>
      <c r="N533" s="2828"/>
    </row>
    <row r="534" spans="1:14" ht="13.5" thickBot="1">
      <c r="L534" s="2827"/>
      <c r="M534" s="2828"/>
      <c r="N534" s="2828"/>
    </row>
    <row r="535" spans="1:14" ht="13.5" thickBot="1">
      <c r="L535" s="2827"/>
      <c r="M535" s="2828"/>
      <c r="N535" s="2828"/>
    </row>
    <row r="536" spans="1:14" ht="13.5" thickBot="1">
      <c r="L536" s="2827"/>
      <c r="M536" s="2828"/>
      <c r="N536" s="2828"/>
    </row>
    <row r="537" spans="1:14" ht="13.5" thickBot="1">
      <c r="A537" s="2823"/>
      <c r="B537" s="2826"/>
      <c r="C537" s="2826"/>
      <c r="D537" s="2826"/>
      <c r="E537" s="2826"/>
      <c r="F537" s="2826"/>
      <c r="G537" s="2826"/>
      <c r="H537" s="2826"/>
      <c r="I537" s="2826"/>
      <c r="J537" s="2826"/>
      <c r="K537" s="2826"/>
      <c r="L537" s="2829"/>
      <c r="M537" s="2828"/>
      <c r="N537" s="2828"/>
    </row>
    <row r="538" spans="1:14" ht="13.5" thickBot="1">
      <c r="A538" s="2824"/>
      <c r="B538" s="2830"/>
      <c r="C538" s="2830"/>
      <c r="D538" s="2830"/>
      <c r="E538" s="2830"/>
      <c r="F538" s="2830"/>
      <c r="G538" s="2830"/>
      <c r="H538" s="2830"/>
      <c r="I538" s="2830"/>
      <c r="J538" s="2830"/>
      <c r="K538" s="2830"/>
      <c r="L538" s="2830"/>
      <c r="M538" s="2830"/>
      <c r="N538" s="2828"/>
    </row>
    <row r="539" spans="1:14" ht="13.5" thickBot="1">
      <c r="A539" s="2824"/>
      <c r="N539" s="2828"/>
    </row>
    <row r="540" spans="1:14" ht="13.5" thickBot="1">
      <c r="A540" s="2824"/>
      <c r="N540" s="2828"/>
    </row>
    <row r="541" spans="1:14" ht="13.5" thickBot="1">
      <c r="A541" s="2824"/>
      <c r="N541" s="2828"/>
    </row>
    <row r="542" spans="1:14" ht="13.5" thickBot="1">
      <c r="A542" s="2824"/>
      <c r="N542" s="2828"/>
    </row>
    <row r="543" spans="1:14" ht="13.5" thickBot="1">
      <c r="A543" s="2824"/>
      <c r="N543" s="2828"/>
    </row>
    <row r="544" spans="1:14" ht="13.5" thickBot="1">
      <c r="A544" s="2824"/>
      <c r="N544" s="2828"/>
    </row>
    <row r="545" spans="1:14">
      <c r="A545" s="2831"/>
      <c r="N545" s="2830"/>
    </row>
  </sheetData>
  <mergeCells count="121">
    <mergeCell ref="N175:N181"/>
    <mergeCell ref="N182:N186"/>
    <mergeCell ref="A175:A186"/>
    <mergeCell ref="C177:C181"/>
    <mergeCell ref="M182:M186"/>
    <mergeCell ref="C183:C186"/>
    <mergeCell ref="N157:N169"/>
    <mergeCell ref="N170:N174"/>
    <mergeCell ref="A122:A134"/>
    <mergeCell ref="C124:C129"/>
    <mergeCell ref="M132:M134"/>
    <mergeCell ref="C133:C134"/>
    <mergeCell ref="A157:A174"/>
    <mergeCell ref="C159:C167"/>
    <mergeCell ref="M170:M174"/>
    <mergeCell ref="C171:C174"/>
    <mergeCell ref="A147:A156"/>
    <mergeCell ref="C149:C150"/>
    <mergeCell ref="M154:M156"/>
    <mergeCell ref="C155:C156"/>
    <mergeCell ref="A135:A146"/>
    <mergeCell ref="M144:M146"/>
    <mergeCell ref="C145:C146"/>
    <mergeCell ref="N122:N129"/>
    <mergeCell ref="N109:N116"/>
    <mergeCell ref="C111:C116"/>
    <mergeCell ref="A73:A84"/>
    <mergeCell ref="C93:C96"/>
    <mergeCell ref="A97:A108"/>
    <mergeCell ref="C99:C103"/>
    <mergeCell ref="M104:M108"/>
    <mergeCell ref="C105:C108"/>
    <mergeCell ref="C75:C79"/>
    <mergeCell ref="M80:M84"/>
    <mergeCell ref="C81:C84"/>
    <mergeCell ref="A85:A96"/>
    <mergeCell ref="A109:A121"/>
    <mergeCell ref="C87:C91"/>
    <mergeCell ref="M92:M96"/>
    <mergeCell ref="N73:N79"/>
    <mergeCell ref="N85:N91"/>
    <mergeCell ref="N92:N96"/>
    <mergeCell ref="N132:N134"/>
    <mergeCell ref="C137:C143"/>
    <mergeCell ref="N135:N138"/>
    <mergeCell ref="N147:N150"/>
    <mergeCell ref="N144:N146"/>
    <mergeCell ref="N154:N156"/>
    <mergeCell ref="A3:N3"/>
    <mergeCell ref="C4:C5"/>
    <mergeCell ref="D4:D5"/>
    <mergeCell ref="N4:N5"/>
    <mergeCell ref="M4:M5"/>
    <mergeCell ref="B4:B5"/>
    <mergeCell ref="A4:A5"/>
    <mergeCell ref="A24:A43"/>
    <mergeCell ref="C26:C37"/>
    <mergeCell ref="C39:C43"/>
    <mergeCell ref="M38:M43"/>
    <mergeCell ref="M18:M23"/>
    <mergeCell ref="L4:L5"/>
    <mergeCell ref="N24:N37"/>
    <mergeCell ref="G4:K4"/>
    <mergeCell ref="N104:N108"/>
    <mergeCell ref="N80:N84"/>
    <mergeCell ref="N44:N52"/>
    <mergeCell ref="N55:N59"/>
    <mergeCell ref="A61:A72"/>
    <mergeCell ref="C63:C67"/>
    <mergeCell ref="C69:C72"/>
    <mergeCell ref="M68:M72"/>
    <mergeCell ref="A44:A59"/>
    <mergeCell ref="C46:C52"/>
    <mergeCell ref="C56:C59"/>
    <mergeCell ref="M55:M59"/>
    <mergeCell ref="N61:N67"/>
    <mergeCell ref="A205:A219"/>
    <mergeCell ref="N205:N214"/>
    <mergeCell ref="C207:C212"/>
    <mergeCell ref="M215:M219"/>
    <mergeCell ref="N215:N219"/>
    <mergeCell ref="C216:C219"/>
    <mergeCell ref="A187:A204"/>
    <mergeCell ref="N187:N199"/>
    <mergeCell ref="C189:C197"/>
    <mergeCell ref="M200:M204"/>
    <mergeCell ref="N200:N204"/>
    <mergeCell ref="C201:C204"/>
    <mergeCell ref="M248:M252"/>
    <mergeCell ref="N248:N252"/>
    <mergeCell ref="C249:C252"/>
    <mergeCell ref="A220:A237"/>
    <mergeCell ref="N220:N232"/>
    <mergeCell ref="C222:C230"/>
    <mergeCell ref="M233:M237"/>
    <mergeCell ref="N233:N237"/>
    <mergeCell ref="C234:C237"/>
    <mergeCell ref="A283:A288"/>
    <mergeCell ref="N283:N288"/>
    <mergeCell ref="C287:C288"/>
    <mergeCell ref="A289:A292"/>
    <mergeCell ref="N289:N292"/>
    <mergeCell ref="C291:C292"/>
    <mergeCell ref="M117:M121"/>
    <mergeCell ref="C118:C121"/>
    <mergeCell ref="N97:N103"/>
    <mergeCell ref="A264:A281"/>
    <mergeCell ref="N264:N276"/>
    <mergeCell ref="C266:C274"/>
    <mergeCell ref="M277:M281"/>
    <mergeCell ref="N277:N281"/>
    <mergeCell ref="C278:C281"/>
    <mergeCell ref="A253:A263"/>
    <mergeCell ref="N253:N258"/>
    <mergeCell ref="C255:C258"/>
    <mergeCell ref="M259:M263"/>
    <mergeCell ref="N259:N263"/>
    <mergeCell ref="C260:C263"/>
    <mergeCell ref="A238:A252"/>
    <mergeCell ref="N238:N247"/>
    <mergeCell ref="C240:C245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5" firstPageNumber="2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</oddHeader>
    <oddFooter>&amp;C&amp;8&amp;P</oddFooter>
  </headerFooter>
  <rowBreaks count="3" manualBreakCount="3">
    <brk id="60" max="13" man="1"/>
    <brk id="156" max="13" man="1"/>
    <brk id="204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DD536"/>
  <sheetViews>
    <sheetView showGridLines="0" view="pageBreakPreview" zoomScale="110" zoomScaleSheetLayoutView="110" workbookViewId="0">
      <pane ySplit="7" topLeftCell="A8" activePane="bottomLeft" state="frozen"/>
      <selection activeCell="A7" sqref="A7:J7"/>
      <selection pane="bottomLeft" activeCell="E144" sqref="E144:E152"/>
    </sheetView>
  </sheetViews>
  <sheetFormatPr defaultColWidth="9.140625" defaultRowHeight="11.25"/>
  <cols>
    <col min="1" max="1" width="2.85546875" style="1259" customWidth="1"/>
    <col min="2" max="2" width="57.140625" style="1260" customWidth="1"/>
    <col min="3" max="3" width="10" style="1260" customWidth="1"/>
    <col min="4" max="4" width="13.85546875" style="1260" customWidth="1"/>
    <col min="5" max="5" width="13.42578125" style="1260" customWidth="1"/>
    <col min="6" max="6" width="13.140625" style="1260" customWidth="1"/>
    <col min="7" max="7" width="9.28515625" style="1260" customWidth="1"/>
    <col min="8" max="9" width="9.5703125" style="1260" customWidth="1"/>
    <col min="10" max="10" width="10.28515625" style="1260" customWidth="1"/>
    <col min="11" max="12" width="9.5703125" style="1260" customWidth="1"/>
    <col min="13" max="13" width="12" style="1260" customWidth="1"/>
    <col min="14" max="14" width="15.7109375" style="1364" customWidth="1"/>
    <col min="15" max="16" width="0" style="1260" hidden="1" customWidth="1"/>
    <col min="17" max="16384" width="9.140625" style="1260"/>
  </cols>
  <sheetData>
    <row r="1" spans="1:14" ht="18" customHeight="1">
      <c r="G1" s="1261" t="s">
        <v>118</v>
      </c>
      <c r="H1" s="1261"/>
      <c r="I1" s="1261"/>
      <c r="J1" s="1261"/>
      <c r="K1" s="1261"/>
      <c r="L1" s="1261"/>
      <c r="M1" s="1262"/>
      <c r="N1" s="1263"/>
    </row>
    <row r="2" spans="1:14" ht="7.5" customHeight="1">
      <c r="H2" s="1262"/>
      <c r="I2" s="1262"/>
      <c r="J2" s="1262"/>
      <c r="K2" s="1262"/>
      <c r="L2" s="1262"/>
      <c r="M2" s="1262"/>
      <c r="N2" s="1263"/>
    </row>
    <row r="3" spans="1:14" ht="14.25" hidden="1" customHeight="1">
      <c r="F3" s="1264"/>
      <c r="G3" s="1264"/>
      <c r="H3" s="1262"/>
      <c r="I3" s="1262"/>
      <c r="J3" s="1262"/>
      <c r="K3" s="1262"/>
      <c r="L3" s="1262"/>
      <c r="M3" s="1262"/>
      <c r="N3" s="1263"/>
    </row>
    <row r="4" spans="1:14" ht="9" customHeight="1">
      <c r="F4" s="1264"/>
      <c r="G4" s="1264"/>
      <c r="H4" s="1262"/>
      <c r="I4" s="1262"/>
      <c r="J4" s="1262"/>
      <c r="K4" s="1262"/>
      <c r="L4" s="1262"/>
      <c r="M4" s="1262"/>
      <c r="N4" s="1263"/>
    </row>
    <row r="5" spans="1:14" ht="38.25" customHeight="1" thickBot="1">
      <c r="A5" s="3707" t="s">
        <v>119</v>
      </c>
      <c r="B5" s="3707"/>
      <c r="C5" s="3707"/>
      <c r="D5" s="3707"/>
      <c r="E5" s="3707"/>
      <c r="F5" s="3707"/>
      <c r="G5" s="3707"/>
      <c r="H5" s="3707"/>
      <c r="I5" s="3707"/>
      <c r="J5" s="3707"/>
      <c r="K5" s="3707"/>
      <c r="L5" s="3707"/>
      <c r="M5" s="3707"/>
      <c r="N5" s="3707"/>
    </row>
    <row r="6" spans="1:14" s="2974" customFormat="1" ht="72.75" customHeight="1">
      <c r="A6" s="3718" t="s">
        <v>242</v>
      </c>
      <c r="B6" s="3708" t="s">
        <v>66</v>
      </c>
      <c r="C6" s="3710" t="s">
        <v>62</v>
      </c>
      <c r="D6" s="3712" t="s">
        <v>120</v>
      </c>
      <c r="E6" s="2693" t="s">
        <v>216</v>
      </c>
      <c r="F6" s="2981" t="s">
        <v>542</v>
      </c>
      <c r="G6" s="3521" t="s">
        <v>544</v>
      </c>
      <c r="H6" s="3522"/>
      <c r="I6" s="3522"/>
      <c r="J6" s="3522"/>
      <c r="K6" s="3523"/>
      <c r="L6" s="3658">
        <v>2024</v>
      </c>
      <c r="M6" s="3716" t="s">
        <v>563</v>
      </c>
      <c r="N6" s="3714" t="s">
        <v>64</v>
      </c>
    </row>
    <row r="7" spans="1:14" s="2974" customFormat="1" ht="19.5" customHeight="1" thickBot="1">
      <c r="A7" s="3719"/>
      <c r="B7" s="3709"/>
      <c r="C7" s="3711"/>
      <c r="D7" s="3713"/>
      <c r="E7" s="1108" t="s">
        <v>541</v>
      </c>
      <c r="F7" s="2678" t="s">
        <v>5</v>
      </c>
      <c r="G7" s="2678" t="s">
        <v>169</v>
      </c>
      <c r="H7" s="2678" t="s">
        <v>170</v>
      </c>
      <c r="I7" s="2678" t="s">
        <v>210</v>
      </c>
      <c r="J7" s="2678" t="s">
        <v>211</v>
      </c>
      <c r="K7" s="2678" t="s">
        <v>209</v>
      </c>
      <c r="L7" s="3659"/>
      <c r="M7" s="3717"/>
      <c r="N7" s="3715"/>
    </row>
    <row r="8" spans="1:14" s="2974" customFormat="1" ht="12.75" customHeight="1">
      <c r="A8" s="3061">
        <v>1</v>
      </c>
      <c r="B8" s="2832">
        <v>2</v>
      </c>
      <c r="C8" s="2680" t="s">
        <v>108</v>
      </c>
      <c r="D8" s="2680" t="s">
        <v>109</v>
      </c>
      <c r="E8" s="2680">
        <v>5</v>
      </c>
      <c r="F8" s="2680">
        <v>6</v>
      </c>
      <c r="G8" s="2680">
        <v>7</v>
      </c>
      <c r="H8" s="2680">
        <v>8</v>
      </c>
      <c r="I8" s="2680">
        <v>9</v>
      </c>
      <c r="J8" s="2680">
        <v>10</v>
      </c>
      <c r="K8" s="2680">
        <v>11</v>
      </c>
      <c r="L8" s="2680"/>
      <c r="M8" s="1381">
        <v>12</v>
      </c>
      <c r="N8" s="1380">
        <v>13</v>
      </c>
    </row>
    <row r="9" spans="1:14" s="2974" customFormat="1" ht="17.25" customHeight="1">
      <c r="A9" s="1265"/>
      <c r="B9" s="1266" t="s">
        <v>67</v>
      </c>
      <c r="C9" s="1267"/>
      <c r="D9" s="193">
        <f>+D10+D11</f>
        <v>1408272</v>
      </c>
      <c r="E9" s="193">
        <f t="shared" ref="E9" si="0">+E10+E11</f>
        <v>759507</v>
      </c>
      <c r="F9" s="193">
        <f t="shared" ref="F9" si="1">+F10+F11</f>
        <v>228719</v>
      </c>
      <c r="G9" s="193">
        <f t="shared" ref="G9:K9" si="2">+G10+G11</f>
        <v>220966</v>
      </c>
      <c r="H9" s="193">
        <f t="shared" si="2"/>
        <v>199080</v>
      </c>
      <c r="I9" s="193">
        <f t="shared" si="2"/>
        <v>0</v>
      </c>
      <c r="J9" s="193">
        <f t="shared" si="2"/>
        <v>0</v>
      </c>
      <c r="K9" s="193">
        <f t="shared" si="2"/>
        <v>0</v>
      </c>
      <c r="L9" s="193">
        <f>+L10+L11</f>
        <v>0</v>
      </c>
      <c r="M9" s="124">
        <f>+M10+M11</f>
        <v>420046</v>
      </c>
      <c r="N9" s="1268"/>
    </row>
    <row r="10" spans="1:14" s="2974" customFormat="1" ht="13.5" customHeight="1">
      <c r="A10" s="1265"/>
      <c r="B10" s="1269" t="s">
        <v>68</v>
      </c>
      <c r="C10" s="1270"/>
      <c r="D10" s="185">
        <f t="shared" ref="D10:K10" si="3">+D26+D37+D48+D55+D62+D69+D76</f>
        <v>1408272</v>
      </c>
      <c r="E10" s="185">
        <f>+E26+E37+E48+E55+E62+E69+E76</f>
        <v>759507</v>
      </c>
      <c r="F10" s="185">
        <f t="shared" si="3"/>
        <v>228719</v>
      </c>
      <c r="G10" s="185">
        <f t="shared" si="3"/>
        <v>220966</v>
      </c>
      <c r="H10" s="185">
        <f t="shared" si="3"/>
        <v>199080</v>
      </c>
      <c r="I10" s="185">
        <f t="shared" si="3"/>
        <v>0</v>
      </c>
      <c r="J10" s="185">
        <f t="shared" si="3"/>
        <v>0</v>
      </c>
      <c r="K10" s="185">
        <f t="shared" si="3"/>
        <v>0</v>
      </c>
      <c r="L10" s="185">
        <f>+L26+L37+L48+L55+L62+L69+L76</f>
        <v>0</v>
      </c>
      <c r="M10" s="14">
        <f>SUM(G10:K10)</f>
        <v>420046</v>
      </c>
      <c r="N10" s="1268"/>
    </row>
    <row r="11" spans="1:14" s="2974" customFormat="1" ht="13.5" customHeight="1" thickBot="1">
      <c r="A11" s="1265"/>
      <c r="B11" s="1271" t="s">
        <v>8</v>
      </c>
      <c r="C11" s="1270"/>
      <c r="D11" s="185">
        <v>0</v>
      </c>
      <c r="E11" s="185">
        <v>0</v>
      </c>
      <c r="F11" s="185">
        <v>0</v>
      </c>
      <c r="G11" s="185">
        <v>0</v>
      </c>
      <c r="H11" s="185">
        <v>0</v>
      </c>
      <c r="I11" s="185">
        <v>0</v>
      </c>
      <c r="J11" s="185">
        <v>0</v>
      </c>
      <c r="K11" s="185">
        <v>0</v>
      </c>
      <c r="L11" s="185">
        <v>0</v>
      </c>
      <c r="M11" s="14">
        <f>SUM(G11:K11)</f>
        <v>0</v>
      </c>
      <c r="N11" s="1268"/>
    </row>
    <row r="12" spans="1:14" ht="12">
      <c r="A12" s="1272"/>
      <c r="B12" s="1273" t="s">
        <v>9</v>
      </c>
      <c r="C12" s="1274"/>
      <c r="D12" s="130">
        <f>+D13+D16</f>
        <v>1408272</v>
      </c>
      <c r="E12" s="130">
        <f t="shared" ref="E12" si="4">+E13+E16</f>
        <v>759507</v>
      </c>
      <c r="F12" s="130">
        <f t="shared" ref="F12:M12" si="5">+F13+F16</f>
        <v>228719</v>
      </c>
      <c r="G12" s="130">
        <f t="shared" si="5"/>
        <v>220966</v>
      </c>
      <c r="H12" s="130">
        <f t="shared" si="5"/>
        <v>199080</v>
      </c>
      <c r="I12" s="130">
        <f t="shared" si="5"/>
        <v>0</v>
      </c>
      <c r="J12" s="130">
        <f t="shared" si="5"/>
        <v>0</v>
      </c>
      <c r="K12" s="130">
        <f t="shared" si="5"/>
        <v>0</v>
      </c>
      <c r="L12" s="130">
        <f t="shared" ref="L12" si="6">+L13+L16</f>
        <v>0</v>
      </c>
      <c r="M12" s="164">
        <f t="shared" si="5"/>
        <v>420046</v>
      </c>
      <c r="N12" s="1268"/>
    </row>
    <row r="13" spans="1:14" ht="14.25" customHeight="1">
      <c r="A13" s="1265"/>
      <c r="B13" s="1275" t="s">
        <v>10</v>
      </c>
      <c r="C13" s="3062"/>
      <c r="D13" s="1367">
        <f>SUM(D14:D15)</f>
        <v>640352</v>
      </c>
      <c r="E13" s="1367">
        <f>SUM(E14:E15)</f>
        <v>341732</v>
      </c>
      <c r="F13" s="1367">
        <f>SUM(F14:F15)</f>
        <v>99540</v>
      </c>
      <c r="G13" s="1367">
        <f t="shared" ref="G13:K13" si="7">SUM(G14:G15)</f>
        <v>99540</v>
      </c>
      <c r="H13" s="1367">
        <f t="shared" si="7"/>
        <v>99540</v>
      </c>
      <c r="I13" s="1367">
        <f t="shared" si="7"/>
        <v>0</v>
      </c>
      <c r="J13" s="1367">
        <f t="shared" si="7"/>
        <v>0</v>
      </c>
      <c r="K13" s="1367">
        <f t="shared" si="7"/>
        <v>0</v>
      </c>
      <c r="L13" s="1367">
        <f>SUM(L14:L15)</f>
        <v>0</v>
      </c>
      <c r="M13" s="1141">
        <f>SUM(M14:M15)</f>
        <v>199080</v>
      </c>
      <c r="N13" s="1276"/>
    </row>
    <row r="14" spans="1:14" ht="12">
      <c r="A14" s="1277"/>
      <c r="B14" s="1278" t="s">
        <v>11</v>
      </c>
      <c r="C14" s="1279"/>
      <c r="D14" s="1368">
        <f>+D28+D39</f>
        <v>640352</v>
      </c>
      <c r="E14" s="1368">
        <f t="shared" ref="E14" si="8">+E28+E39</f>
        <v>341732</v>
      </c>
      <c r="F14" s="1368">
        <f>+F28+F39</f>
        <v>99540</v>
      </c>
      <c r="G14" s="1368">
        <f t="shared" ref="G14:K14" si="9">+G28+G39</f>
        <v>99540</v>
      </c>
      <c r="H14" s="1368">
        <f t="shared" si="9"/>
        <v>99540</v>
      </c>
      <c r="I14" s="1368">
        <f t="shared" si="9"/>
        <v>0</v>
      </c>
      <c r="J14" s="1368">
        <f t="shared" si="9"/>
        <v>0</v>
      </c>
      <c r="K14" s="1368">
        <f t="shared" si="9"/>
        <v>0</v>
      </c>
      <c r="L14" s="1368">
        <f t="shared" ref="L14" si="10">+L28+L39</f>
        <v>0</v>
      </c>
      <c r="M14" s="1240">
        <f>+H14+G14+I14+J14+K14</f>
        <v>199080</v>
      </c>
      <c r="N14" s="1268"/>
    </row>
    <row r="15" spans="1:14" ht="12" hidden="1">
      <c r="A15" s="1277"/>
      <c r="B15" s="278" t="s">
        <v>12</v>
      </c>
      <c r="C15" s="3063"/>
      <c r="D15" s="280">
        <f>+D78</f>
        <v>0</v>
      </c>
      <c r="E15" s="280">
        <f t="shared" ref="E15:K15" si="11">+E78</f>
        <v>0</v>
      </c>
      <c r="F15" s="280">
        <f t="shared" si="11"/>
        <v>0</v>
      </c>
      <c r="G15" s="280">
        <f t="shared" si="11"/>
        <v>0</v>
      </c>
      <c r="H15" s="280">
        <f t="shared" si="11"/>
        <v>0</v>
      </c>
      <c r="I15" s="280">
        <f t="shared" si="11"/>
        <v>0</v>
      </c>
      <c r="J15" s="280">
        <f t="shared" si="11"/>
        <v>0</v>
      </c>
      <c r="K15" s="280">
        <f t="shared" si="11"/>
        <v>0</v>
      </c>
      <c r="L15" s="280">
        <f>+L78</f>
        <v>0</v>
      </c>
      <c r="M15" s="1240">
        <f>+H15+G15+I15+J15+K15</f>
        <v>0</v>
      </c>
      <c r="N15" s="1268"/>
    </row>
    <row r="16" spans="1:14" ht="14.25" customHeight="1">
      <c r="A16" s="1265"/>
      <c r="B16" s="3064" t="s">
        <v>17</v>
      </c>
      <c r="C16" s="3065"/>
      <c r="D16" s="138">
        <f t="shared" ref="D16:K16" si="12">SUM(D17:D18)</f>
        <v>767920</v>
      </c>
      <c r="E16" s="138">
        <f t="shared" si="12"/>
        <v>417775</v>
      </c>
      <c r="F16" s="138">
        <f t="shared" si="12"/>
        <v>129179</v>
      </c>
      <c r="G16" s="138">
        <f t="shared" si="12"/>
        <v>121426</v>
      </c>
      <c r="H16" s="138">
        <f t="shared" si="12"/>
        <v>99540</v>
      </c>
      <c r="I16" s="138">
        <f t="shared" si="12"/>
        <v>0</v>
      </c>
      <c r="J16" s="138">
        <f t="shared" si="12"/>
        <v>0</v>
      </c>
      <c r="K16" s="138">
        <f t="shared" si="12"/>
        <v>0</v>
      </c>
      <c r="L16" s="138">
        <f>SUM(L17:L18)</f>
        <v>0</v>
      </c>
      <c r="M16" s="1141">
        <f>SUM(M17:M18)</f>
        <v>220966</v>
      </c>
      <c r="N16" s="1276"/>
    </row>
    <row r="17" spans="1:15" ht="12" hidden="1">
      <c r="A17" s="1265"/>
      <c r="B17" s="3066" t="s">
        <v>19</v>
      </c>
      <c r="C17" s="3067"/>
      <c r="D17" s="1800">
        <f t="shared" ref="D17:K17" si="13">+D80</f>
        <v>0</v>
      </c>
      <c r="E17" s="1800">
        <f t="shared" si="13"/>
        <v>0</v>
      </c>
      <c r="F17" s="1800">
        <f t="shared" si="13"/>
        <v>0</v>
      </c>
      <c r="G17" s="1800">
        <f t="shared" si="13"/>
        <v>0</v>
      </c>
      <c r="H17" s="1800">
        <f t="shared" si="13"/>
        <v>0</v>
      </c>
      <c r="I17" s="1800">
        <f t="shared" si="13"/>
        <v>0</v>
      </c>
      <c r="J17" s="1800">
        <f t="shared" si="13"/>
        <v>0</v>
      </c>
      <c r="K17" s="1800">
        <f t="shared" si="13"/>
        <v>0</v>
      </c>
      <c r="L17" s="1800">
        <f>+L80</f>
        <v>0</v>
      </c>
      <c r="M17" s="1240">
        <f>+H17+G17+I17+J17+K17</f>
        <v>0</v>
      </c>
      <c r="N17" s="1276"/>
    </row>
    <row r="18" spans="1:15" ht="12" customHeight="1">
      <c r="A18" s="1280"/>
      <c r="B18" s="1281" t="s">
        <v>18</v>
      </c>
      <c r="C18" s="1282"/>
      <c r="D18" s="1368">
        <f>+D30+D41+D50+D57+D64+D71</f>
        <v>767920</v>
      </c>
      <c r="E18" s="1368">
        <f t="shared" ref="E18" si="14">+E30+E41+E50+E57+E64+E71</f>
        <v>417775</v>
      </c>
      <c r="F18" s="1368">
        <f t="shared" ref="F18:K18" si="15">+F30+F41+F50+F57+F64+F71</f>
        <v>129179</v>
      </c>
      <c r="G18" s="1368">
        <f t="shared" si="15"/>
        <v>121426</v>
      </c>
      <c r="H18" s="1368">
        <f t="shared" si="15"/>
        <v>99540</v>
      </c>
      <c r="I18" s="1368">
        <f t="shared" si="15"/>
        <v>0</v>
      </c>
      <c r="J18" s="1368">
        <f t="shared" si="15"/>
        <v>0</v>
      </c>
      <c r="K18" s="1368">
        <f t="shared" si="15"/>
        <v>0</v>
      </c>
      <c r="L18" s="1368">
        <f>+L30+L41+L50+L57+L64+L71</f>
        <v>0</v>
      </c>
      <c r="M18" s="1240">
        <f>+H18+G18+I18+J18+K18</f>
        <v>220966</v>
      </c>
      <c r="N18" s="1283"/>
    </row>
    <row r="19" spans="1:15" s="1285" customFormat="1" ht="12">
      <c r="A19" s="1265"/>
      <c r="B19" s="3068" t="s">
        <v>20</v>
      </c>
      <c r="C19" s="3069"/>
      <c r="D19" s="334">
        <f>+D20+D22</f>
        <v>767920</v>
      </c>
      <c r="E19" s="334">
        <f t="shared" ref="E19:K19" si="16">+E20+E22</f>
        <v>399317</v>
      </c>
      <c r="F19" s="334">
        <f t="shared" si="16"/>
        <v>117779</v>
      </c>
      <c r="G19" s="334">
        <f t="shared" si="16"/>
        <v>121422</v>
      </c>
      <c r="H19" s="334">
        <f t="shared" si="16"/>
        <v>99540</v>
      </c>
      <c r="I19" s="334">
        <f t="shared" si="16"/>
        <v>29862</v>
      </c>
      <c r="J19" s="334">
        <f t="shared" si="16"/>
        <v>0</v>
      </c>
      <c r="K19" s="334">
        <f t="shared" si="16"/>
        <v>0</v>
      </c>
      <c r="L19" s="334">
        <f>+L20+L22</f>
        <v>0</v>
      </c>
      <c r="M19" s="3697" t="s">
        <v>52</v>
      </c>
      <c r="N19" s="1284"/>
    </row>
    <row r="20" spans="1:15" s="1285" customFormat="1" ht="14.25" hidden="1" customHeight="1">
      <c r="A20" s="1265"/>
      <c r="B20" s="131" t="s">
        <v>10</v>
      </c>
      <c r="C20" s="3065"/>
      <c r="D20" s="1367">
        <f>+D21</f>
        <v>0</v>
      </c>
      <c r="E20" s="3070">
        <f t="shared" ref="E20:K20" si="17">+E21</f>
        <v>0</v>
      </c>
      <c r="F20" s="3070">
        <f t="shared" si="17"/>
        <v>0</v>
      </c>
      <c r="G20" s="3070">
        <f t="shared" si="17"/>
        <v>0</v>
      </c>
      <c r="H20" s="3070">
        <f t="shared" si="17"/>
        <v>0</v>
      </c>
      <c r="I20" s="3070">
        <f t="shared" si="17"/>
        <v>0</v>
      </c>
      <c r="J20" s="3070">
        <f t="shared" si="17"/>
        <v>0</v>
      </c>
      <c r="K20" s="3070">
        <f t="shared" si="17"/>
        <v>0</v>
      </c>
      <c r="L20" s="3070">
        <f>+L21</f>
        <v>0</v>
      </c>
      <c r="M20" s="3698"/>
      <c r="N20" s="1284"/>
    </row>
    <row r="21" spans="1:15" s="1285" customFormat="1" ht="12" hidden="1">
      <c r="A21" s="1265"/>
      <c r="B21" s="278" t="s">
        <v>12</v>
      </c>
      <c r="C21" s="3067"/>
      <c r="D21" s="3071">
        <f>+D83</f>
        <v>0</v>
      </c>
      <c r="E21" s="3072">
        <f t="shared" ref="E21:K21" si="18">+E83</f>
        <v>0</v>
      </c>
      <c r="F21" s="3072">
        <f t="shared" si="18"/>
        <v>0</v>
      </c>
      <c r="G21" s="3072">
        <f t="shared" si="18"/>
        <v>0</v>
      </c>
      <c r="H21" s="3072">
        <f t="shared" si="18"/>
        <v>0</v>
      </c>
      <c r="I21" s="3072">
        <f t="shared" si="18"/>
        <v>0</v>
      </c>
      <c r="J21" s="3072">
        <f t="shared" si="18"/>
        <v>0</v>
      </c>
      <c r="K21" s="3072">
        <f t="shared" si="18"/>
        <v>0</v>
      </c>
      <c r="L21" s="3072">
        <f>+L83</f>
        <v>0</v>
      </c>
      <c r="M21" s="3698"/>
      <c r="N21" s="1284"/>
    </row>
    <row r="22" spans="1:15" s="1285" customFormat="1" ht="14.25" customHeight="1">
      <c r="A22" s="1265"/>
      <c r="B22" s="3064" t="s">
        <v>17</v>
      </c>
      <c r="C22" s="3065"/>
      <c r="D22" s="1367">
        <f t="shared" ref="D22:I22" si="19">SUM(D23:D24)</f>
        <v>767920</v>
      </c>
      <c r="E22" s="3070">
        <f t="shared" si="19"/>
        <v>399317</v>
      </c>
      <c r="F22" s="3070">
        <f t="shared" si="19"/>
        <v>117779</v>
      </c>
      <c r="G22" s="3070">
        <f t="shared" si="19"/>
        <v>121422</v>
      </c>
      <c r="H22" s="3070">
        <f t="shared" si="19"/>
        <v>99540</v>
      </c>
      <c r="I22" s="3070">
        <f t="shared" si="19"/>
        <v>29862</v>
      </c>
      <c r="J22" s="1367">
        <f t="shared" ref="J22:K22" si="20">+J24</f>
        <v>0</v>
      </c>
      <c r="K22" s="1367">
        <f t="shared" si="20"/>
        <v>0</v>
      </c>
      <c r="L22" s="3070">
        <f>SUM(L23:L24)</f>
        <v>0</v>
      </c>
      <c r="M22" s="3698"/>
      <c r="N22" s="1276"/>
    </row>
    <row r="23" spans="1:15" s="1285" customFormat="1" ht="12" hidden="1">
      <c r="A23" s="1265"/>
      <c r="B23" s="3066" t="s">
        <v>19</v>
      </c>
      <c r="C23" s="3067"/>
      <c r="D23" s="3071">
        <f t="shared" ref="D23:K23" si="21">+D84</f>
        <v>0</v>
      </c>
      <c r="E23" s="3072">
        <f t="shared" si="21"/>
        <v>0</v>
      </c>
      <c r="F23" s="3072">
        <f t="shared" si="21"/>
        <v>0</v>
      </c>
      <c r="G23" s="3072">
        <f t="shared" si="21"/>
        <v>0</v>
      </c>
      <c r="H23" s="3072">
        <f t="shared" si="21"/>
        <v>0</v>
      </c>
      <c r="I23" s="3072">
        <f t="shared" si="21"/>
        <v>0</v>
      </c>
      <c r="J23" s="3072">
        <f t="shared" si="21"/>
        <v>0</v>
      </c>
      <c r="K23" s="3072">
        <f t="shared" si="21"/>
        <v>0</v>
      </c>
      <c r="L23" s="3072">
        <f>+L84</f>
        <v>0</v>
      </c>
      <c r="M23" s="3698"/>
      <c r="N23" s="1276"/>
    </row>
    <row r="24" spans="1:15" s="1803" customFormat="1" ht="12.75" customHeight="1" thickBot="1">
      <c r="A24" s="1801"/>
      <c r="B24" s="3066" t="s">
        <v>18</v>
      </c>
      <c r="C24" s="3067"/>
      <c r="D24" s="1804">
        <f>+D35+D46+D53+D60+D67+D74</f>
        <v>767920</v>
      </c>
      <c r="E24" s="1805">
        <f t="shared" ref="E24" si="22">+E35+E46+E53+E60+E67+E74</f>
        <v>399317</v>
      </c>
      <c r="F24" s="1804">
        <f t="shared" ref="F24:K24" si="23">+F35+F46+F53+F60+F67+F74</f>
        <v>117779</v>
      </c>
      <c r="G24" s="1804">
        <f t="shared" si="23"/>
        <v>121422</v>
      </c>
      <c r="H24" s="1804">
        <f t="shared" si="23"/>
        <v>99540</v>
      </c>
      <c r="I24" s="1804">
        <f t="shared" si="23"/>
        <v>29862</v>
      </c>
      <c r="J24" s="1804">
        <f t="shared" si="23"/>
        <v>0</v>
      </c>
      <c r="K24" s="1804">
        <f t="shared" si="23"/>
        <v>0</v>
      </c>
      <c r="L24" s="1805">
        <f>+L35+L46+L53+L60+L67+L74</f>
        <v>0</v>
      </c>
      <c r="M24" s="3699"/>
      <c r="N24" s="1802"/>
      <c r="O24" s="1803">
        <f>D24-D18</f>
        <v>0</v>
      </c>
    </row>
    <row r="25" spans="1:15" ht="39" hidden="1" customHeight="1">
      <c r="A25" s="3720" t="s">
        <v>54</v>
      </c>
      <c r="B25" s="1286" t="s">
        <v>192</v>
      </c>
      <c r="C25" s="1287" t="s">
        <v>99</v>
      </c>
      <c r="D25" s="1369"/>
      <c r="E25" s="1370"/>
      <c r="F25" s="1370"/>
      <c r="G25" s="1370"/>
      <c r="H25" s="1370"/>
      <c r="I25" s="1370"/>
      <c r="J25" s="1370"/>
      <c r="K25" s="1370"/>
      <c r="L25" s="1370"/>
      <c r="M25" s="1371"/>
      <c r="N25" s="3702"/>
    </row>
    <row r="26" spans="1:15" ht="15" hidden="1" customHeight="1">
      <c r="A26" s="3721"/>
      <c r="B26" s="3073" t="s">
        <v>9</v>
      </c>
      <c r="C26" s="3074"/>
      <c r="D26" s="1132"/>
      <c r="E26" s="1132">
        <f t="shared" ref="E26" si="24">+E27+E29</f>
        <v>0</v>
      </c>
      <c r="F26" s="1132">
        <f>+F27+F29</f>
        <v>0</v>
      </c>
      <c r="G26" s="1132">
        <f>+G27+G29</f>
        <v>0</v>
      </c>
      <c r="H26" s="1132">
        <f>+H27+H29</f>
        <v>0</v>
      </c>
      <c r="I26" s="1132"/>
      <c r="J26" s="1132"/>
      <c r="K26" s="1132"/>
      <c r="L26" s="1132">
        <f>+L27+L29</f>
        <v>0</v>
      </c>
      <c r="M26" s="1252">
        <f>M27+M29</f>
        <v>0</v>
      </c>
      <c r="N26" s="3703"/>
    </row>
    <row r="27" spans="1:15" ht="12.75" hidden="1" customHeight="1">
      <c r="A27" s="3721"/>
      <c r="B27" s="3075" t="s">
        <v>22</v>
      </c>
      <c r="C27" s="3724" t="s">
        <v>122</v>
      </c>
      <c r="D27" s="1122"/>
      <c r="E27" s="1122">
        <f t="shared" ref="E27:H27" si="25">+E28</f>
        <v>0</v>
      </c>
      <c r="F27" s="1122">
        <f t="shared" si="25"/>
        <v>0</v>
      </c>
      <c r="G27" s="1122">
        <f t="shared" si="25"/>
        <v>0</v>
      </c>
      <c r="H27" s="1122">
        <f t="shared" si="25"/>
        <v>0</v>
      </c>
      <c r="I27" s="1122"/>
      <c r="J27" s="1122"/>
      <c r="K27" s="1122"/>
      <c r="L27" s="1122">
        <f>+L28</f>
        <v>0</v>
      </c>
      <c r="M27" s="1123">
        <f>+M28</f>
        <v>0</v>
      </c>
      <c r="N27" s="3703"/>
    </row>
    <row r="28" spans="1:15" ht="12.75" hidden="1" customHeight="1">
      <c r="A28" s="3721"/>
      <c r="B28" s="1289" t="s">
        <v>11</v>
      </c>
      <c r="C28" s="3725"/>
      <c r="D28" s="1125"/>
      <c r="E28" s="1125">
        <v>0</v>
      </c>
      <c r="F28" s="147">
        <v>0</v>
      </c>
      <c r="G28" s="147">
        <v>0</v>
      </c>
      <c r="H28" s="147">
        <v>0</v>
      </c>
      <c r="I28" s="147"/>
      <c r="J28" s="147"/>
      <c r="K28" s="147"/>
      <c r="L28" s="147">
        <v>0</v>
      </c>
      <c r="M28" s="1372">
        <f>SUM(G28:K28)</f>
        <v>0</v>
      </c>
      <c r="N28" s="3703"/>
    </row>
    <row r="29" spans="1:15" ht="12.75" hidden="1" customHeight="1">
      <c r="A29" s="3721"/>
      <c r="B29" s="3076" t="s">
        <v>17</v>
      </c>
      <c r="C29" s="3725"/>
      <c r="D29" s="1127"/>
      <c r="E29" s="1127">
        <f t="shared" ref="E29:H29" si="26">E30</f>
        <v>0</v>
      </c>
      <c r="F29" s="1127">
        <f t="shared" si="26"/>
        <v>0</v>
      </c>
      <c r="G29" s="1127">
        <f t="shared" si="26"/>
        <v>0</v>
      </c>
      <c r="H29" s="1127">
        <f t="shared" si="26"/>
        <v>0</v>
      </c>
      <c r="I29" s="1127"/>
      <c r="J29" s="1127"/>
      <c r="K29" s="1127"/>
      <c r="L29" s="1127">
        <f>L30</f>
        <v>0</v>
      </c>
      <c r="M29" s="1123">
        <f>+M30</f>
        <v>0</v>
      </c>
      <c r="N29" s="3703"/>
    </row>
    <row r="30" spans="1:15" ht="12.75" hidden="1" thickBot="1">
      <c r="A30" s="3721"/>
      <c r="B30" s="1291" t="s">
        <v>18</v>
      </c>
      <c r="C30" s="3706"/>
      <c r="D30" s="3077"/>
      <c r="E30" s="1373">
        <v>0</v>
      </c>
      <c r="F30" s="110">
        <v>0</v>
      </c>
      <c r="G30" s="110">
        <v>0</v>
      </c>
      <c r="H30" s="110">
        <v>0</v>
      </c>
      <c r="I30" s="110"/>
      <c r="J30" s="110"/>
      <c r="K30" s="110"/>
      <c r="L30" s="110">
        <v>0</v>
      </c>
      <c r="M30" s="1372">
        <f>SUM(G30:K30)</f>
        <v>0</v>
      </c>
      <c r="N30" s="3703"/>
    </row>
    <row r="31" spans="1:15" ht="12.75" hidden="1" customHeight="1">
      <c r="A31" s="3723"/>
      <c r="B31" s="3073" t="s">
        <v>20</v>
      </c>
      <c r="C31" s="3078"/>
      <c r="D31" s="1132"/>
      <c r="E31" s="1132">
        <f t="shared" ref="E31" si="27">E32+E34</f>
        <v>0</v>
      </c>
      <c r="F31" s="1166">
        <f>F32+F34</f>
        <v>0</v>
      </c>
      <c r="G31" s="1166">
        <f>G32+G34</f>
        <v>0</v>
      </c>
      <c r="H31" s="1166">
        <f>H32+H34</f>
        <v>0</v>
      </c>
      <c r="I31" s="1374"/>
      <c r="J31" s="1374"/>
      <c r="K31" s="1374"/>
      <c r="L31" s="1132">
        <f>L32+L34</f>
        <v>0</v>
      </c>
      <c r="M31" s="3690" t="s">
        <v>52</v>
      </c>
      <c r="N31" s="3703"/>
    </row>
    <row r="32" spans="1:15" ht="12" hidden="1" customHeight="1">
      <c r="A32" s="3723"/>
      <c r="B32" s="1292" t="s">
        <v>22</v>
      </c>
      <c r="C32" s="3724" t="s">
        <v>122</v>
      </c>
      <c r="D32" s="1122"/>
      <c r="E32" s="1122"/>
      <c r="F32" s="1167">
        <f t="shared" ref="F32:H32" si="28">F33</f>
        <v>0</v>
      </c>
      <c r="G32" s="1167">
        <f t="shared" si="28"/>
        <v>0</v>
      </c>
      <c r="H32" s="1167">
        <f t="shared" si="28"/>
        <v>0</v>
      </c>
      <c r="I32" s="1375"/>
      <c r="J32" s="1375"/>
      <c r="K32" s="1375"/>
      <c r="L32" s="1122">
        <f>L33</f>
        <v>0</v>
      </c>
      <c r="M32" s="3700"/>
      <c r="N32" s="3703"/>
    </row>
    <row r="33" spans="1:14" ht="12" hidden="1" customHeight="1">
      <c r="A33" s="3723"/>
      <c r="B33" s="1293" t="s">
        <v>12</v>
      </c>
      <c r="C33" s="3725"/>
      <c r="D33" s="1125"/>
      <c r="E33" s="1134"/>
      <c r="F33" s="1134">
        <v>0</v>
      </c>
      <c r="G33" s="1134">
        <v>0</v>
      </c>
      <c r="H33" s="1134">
        <v>0</v>
      </c>
      <c r="I33" s="199"/>
      <c r="J33" s="199"/>
      <c r="K33" s="199"/>
      <c r="L33" s="1134">
        <v>0</v>
      </c>
      <c r="M33" s="3700"/>
      <c r="N33" s="3703"/>
    </row>
    <row r="34" spans="1:14" ht="13.5" hidden="1" customHeight="1">
      <c r="A34" s="3723"/>
      <c r="B34" s="1295" t="s">
        <v>17</v>
      </c>
      <c r="C34" s="3725"/>
      <c r="D34" s="1127"/>
      <c r="E34" s="1127">
        <f t="shared" ref="E34:H34" si="29">E35</f>
        <v>0</v>
      </c>
      <c r="F34" s="1151">
        <f t="shared" si="29"/>
        <v>0</v>
      </c>
      <c r="G34" s="1151">
        <f t="shared" si="29"/>
        <v>0</v>
      </c>
      <c r="H34" s="1151">
        <f t="shared" si="29"/>
        <v>0</v>
      </c>
      <c r="I34" s="502"/>
      <c r="J34" s="502"/>
      <c r="K34" s="502"/>
      <c r="L34" s="1127">
        <f>L35</f>
        <v>0</v>
      </c>
      <c r="M34" s="3700"/>
      <c r="N34" s="3703"/>
    </row>
    <row r="35" spans="1:14" ht="13.5" hidden="1" customHeight="1" thickBot="1">
      <c r="A35" s="3722"/>
      <c r="B35" s="1296" t="s">
        <v>18</v>
      </c>
      <c r="C35" s="3726"/>
      <c r="D35" s="1376"/>
      <c r="E35" s="1377">
        <v>0</v>
      </c>
      <c r="F35" s="1377">
        <v>0</v>
      </c>
      <c r="G35" s="1377">
        <v>0</v>
      </c>
      <c r="H35" s="1377">
        <v>0</v>
      </c>
      <c r="I35" s="91"/>
      <c r="J35" s="91"/>
      <c r="K35" s="91"/>
      <c r="L35" s="1377">
        <v>0</v>
      </c>
      <c r="M35" s="3701"/>
      <c r="N35" s="3704"/>
    </row>
    <row r="36" spans="1:14" ht="24.75" customHeight="1">
      <c r="A36" s="3720" t="s">
        <v>54</v>
      </c>
      <c r="B36" s="1286" t="s">
        <v>431</v>
      </c>
      <c r="C36" s="1287" t="s">
        <v>99</v>
      </c>
      <c r="D36" s="160"/>
      <c r="E36" s="328"/>
      <c r="F36" s="328"/>
      <c r="G36" s="328"/>
      <c r="H36" s="328"/>
      <c r="I36" s="328"/>
      <c r="J36" s="328"/>
      <c r="K36" s="1947"/>
      <c r="L36" s="328"/>
      <c r="M36" s="1371"/>
      <c r="N36" s="3702" t="s">
        <v>121</v>
      </c>
    </row>
    <row r="37" spans="1:14" ht="13.5" customHeight="1">
      <c r="A37" s="3721"/>
      <c r="B37" s="3073" t="s">
        <v>9</v>
      </c>
      <c r="C37" s="3074"/>
      <c r="D37" s="1132">
        <f>+D38+D40</f>
        <v>1335657</v>
      </c>
      <c r="E37" s="1132">
        <f t="shared" ref="E37" si="30">+E38+E40</f>
        <v>738413</v>
      </c>
      <c r="F37" s="1132">
        <f t="shared" ref="F37:K37" si="31">+F38+F40</f>
        <v>199080</v>
      </c>
      <c r="G37" s="1847">
        <f t="shared" si="31"/>
        <v>199084</v>
      </c>
      <c r="H37" s="1847">
        <f t="shared" si="31"/>
        <v>199080</v>
      </c>
      <c r="I37" s="1847">
        <f t="shared" si="31"/>
        <v>0</v>
      </c>
      <c r="J37" s="1847">
        <f t="shared" si="31"/>
        <v>0</v>
      </c>
      <c r="K37" s="1847">
        <f t="shared" si="31"/>
        <v>0</v>
      </c>
      <c r="L37" s="1132">
        <f t="shared" ref="L37" si="32">+L38+L40</f>
        <v>0</v>
      </c>
      <c r="M37" s="1252">
        <f>M38+M40</f>
        <v>398164</v>
      </c>
      <c r="N37" s="3703"/>
    </row>
    <row r="38" spans="1:14" ht="11.25" customHeight="1">
      <c r="A38" s="3721"/>
      <c r="B38" s="3075" t="s">
        <v>22</v>
      </c>
      <c r="C38" s="3724" t="s">
        <v>122</v>
      </c>
      <c r="D38" s="1122">
        <f>+D39</f>
        <v>640352</v>
      </c>
      <c r="E38" s="1122">
        <f t="shared" ref="E38:K38" si="33">+E39</f>
        <v>341732</v>
      </c>
      <c r="F38" s="1122">
        <f t="shared" si="33"/>
        <v>99540</v>
      </c>
      <c r="G38" s="1848">
        <f t="shared" si="33"/>
        <v>99540</v>
      </c>
      <c r="H38" s="1848">
        <f t="shared" si="33"/>
        <v>99540</v>
      </c>
      <c r="I38" s="1848">
        <f t="shared" si="33"/>
        <v>0</v>
      </c>
      <c r="J38" s="1848">
        <f t="shared" si="33"/>
        <v>0</v>
      </c>
      <c r="K38" s="1848">
        <f t="shared" si="33"/>
        <v>0</v>
      </c>
      <c r="L38" s="1122">
        <f>+L39</f>
        <v>0</v>
      </c>
      <c r="M38" s="1123">
        <f>+M39</f>
        <v>199080</v>
      </c>
      <c r="N38" s="3703"/>
    </row>
    <row r="39" spans="1:14" ht="13.5" customHeight="1">
      <c r="A39" s="3721"/>
      <c r="B39" s="1289" t="s">
        <v>11</v>
      </c>
      <c r="C39" s="3725"/>
      <c r="D39" s="1113">
        <f>E39+L39+F39+G39+H39+I39+J39+K39</f>
        <v>640352</v>
      </c>
      <c r="E39" s="1378">
        <f>274500+67232</f>
        <v>341732</v>
      </c>
      <c r="F39" s="147">
        <v>99540</v>
      </c>
      <c r="G39" s="1849">
        <v>99540</v>
      </c>
      <c r="H39" s="1849">
        <v>99540</v>
      </c>
      <c r="I39" s="1849">
        <v>0</v>
      </c>
      <c r="J39" s="1849">
        <v>0</v>
      </c>
      <c r="K39" s="1849">
        <v>0</v>
      </c>
      <c r="L39" s="147">
        <v>0</v>
      </c>
      <c r="M39" s="1372">
        <f>SUM(G39:K39)</f>
        <v>199080</v>
      </c>
      <c r="N39" s="3703"/>
    </row>
    <row r="40" spans="1:14" ht="13.5" customHeight="1">
      <c r="A40" s="3721"/>
      <c r="B40" s="3076" t="s">
        <v>17</v>
      </c>
      <c r="C40" s="3725"/>
      <c r="D40" s="1127">
        <f>+D41</f>
        <v>695305</v>
      </c>
      <c r="E40" s="1127">
        <f t="shared" ref="E40:K40" si="34">E41</f>
        <v>396681</v>
      </c>
      <c r="F40" s="1127">
        <f t="shared" si="34"/>
        <v>99540</v>
      </c>
      <c r="G40" s="1850">
        <f t="shared" si="34"/>
        <v>99544</v>
      </c>
      <c r="H40" s="1850">
        <f t="shared" si="34"/>
        <v>99540</v>
      </c>
      <c r="I40" s="1850">
        <f t="shared" si="34"/>
        <v>0</v>
      </c>
      <c r="J40" s="1850">
        <f t="shared" si="34"/>
        <v>0</v>
      </c>
      <c r="K40" s="1850">
        <f t="shared" si="34"/>
        <v>0</v>
      </c>
      <c r="L40" s="1127">
        <f>L41</f>
        <v>0</v>
      </c>
      <c r="M40" s="1123">
        <f>+M41</f>
        <v>199084</v>
      </c>
      <c r="N40" s="3703"/>
    </row>
    <row r="41" spans="1:14" ht="12">
      <c r="A41" s="3721"/>
      <c r="B41" s="1291" t="s">
        <v>18</v>
      </c>
      <c r="C41" s="3706"/>
      <c r="D41" s="1113">
        <f>E41+L41+F41+G41+H41+I41+J41+K41</f>
        <v>695305</v>
      </c>
      <c r="E41" s="1378">
        <f>319387+77294</f>
        <v>396681</v>
      </c>
      <c r="F41" s="110">
        <v>99540</v>
      </c>
      <c r="G41" s="1851">
        <f>99540+4</f>
        <v>99544</v>
      </c>
      <c r="H41" s="1851">
        <v>99540</v>
      </c>
      <c r="I41" s="1851">
        <v>0</v>
      </c>
      <c r="J41" s="1851">
        <v>0</v>
      </c>
      <c r="K41" s="1851">
        <v>0</v>
      </c>
      <c r="L41" s="110">
        <v>0</v>
      </c>
      <c r="M41" s="1372">
        <f>SUM(G41:K41)</f>
        <v>199084</v>
      </c>
      <c r="N41" s="3703"/>
    </row>
    <row r="42" spans="1:14" ht="13.5" customHeight="1">
      <c r="A42" s="3723"/>
      <c r="B42" s="3073" t="s">
        <v>20</v>
      </c>
      <c r="C42" s="3078"/>
      <c r="D42" s="1132">
        <f>+D45</f>
        <v>695305</v>
      </c>
      <c r="E42" s="1132">
        <f t="shared" ref="E42" si="35">E43+E45</f>
        <v>370466</v>
      </c>
      <c r="F42" s="1132">
        <f t="shared" ref="F42:K42" si="36">F43+F45</f>
        <v>95897</v>
      </c>
      <c r="G42" s="1847">
        <f t="shared" si="36"/>
        <v>99540</v>
      </c>
      <c r="H42" s="1847">
        <f t="shared" si="36"/>
        <v>99540</v>
      </c>
      <c r="I42" s="1847">
        <f t="shared" si="36"/>
        <v>29862</v>
      </c>
      <c r="J42" s="1847">
        <f t="shared" si="36"/>
        <v>0</v>
      </c>
      <c r="K42" s="1847">
        <f t="shared" si="36"/>
        <v>0</v>
      </c>
      <c r="L42" s="1132">
        <f>L43+L45</f>
        <v>0</v>
      </c>
      <c r="M42" s="3690" t="s">
        <v>52</v>
      </c>
      <c r="N42" s="3703"/>
    </row>
    <row r="43" spans="1:14" ht="12" hidden="1" customHeight="1">
      <c r="A43" s="3723"/>
      <c r="B43" s="1292" t="s">
        <v>22</v>
      </c>
      <c r="C43" s="3724" t="s">
        <v>122</v>
      </c>
      <c r="D43" s="1122">
        <f t="shared" ref="D43:F43" si="37">D44</f>
        <v>0</v>
      </c>
      <c r="E43" s="1122">
        <f t="shared" si="37"/>
        <v>0</v>
      </c>
      <c r="F43" s="1122">
        <f t="shared" si="37"/>
        <v>0</v>
      </c>
      <c r="G43" s="1848"/>
      <c r="H43" s="1848"/>
      <c r="I43" s="1848"/>
      <c r="J43" s="1848"/>
      <c r="K43" s="1848"/>
      <c r="L43" s="1122">
        <f>L44</f>
        <v>0</v>
      </c>
      <c r="M43" s="3700"/>
      <c r="N43" s="3703"/>
    </row>
    <row r="44" spans="1:14" ht="12" hidden="1" customHeight="1">
      <c r="A44" s="3723"/>
      <c r="B44" s="1293" t="s">
        <v>12</v>
      </c>
      <c r="C44" s="3725"/>
      <c r="D44" s="1113">
        <f>E44+L44+F44+G44+H44+I44+J44+K44</f>
        <v>0</v>
      </c>
      <c r="E44" s="1134"/>
      <c r="F44" s="147">
        <v>0</v>
      </c>
      <c r="G44" s="1849"/>
      <c r="H44" s="1849"/>
      <c r="I44" s="1849"/>
      <c r="J44" s="1849"/>
      <c r="K44" s="1849"/>
      <c r="L44" s="1134">
        <v>0</v>
      </c>
      <c r="M44" s="3700"/>
      <c r="N44" s="3703"/>
    </row>
    <row r="45" spans="1:14" ht="13.5" customHeight="1">
      <c r="A45" s="3723"/>
      <c r="B45" s="1295" t="s">
        <v>17</v>
      </c>
      <c r="C45" s="3725"/>
      <c r="D45" s="1127">
        <f>+D46</f>
        <v>695305</v>
      </c>
      <c r="E45" s="1127">
        <f t="shared" ref="E45:K45" si="38">E46</f>
        <v>370466</v>
      </c>
      <c r="F45" s="1127">
        <f t="shared" si="38"/>
        <v>95897</v>
      </c>
      <c r="G45" s="1850">
        <f t="shared" si="38"/>
        <v>99540</v>
      </c>
      <c r="H45" s="1850">
        <f t="shared" si="38"/>
        <v>99540</v>
      </c>
      <c r="I45" s="1850">
        <f t="shared" si="38"/>
        <v>29862</v>
      </c>
      <c r="J45" s="1850">
        <f t="shared" si="38"/>
        <v>0</v>
      </c>
      <c r="K45" s="1850">
        <f t="shared" si="38"/>
        <v>0</v>
      </c>
      <c r="L45" s="1127">
        <f>L46</f>
        <v>0</v>
      </c>
      <c r="M45" s="3700"/>
      <c r="N45" s="3703"/>
    </row>
    <row r="46" spans="1:14" ht="12.75" customHeight="1" thickBot="1">
      <c r="A46" s="3722"/>
      <c r="B46" s="1296" t="s">
        <v>18</v>
      </c>
      <c r="C46" s="3726"/>
      <c r="D46" s="1113">
        <f>E46+L46+F46+G46+H46+I46+J46+K46</f>
        <v>695305</v>
      </c>
      <c r="E46" s="1378">
        <f>291312+79154</f>
        <v>370466</v>
      </c>
      <c r="F46" s="1377">
        <f>24105-909+1881+69678+1142</f>
        <v>95897</v>
      </c>
      <c r="G46" s="1852">
        <v>99540</v>
      </c>
      <c r="H46" s="1852">
        <v>99540</v>
      </c>
      <c r="I46" s="1852">
        <v>29862</v>
      </c>
      <c r="J46" s="1852">
        <v>0</v>
      </c>
      <c r="K46" s="1852">
        <v>0</v>
      </c>
      <c r="L46" s="1377">
        <v>0</v>
      </c>
      <c r="M46" s="3701"/>
      <c r="N46" s="3704"/>
    </row>
    <row r="47" spans="1:14" ht="36" hidden="1" customHeight="1">
      <c r="A47" s="3720" t="s">
        <v>55</v>
      </c>
      <c r="B47" s="1286" t="s">
        <v>249</v>
      </c>
      <c r="C47" s="1287" t="s">
        <v>99</v>
      </c>
      <c r="D47" s="1369"/>
      <c r="E47" s="1370"/>
      <c r="F47" s="1370"/>
      <c r="G47" s="1370"/>
      <c r="H47" s="1370"/>
      <c r="I47" s="1370"/>
      <c r="J47" s="1370"/>
      <c r="K47" s="1370"/>
      <c r="L47" s="1370"/>
      <c r="M47" s="1371"/>
      <c r="N47" s="3686" t="s">
        <v>123</v>
      </c>
    </row>
    <row r="48" spans="1:14" ht="15" hidden="1" customHeight="1">
      <c r="A48" s="3721"/>
      <c r="B48" s="3073" t="s">
        <v>9</v>
      </c>
      <c r="C48" s="3074"/>
      <c r="D48" s="1132"/>
      <c r="E48" s="1132">
        <v>0</v>
      </c>
      <c r="F48" s="1132">
        <f t="shared" ref="F48:K48" si="39">+F49+F51</f>
        <v>0</v>
      </c>
      <c r="G48" s="1132">
        <f t="shared" si="39"/>
        <v>0</v>
      </c>
      <c r="H48" s="1132">
        <f t="shared" si="39"/>
        <v>0</v>
      </c>
      <c r="I48" s="1132">
        <f t="shared" si="39"/>
        <v>0</v>
      </c>
      <c r="J48" s="1132">
        <f t="shared" si="39"/>
        <v>0</v>
      </c>
      <c r="K48" s="1132">
        <f t="shared" si="39"/>
        <v>0</v>
      </c>
      <c r="L48" s="1132">
        <f>L49</f>
        <v>0</v>
      </c>
      <c r="M48" s="1252">
        <f>M49</f>
        <v>0</v>
      </c>
      <c r="N48" s="3687"/>
    </row>
    <row r="49" spans="1:14" ht="12.75" hidden="1" thickBot="1">
      <c r="A49" s="3721"/>
      <c r="B49" s="1297" t="s">
        <v>17</v>
      </c>
      <c r="C49" s="3705" t="s">
        <v>124</v>
      </c>
      <c r="D49" s="1127"/>
      <c r="E49" s="1127">
        <v>0</v>
      </c>
      <c r="F49" s="1127">
        <f t="shared" ref="F49:I49" si="40">F50</f>
        <v>0</v>
      </c>
      <c r="G49" s="1127">
        <f t="shared" si="40"/>
        <v>0</v>
      </c>
      <c r="H49" s="1127">
        <f t="shared" si="40"/>
        <v>0</v>
      </c>
      <c r="I49" s="1127">
        <f t="shared" si="40"/>
        <v>0</v>
      </c>
      <c r="J49" s="1127">
        <f>J50</f>
        <v>0</v>
      </c>
      <c r="K49" s="1127">
        <f>K50</f>
        <v>0</v>
      </c>
      <c r="L49" s="1127">
        <f>L50</f>
        <v>0</v>
      </c>
      <c r="M49" s="1123">
        <f>+M50</f>
        <v>0</v>
      </c>
      <c r="N49" s="3687"/>
    </row>
    <row r="50" spans="1:14" ht="12.75" hidden="1" thickBot="1">
      <c r="A50" s="3721"/>
      <c r="B50" s="1298" t="s">
        <v>18</v>
      </c>
      <c r="C50" s="3706"/>
      <c r="D50" s="1125"/>
      <c r="E50" s="1125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372">
        <f>SUM(G50:K50)</f>
        <v>0</v>
      </c>
      <c r="N50" s="3687"/>
    </row>
    <row r="51" spans="1:14" ht="15" hidden="1" customHeight="1">
      <c r="A51" s="3721"/>
      <c r="B51" s="1299" t="s">
        <v>20</v>
      </c>
      <c r="C51" s="1300"/>
      <c r="D51" s="1132"/>
      <c r="E51" s="1132">
        <v>0</v>
      </c>
      <c r="F51" s="1132">
        <f t="shared" ref="F51:K51" si="41">F52+F102</f>
        <v>0</v>
      </c>
      <c r="G51" s="1132">
        <f t="shared" si="41"/>
        <v>0</v>
      </c>
      <c r="H51" s="1132">
        <f t="shared" si="41"/>
        <v>0</v>
      </c>
      <c r="I51" s="1132">
        <f t="shared" si="41"/>
        <v>0</v>
      </c>
      <c r="J51" s="1132">
        <f t="shared" si="41"/>
        <v>0</v>
      </c>
      <c r="K51" s="1132">
        <f t="shared" si="41"/>
        <v>0</v>
      </c>
      <c r="L51" s="1132">
        <f>L52</f>
        <v>0</v>
      </c>
      <c r="M51" s="3690" t="s">
        <v>52</v>
      </c>
      <c r="N51" s="3687"/>
    </row>
    <row r="52" spans="1:14" ht="12" hidden="1" customHeight="1">
      <c r="A52" s="3721"/>
      <c r="B52" s="1297" t="s">
        <v>17</v>
      </c>
      <c r="C52" s="3705" t="s">
        <v>124</v>
      </c>
      <c r="D52" s="1127"/>
      <c r="E52" s="1127">
        <v>0</v>
      </c>
      <c r="F52" s="1127">
        <f t="shared" ref="F52:K52" si="42">F53</f>
        <v>0</v>
      </c>
      <c r="G52" s="1127">
        <f t="shared" si="42"/>
        <v>0</v>
      </c>
      <c r="H52" s="1127">
        <f t="shared" si="42"/>
        <v>0</v>
      </c>
      <c r="I52" s="1127">
        <f t="shared" si="42"/>
        <v>0</v>
      </c>
      <c r="J52" s="1127">
        <f t="shared" si="42"/>
        <v>0</v>
      </c>
      <c r="K52" s="1127">
        <f t="shared" si="42"/>
        <v>0</v>
      </c>
      <c r="L52" s="1127">
        <f>L53</f>
        <v>0</v>
      </c>
      <c r="M52" s="3700"/>
      <c r="N52" s="3687"/>
    </row>
    <row r="53" spans="1:14" ht="12.75" hidden="1" customHeight="1" thickBot="1">
      <c r="A53" s="3722"/>
      <c r="B53" s="1301" t="s">
        <v>18</v>
      </c>
      <c r="C53" s="3726"/>
      <c r="D53" s="1125"/>
      <c r="E53" s="1125">
        <v>0</v>
      </c>
      <c r="F53" s="1377">
        <v>0</v>
      </c>
      <c r="G53" s="1377">
        <v>0</v>
      </c>
      <c r="H53" s="1377">
        <v>0</v>
      </c>
      <c r="I53" s="1377">
        <v>0</v>
      </c>
      <c r="J53" s="1377">
        <v>0</v>
      </c>
      <c r="K53" s="1377">
        <v>0</v>
      </c>
      <c r="L53" s="1377">
        <v>0</v>
      </c>
      <c r="M53" s="3701"/>
      <c r="N53" s="3689"/>
    </row>
    <row r="54" spans="1:14" ht="42.75" hidden="1" customHeight="1">
      <c r="A54" s="3720" t="s">
        <v>55</v>
      </c>
      <c r="B54" s="1286" t="s">
        <v>400</v>
      </c>
      <c r="C54" s="1287" t="s">
        <v>99</v>
      </c>
      <c r="D54" s="1369"/>
      <c r="E54" s="1370"/>
      <c r="F54" s="1370"/>
      <c r="G54" s="1370"/>
      <c r="H54" s="1370"/>
      <c r="I54" s="1370"/>
      <c r="J54" s="1370"/>
      <c r="K54" s="1370"/>
      <c r="L54" s="1370"/>
      <c r="M54" s="1371"/>
      <c r="N54" s="3686" t="s">
        <v>123</v>
      </c>
    </row>
    <row r="55" spans="1:14" ht="15" hidden="1" customHeight="1">
      <c r="A55" s="3721"/>
      <c r="B55" s="3073" t="s">
        <v>9</v>
      </c>
      <c r="C55" s="3074"/>
      <c r="D55" s="1132">
        <f>D56</f>
        <v>0</v>
      </c>
      <c r="E55" s="1132">
        <f t="shared" ref="E55:I56" si="43">E56</f>
        <v>0</v>
      </c>
      <c r="F55" s="1132">
        <f t="shared" ref="F55:K55" si="44">+F56+F58</f>
        <v>0</v>
      </c>
      <c r="G55" s="1132">
        <f t="shared" si="44"/>
        <v>0</v>
      </c>
      <c r="H55" s="1132">
        <f t="shared" si="44"/>
        <v>0</v>
      </c>
      <c r="I55" s="1132">
        <f t="shared" si="44"/>
        <v>0</v>
      </c>
      <c r="J55" s="1132">
        <f t="shared" si="44"/>
        <v>0</v>
      </c>
      <c r="K55" s="1132">
        <f t="shared" si="44"/>
        <v>0</v>
      </c>
      <c r="L55" s="1132">
        <f>L56</f>
        <v>0</v>
      </c>
      <c r="M55" s="1252">
        <f>M56</f>
        <v>0</v>
      </c>
      <c r="N55" s="3687"/>
    </row>
    <row r="56" spans="1:14" ht="12.75" hidden="1" thickBot="1">
      <c r="A56" s="3721"/>
      <c r="B56" s="1297" t="s">
        <v>17</v>
      </c>
      <c r="C56" s="3705" t="s">
        <v>124</v>
      </c>
      <c r="D56" s="1127">
        <f>+D57</f>
        <v>0</v>
      </c>
      <c r="E56" s="1127">
        <f t="shared" si="43"/>
        <v>0</v>
      </c>
      <c r="F56" s="1127">
        <f t="shared" si="43"/>
        <v>0</v>
      </c>
      <c r="G56" s="1127">
        <f t="shared" si="43"/>
        <v>0</v>
      </c>
      <c r="H56" s="1127">
        <f t="shared" si="43"/>
        <v>0</v>
      </c>
      <c r="I56" s="1127">
        <f t="shared" si="43"/>
        <v>0</v>
      </c>
      <c r="J56" s="1127">
        <f>J57</f>
        <v>0</v>
      </c>
      <c r="K56" s="1127">
        <f>K57</f>
        <v>0</v>
      </c>
      <c r="L56" s="1127">
        <f>L57</f>
        <v>0</v>
      </c>
      <c r="M56" s="1123">
        <f>+M57</f>
        <v>0</v>
      </c>
      <c r="N56" s="3687"/>
    </row>
    <row r="57" spans="1:14" ht="12.75" hidden="1" thickBot="1">
      <c r="A57" s="3721"/>
      <c r="B57" s="1298" t="s">
        <v>18</v>
      </c>
      <c r="C57" s="3706"/>
      <c r="D57" s="1113">
        <v>0</v>
      </c>
      <c r="E57" s="1378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372">
        <f>SUM(F57:K57)</f>
        <v>0</v>
      </c>
      <c r="N57" s="3687"/>
    </row>
    <row r="58" spans="1:14" ht="15" hidden="1" customHeight="1">
      <c r="A58" s="3721"/>
      <c r="B58" s="1299" t="s">
        <v>20</v>
      </c>
      <c r="C58" s="1300"/>
      <c r="D58" s="1132">
        <f>+D59</f>
        <v>0</v>
      </c>
      <c r="E58" s="1132">
        <f t="shared" ref="E58" si="45">+E59</f>
        <v>0</v>
      </c>
      <c r="F58" s="1132">
        <f t="shared" ref="F58:H58" si="46">F59</f>
        <v>0</v>
      </c>
      <c r="G58" s="1132">
        <f t="shared" si="46"/>
        <v>0</v>
      </c>
      <c r="H58" s="1132">
        <f t="shared" si="46"/>
        <v>0</v>
      </c>
      <c r="I58" s="1132"/>
      <c r="J58" s="1132"/>
      <c r="K58" s="1132"/>
      <c r="L58" s="1132">
        <f>L59</f>
        <v>0</v>
      </c>
      <c r="M58" s="3690" t="s">
        <v>52</v>
      </c>
      <c r="N58" s="3687"/>
    </row>
    <row r="59" spans="1:14" ht="12" hidden="1" customHeight="1">
      <c r="A59" s="3721"/>
      <c r="B59" s="1297" t="s">
        <v>17</v>
      </c>
      <c r="C59" s="3705" t="s">
        <v>124</v>
      </c>
      <c r="D59" s="1127">
        <f>+D60</f>
        <v>0</v>
      </c>
      <c r="E59" s="1127">
        <f t="shared" ref="E59:K59" si="47">E60</f>
        <v>0</v>
      </c>
      <c r="F59" s="1127">
        <f t="shared" si="47"/>
        <v>0</v>
      </c>
      <c r="G59" s="1127">
        <f t="shared" si="47"/>
        <v>0</v>
      </c>
      <c r="H59" s="1127">
        <f t="shared" si="47"/>
        <v>0</v>
      </c>
      <c r="I59" s="1127">
        <f t="shared" si="47"/>
        <v>0</v>
      </c>
      <c r="J59" s="1127">
        <f t="shared" si="47"/>
        <v>0</v>
      </c>
      <c r="K59" s="1127">
        <f t="shared" si="47"/>
        <v>0</v>
      </c>
      <c r="L59" s="1127">
        <f>L60</f>
        <v>0</v>
      </c>
      <c r="M59" s="3700"/>
      <c r="N59" s="3687"/>
    </row>
    <row r="60" spans="1:14" ht="12.75" hidden="1" customHeight="1" thickBot="1">
      <c r="A60" s="3722"/>
      <c r="B60" s="1301" t="s">
        <v>18</v>
      </c>
      <c r="C60" s="3726"/>
      <c r="D60" s="1113">
        <f>E60+L60+F60+G60+H60+I60+J60+K60</f>
        <v>0</v>
      </c>
      <c r="E60" s="1378">
        <v>0</v>
      </c>
      <c r="F60" s="1377">
        <v>0</v>
      </c>
      <c r="G60" s="1377">
        <v>0</v>
      </c>
      <c r="H60" s="1377">
        <v>0</v>
      </c>
      <c r="I60" s="1377">
        <v>0</v>
      </c>
      <c r="J60" s="1377">
        <v>0</v>
      </c>
      <c r="K60" s="1377">
        <v>0</v>
      </c>
      <c r="L60" s="1377">
        <v>0</v>
      </c>
      <c r="M60" s="3701"/>
      <c r="N60" s="3689"/>
    </row>
    <row r="61" spans="1:14" ht="26.25" hidden="1" customHeight="1">
      <c r="A61" s="3720" t="s">
        <v>56</v>
      </c>
      <c r="B61" s="1286" t="s">
        <v>294</v>
      </c>
      <c r="C61" s="1287" t="s">
        <v>99</v>
      </c>
      <c r="D61" s="1369"/>
      <c r="E61" s="1370"/>
      <c r="F61" s="1370"/>
      <c r="G61" s="1370"/>
      <c r="H61" s="1370"/>
      <c r="I61" s="1370"/>
      <c r="J61" s="1370"/>
      <c r="K61" s="1370"/>
      <c r="L61" s="1370"/>
      <c r="M61" s="1371"/>
      <c r="N61" s="3686" t="s">
        <v>214</v>
      </c>
    </row>
    <row r="62" spans="1:14" ht="15" hidden="1" customHeight="1">
      <c r="A62" s="3721"/>
      <c r="B62" s="3073" t="s">
        <v>9</v>
      </c>
      <c r="C62" s="3074"/>
      <c r="D62" s="1132"/>
      <c r="E62" s="1132">
        <v>0</v>
      </c>
      <c r="F62" s="1132">
        <f t="shared" ref="F62:K62" si="48">+F63+F65</f>
        <v>0</v>
      </c>
      <c r="G62" s="1132">
        <f t="shared" si="48"/>
        <v>0</v>
      </c>
      <c r="H62" s="1132">
        <f t="shared" si="48"/>
        <v>0</v>
      </c>
      <c r="I62" s="1132">
        <f t="shared" si="48"/>
        <v>0</v>
      </c>
      <c r="J62" s="1132">
        <f t="shared" si="48"/>
        <v>0</v>
      </c>
      <c r="K62" s="1132">
        <f t="shared" si="48"/>
        <v>0</v>
      </c>
      <c r="L62" s="1132">
        <f>L63</f>
        <v>0</v>
      </c>
      <c r="M62" s="1252">
        <f>M63</f>
        <v>0</v>
      </c>
      <c r="N62" s="3687"/>
    </row>
    <row r="63" spans="1:14" ht="12.75" hidden="1" thickBot="1">
      <c r="A63" s="3721"/>
      <c r="B63" s="1297" t="s">
        <v>17</v>
      </c>
      <c r="C63" s="3705" t="s">
        <v>215</v>
      </c>
      <c r="D63" s="1127"/>
      <c r="E63" s="1127">
        <v>0</v>
      </c>
      <c r="F63" s="1127">
        <f t="shared" ref="F63:I63" si="49">F64</f>
        <v>0</v>
      </c>
      <c r="G63" s="1127">
        <f t="shared" si="49"/>
        <v>0</v>
      </c>
      <c r="H63" s="1127">
        <f t="shared" si="49"/>
        <v>0</v>
      </c>
      <c r="I63" s="1127">
        <f t="shared" si="49"/>
        <v>0</v>
      </c>
      <c r="J63" s="1127">
        <f>J64</f>
        <v>0</v>
      </c>
      <c r="K63" s="1127">
        <f>K64</f>
        <v>0</v>
      </c>
      <c r="L63" s="1127">
        <f>L64</f>
        <v>0</v>
      </c>
      <c r="M63" s="1123">
        <f>+M64</f>
        <v>0</v>
      </c>
      <c r="N63" s="3687"/>
    </row>
    <row r="64" spans="1:14" ht="12.75" hidden="1" thickBot="1">
      <c r="A64" s="3721"/>
      <c r="B64" s="1298" t="s">
        <v>18</v>
      </c>
      <c r="C64" s="3706"/>
      <c r="D64" s="3079"/>
      <c r="E64" s="1378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372">
        <f>SUM(F64:K64)</f>
        <v>0</v>
      </c>
      <c r="N64" s="3687"/>
    </row>
    <row r="65" spans="1:15" ht="15" hidden="1" customHeight="1">
      <c r="A65" s="3721"/>
      <c r="B65" s="1299" t="s">
        <v>20</v>
      </c>
      <c r="C65" s="1300"/>
      <c r="D65" s="1379"/>
      <c r="E65" s="1132">
        <v>0</v>
      </c>
      <c r="F65" s="1132">
        <f t="shared" ref="F65:K65" si="50">F66+F116</f>
        <v>0</v>
      </c>
      <c r="G65" s="1132">
        <f t="shared" si="50"/>
        <v>0</v>
      </c>
      <c r="H65" s="1132">
        <f t="shared" si="50"/>
        <v>0</v>
      </c>
      <c r="I65" s="1132">
        <f t="shared" si="50"/>
        <v>0</v>
      </c>
      <c r="J65" s="1132">
        <f t="shared" si="50"/>
        <v>0</v>
      </c>
      <c r="K65" s="1132">
        <f t="shared" si="50"/>
        <v>0</v>
      </c>
      <c r="L65" s="1132">
        <f>L66</f>
        <v>0</v>
      </c>
      <c r="M65" s="3690" t="s">
        <v>52</v>
      </c>
      <c r="N65" s="3687"/>
    </row>
    <row r="66" spans="1:15" ht="12.75" hidden="1" customHeight="1">
      <c r="A66" s="3721"/>
      <c r="B66" s="1297" t="s">
        <v>17</v>
      </c>
      <c r="C66" s="3705" t="s">
        <v>215</v>
      </c>
      <c r="D66" s="1127"/>
      <c r="E66" s="1127">
        <v>0</v>
      </c>
      <c r="F66" s="1127">
        <f t="shared" ref="F66:K66" si="51">F67</f>
        <v>0</v>
      </c>
      <c r="G66" s="1127">
        <f t="shared" si="51"/>
        <v>0</v>
      </c>
      <c r="H66" s="1127">
        <f t="shared" si="51"/>
        <v>0</v>
      </c>
      <c r="I66" s="1127">
        <f t="shared" si="51"/>
        <v>0</v>
      </c>
      <c r="J66" s="1127">
        <f t="shared" si="51"/>
        <v>0</v>
      </c>
      <c r="K66" s="1127">
        <f t="shared" si="51"/>
        <v>0</v>
      </c>
      <c r="L66" s="1127">
        <f>L67</f>
        <v>0</v>
      </c>
      <c r="M66" s="3700"/>
      <c r="N66" s="3687"/>
    </row>
    <row r="67" spans="1:15" ht="12.75" hidden="1" customHeight="1" thickBot="1">
      <c r="A67" s="3722"/>
      <c r="B67" s="1301" t="s">
        <v>18</v>
      </c>
      <c r="C67" s="3726"/>
      <c r="D67" s="3079"/>
      <c r="E67" s="1378">
        <v>0</v>
      </c>
      <c r="F67" s="1377">
        <v>0</v>
      </c>
      <c r="G67" s="1377">
        <v>0</v>
      </c>
      <c r="H67" s="1377">
        <v>0</v>
      </c>
      <c r="I67" s="1377">
        <v>0</v>
      </c>
      <c r="J67" s="1377">
        <v>0</v>
      </c>
      <c r="K67" s="1377">
        <v>0</v>
      </c>
      <c r="L67" s="1377">
        <v>0</v>
      </c>
      <c r="M67" s="3701"/>
      <c r="N67" s="3689"/>
    </row>
    <row r="68" spans="1:15" ht="26.25" customHeight="1">
      <c r="A68" s="3720" t="s">
        <v>55</v>
      </c>
      <c r="B68" s="1286" t="s">
        <v>521</v>
      </c>
      <c r="C68" s="1287" t="s">
        <v>99</v>
      </c>
      <c r="D68" s="160"/>
      <c r="E68" s="328"/>
      <c r="F68" s="328"/>
      <c r="G68" s="328"/>
      <c r="H68" s="328"/>
      <c r="I68" s="328"/>
      <c r="J68" s="328"/>
      <c r="K68" s="1947"/>
      <c r="L68" s="328"/>
      <c r="M68" s="1371"/>
      <c r="N68" s="3686" t="s">
        <v>121</v>
      </c>
    </row>
    <row r="69" spans="1:15" ht="12">
      <c r="A69" s="3721"/>
      <c r="B69" s="3073" t="s">
        <v>9</v>
      </c>
      <c r="C69" s="3074"/>
      <c r="D69" s="1132">
        <f>+D70</f>
        <v>72615</v>
      </c>
      <c r="E69" s="1132">
        <f t="shared" ref="E69:E70" si="52">+E70</f>
        <v>21094</v>
      </c>
      <c r="F69" s="1132">
        <f t="shared" ref="F69:G70" si="53">+F70</f>
        <v>29639</v>
      </c>
      <c r="G69" s="1132">
        <f t="shared" si="53"/>
        <v>21882</v>
      </c>
      <c r="H69" s="1132"/>
      <c r="I69" s="1132"/>
      <c r="J69" s="1132"/>
      <c r="K69" s="1132"/>
      <c r="L69" s="1132">
        <f>+L70</f>
        <v>0</v>
      </c>
      <c r="M69" s="1252">
        <f>+M70</f>
        <v>21882</v>
      </c>
      <c r="N69" s="3687"/>
    </row>
    <row r="70" spans="1:15" ht="12">
      <c r="A70" s="3721"/>
      <c r="B70" s="1297" t="s">
        <v>17</v>
      </c>
      <c r="C70" s="3705" t="s">
        <v>122</v>
      </c>
      <c r="D70" s="1127">
        <f>+D71</f>
        <v>72615</v>
      </c>
      <c r="E70" s="1127">
        <f t="shared" si="52"/>
        <v>21094</v>
      </c>
      <c r="F70" s="1127">
        <f t="shared" si="53"/>
        <v>29639</v>
      </c>
      <c r="G70" s="1127">
        <f t="shared" si="53"/>
        <v>21882</v>
      </c>
      <c r="H70" s="1127"/>
      <c r="I70" s="1127"/>
      <c r="J70" s="1127"/>
      <c r="K70" s="1127"/>
      <c r="L70" s="1127">
        <f>+L71</f>
        <v>0</v>
      </c>
      <c r="M70" s="1123">
        <f>+M71</f>
        <v>21882</v>
      </c>
      <c r="N70" s="3687"/>
    </row>
    <row r="71" spans="1:15" ht="12">
      <c r="A71" s="3721"/>
      <c r="B71" s="1298" t="s">
        <v>18</v>
      </c>
      <c r="C71" s="3706"/>
      <c r="D71" s="1152">
        <f>E71+L71+F71+G71+H71+I71+J71+K71</f>
        <v>72615</v>
      </c>
      <c r="E71" s="1378">
        <f>803+20291</f>
        <v>21094</v>
      </c>
      <c r="F71" s="110">
        <f>21882+7757</f>
        <v>29639</v>
      </c>
      <c r="G71" s="110">
        <v>21882</v>
      </c>
      <c r="H71" s="110"/>
      <c r="I71" s="110"/>
      <c r="J71" s="110"/>
      <c r="K71" s="110"/>
      <c r="L71" s="110">
        <v>0</v>
      </c>
      <c r="M71" s="1372">
        <f>SUM(G71:K71)</f>
        <v>21882</v>
      </c>
      <c r="N71" s="3687"/>
    </row>
    <row r="72" spans="1:15" ht="12">
      <c r="A72" s="3721"/>
      <c r="B72" s="1299" t="s">
        <v>20</v>
      </c>
      <c r="C72" s="1300"/>
      <c r="D72" s="1379">
        <f>+D73</f>
        <v>72615</v>
      </c>
      <c r="E72" s="1379">
        <f t="shared" ref="E72:E73" si="54">+E73</f>
        <v>28851</v>
      </c>
      <c r="F72" s="1132">
        <f t="shared" ref="F72:G73" si="55">+F73</f>
        <v>21882</v>
      </c>
      <c r="G72" s="1132">
        <f t="shared" si="55"/>
        <v>21882</v>
      </c>
      <c r="H72" s="1132"/>
      <c r="I72" s="1132"/>
      <c r="J72" s="1132"/>
      <c r="K72" s="1132"/>
      <c r="L72" s="1132">
        <f>+L73</f>
        <v>0</v>
      </c>
      <c r="M72" s="3690" t="s">
        <v>52</v>
      </c>
      <c r="N72" s="3687"/>
    </row>
    <row r="73" spans="1:15" ht="12">
      <c r="A73" s="3721"/>
      <c r="B73" s="1297" t="s">
        <v>17</v>
      </c>
      <c r="C73" s="3705" t="s">
        <v>122</v>
      </c>
      <c r="D73" s="1127">
        <f>+D74</f>
        <v>72615</v>
      </c>
      <c r="E73" s="1127">
        <f t="shared" si="54"/>
        <v>28851</v>
      </c>
      <c r="F73" s="1127">
        <f t="shared" si="55"/>
        <v>21882</v>
      </c>
      <c r="G73" s="1127">
        <f t="shared" si="55"/>
        <v>21882</v>
      </c>
      <c r="H73" s="1127"/>
      <c r="I73" s="1127"/>
      <c r="J73" s="1127"/>
      <c r="K73" s="1127"/>
      <c r="L73" s="1127">
        <f>+L74</f>
        <v>0</v>
      </c>
      <c r="M73" s="3700"/>
      <c r="N73" s="3687"/>
    </row>
    <row r="74" spans="1:15" ht="12.75" thickBot="1">
      <c r="A74" s="3722"/>
      <c r="B74" s="1301" t="s">
        <v>18</v>
      </c>
      <c r="C74" s="3726"/>
      <c r="D74" s="1679">
        <f>E74+L74+F74+G74+H74+I74+J74+K74</f>
        <v>72615</v>
      </c>
      <c r="E74" s="3080">
        <f>803+28048</f>
        <v>28851</v>
      </c>
      <c r="F74" s="1377">
        <v>21882</v>
      </c>
      <c r="G74" s="1377">
        <v>21882</v>
      </c>
      <c r="H74" s="1377"/>
      <c r="I74" s="1377"/>
      <c r="J74" s="1377"/>
      <c r="K74" s="1377"/>
      <c r="L74" s="1377">
        <v>0</v>
      </c>
      <c r="M74" s="3701"/>
      <c r="N74" s="3689"/>
    </row>
    <row r="75" spans="1:15" ht="27" hidden="1" customHeight="1">
      <c r="A75" s="3720" t="s">
        <v>56</v>
      </c>
      <c r="B75" s="1286"/>
      <c r="C75" s="1287" t="s">
        <v>99</v>
      </c>
      <c r="D75" s="160"/>
      <c r="E75" s="328"/>
      <c r="F75" s="328"/>
      <c r="G75" s="328"/>
      <c r="H75" s="328"/>
      <c r="I75" s="328"/>
      <c r="J75" s="328"/>
      <c r="K75" s="1947"/>
      <c r="L75" s="328"/>
      <c r="M75" s="1371"/>
      <c r="N75" s="3686" t="s">
        <v>267</v>
      </c>
    </row>
    <row r="76" spans="1:15" ht="12.75" hidden="1" thickBot="1">
      <c r="A76" s="3721"/>
      <c r="B76" s="1785" t="s">
        <v>9</v>
      </c>
      <c r="C76" s="3074"/>
      <c r="D76" s="1132">
        <f t="shared" ref="D76:K76" si="56">+D77+D79</f>
        <v>0</v>
      </c>
      <c r="E76" s="1132">
        <f t="shared" si="56"/>
        <v>0</v>
      </c>
      <c r="F76" s="1132">
        <f t="shared" si="56"/>
        <v>0</v>
      </c>
      <c r="G76" s="1132">
        <f t="shared" si="56"/>
        <v>0</v>
      </c>
      <c r="H76" s="1132">
        <f t="shared" si="56"/>
        <v>0</v>
      </c>
      <c r="I76" s="1132">
        <f t="shared" si="56"/>
        <v>0</v>
      </c>
      <c r="J76" s="1132">
        <f t="shared" si="56"/>
        <v>0</v>
      </c>
      <c r="K76" s="1132">
        <f t="shared" si="56"/>
        <v>0</v>
      </c>
      <c r="L76" s="1132">
        <f>+L77+L79</f>
        <v>0</v>
      </c>
      <c r="M76" s="1252">
        <f>+M77+M79</f>
        <v>0</v>
      </c>
      <c r="N76" s="3687"/>
      <c r="O76" s="1260" t="s">
        <v>468</v>
      </c>
    </row>
    <row r="77" spans="1:15" ht="12.75" hidden="1" thickBot="1">
      <c r="A77" s="3721"/>
      <c r="B77" s="1806" t="s">
        <v>22</v>
      </c>
      <c r="C77" s="3693" t="s">
        <v>138</v>
      </c>
      <c r="D77" s="1143">
        <f>+D78</f>
        <v>0</v>
      </c>
      <c r="E77" s="1143">
        <f>+E78</f>
        <v>0</v>
      </c>
      <c r="F77" s="1143">
        <f t="shared" ref="F77:K77" si="57">+F78</f>
        <v>0</v>
      </c>
      <c r="G77" s="1143">
        <f t="shared" si="57"/>
        <v>0</v>
      </c>
      <c r="H77" s="1143">
        <f t="shared" si="57"/>
        <v>0</v>
      </c>
      <c r="I77" s="1143">
        <f t="shared" si="57"/>
        <v>0</v>
      </c>
      <c r="J77" s="1143">
        <f t="shared" si="57"/>
        <v>0</v>
      </c>
      <c r="K77" s="1143">
        <f t="shared" si="57"/>
        <v>0</v>
      </c>
      <c r="L77" s="1143">
        <f>+L78</f>
        <v>0</v>
      </c>
      <c r="M77" s="1123">
        <f>+M78</f>
        <v>0</v>
      </c>
      <c r="N77" s="3687"/>
    </row>
    <row r="78" spans="1:15" ht="12.75" hidden="1" thickBot="1">
      <c r="A78" s="3721"/>
      <c r="B78" s="146" t="s">
        <v>12</v>
      </c>
      <c r="C78" s="3694"/>
      <c r="D78" s="1152">
        <f>E78+L78+F78+G78+H78+I78+J78+K78</f>
        <v>0</v>
      </c>
      <c r="E78" s="1152">
        <v>0</v>
      </c>
      <c r="F78" s="1152"/>
      <c r="G78" s="1152"/>
      <c r="H78" s="1152"/>
      <c r="I78" s="1152"/>
      <c r="J78" s="1152"/>
      <c r="K78" s="1152"/>
      <c r="L78" s="1152">
        <v>0</v>
      </c>
      <c r="M78" s="1372">
        <f>SUM(G78:K78)</f>
        <v>0</v>
      </c>
      <c r="N78" s="3687"/>
    </row>
    <row r="79" spans="1:15" ht="12.75" hidden="1" thickBot="1">
      <c r="A79" s="3721"/>
      <c r="B79" s="1754" t="s">
        <v>17</v>
      </c>
      <c r="C79" s="3694"/>
      <c r="D79" s="1143">
        <f>+D80</f>
        <v>0</v>
      </c>
      <c r="E79" s="1143">
        <f t="shared" ref="E79:K79" si="58">+E80</f>
        <v>0</v>
      </c>
      <c r="F79" s="1143">
        <f t="shared" si="58"/>
        <v>0</v>
      </c>
      <c r="G79" s="1143">
        <f t="shared" si="58"/>
        <v>0</v>
      </c>
      <c r="H79" s="1143">
        <f t="shared" si="58"/>
        <v>0</v>
      </c>
      <c r="I79" s="1143">
        <f t="shared" si="58"/>
        <v>0</v>
      </c>
      <c r="J79" s="1143">
        <f t="shared" si="58"/>
        <v>0</v>
      </c>
      <c r="K79" s="1143">
        <f t="shared" si="58"/>
        <v>0</v>
      </c>
      <c r="L79" s="1143">
        <f>+L80</f>
        <v>0</v>
      </c>
      <c r="M79" s="1123">
        <f>+M80</f>
        <v>0</v>
      </c>
      <c r="N79" s="3687"/>
    </row>
    <row r="80" spans="1:15" ht="12.75" hidden="1" thickBot="1">
      <c r="A80" s="3721"/>
      <c r="B80" s="1165" t="s">
        <v>19</v>
      </c>
      <c r="C80" s="3695"/>
      <c r="D80" s="1152">
        <f>E80+L80+F80+G80+H80+I80+J80+K80</f>
        <v>0</v>
      </c>
      <c r="E80" s="1152">
        <v>0</v>
      </c>
      <c r="F80" s="1152"/>
      <c r="G80" s="1152"/>
      <c r="H80" s="1152"/>
      <c r="I80" s="1152"/>
      <c r="J80" s="1152"/>
      <c r="K80" s="1152"/>
      <c r="L80" s="1152">
        <v>0</v>
      </c>
      <c r="M80" s="1372">
        <f>SUM(G80:K80)</f>
        <v>0</v>
      </c>
      <c r="N80" s="3687"/>
    </row>
    <row r="81" spans="1:26" ht="12.75" hidden="1" customHeight="1">
      <c r="A81" s="3721"/>
      <c r="B81" s="1299" t="s">
        <v>20</v>
      </c>
      <c r="C81" s="1300"/>
      <c r="D81" s="1379">
        <f>+D82+D84</f>
        <v>0</v>
      </c>
      <c r="E81" s="1379">
        <f t="shared" ref="E81:K81" si="59">+E82+E84</f>
        <v>0</v>
      </c>
      <c r="F81" s="1379">
        <f t="shared" si="59"/>
        <v>0</v>
      </c>
      <c r="G81" s="1379">
        <f t="shared" si="59"/>
        <v>0</v>
      </c>
      <c r="H81" s="1379">
        <f t="shared" si="59"/>
        <v>0</v>
      </c>
      <c r="I81" s="1379">
        <f t="shared" si="59"/>
        <v>0</v>
      </c>
      <c r="J81" s="1379">
        <f t="shared" si="59"/>
        <v>0</v>
      </c>
      <c r="K81" s="1379">
        <f t="shared" si="59"/>
        <v>0</v>
      </c>
      <c r="L81" s="1379">
        <f>+L82+L84</f>
        <v>0</v>
      </c>
      <c r="M81" s="3690" t="s">
        <v>52</v>
      </c>
      <c r="N81" s="3687"/>
    </row>
    <row r="82" spans="1:26" ht="12.75" hidden="1" thickBot="1">
      <c r="A82" s="3721"/>
      <c r="B82" s="1226" t="s">
        <v>22</v>
      </c>
      <c r="C82" s="3693" t="s">
        <v>138</v>
      </c>
      <c r="D82" s="1853">
        <f>+D83</f>
        <v>0</v>
      </c>
      <c r="E82" s="1853">
        <f t="shared" ref="E82:K82" si="60">+E83</f>
        <v>0</v>
      </c>
      <c r="F82" s="1853">
        <f t="shared" si="60"/>
        <v>0</v>
      </c>
      <c r="G82" s="1853">
        <f t="shared" si="60"/>
        <v>0</v>
      </c>
      <c r="H82" s="1853">
        <f t="shared" si="60"/>
        <v>0</v>
      </c>
      <c r="I82" s="1853">
        <f t="shared" si="60"/>
        <v>0</v>
      </c>
      <c r="J82" s="1853">
        <f t="shared" si="60"/>
        <v>0</v>
      </c>
      <c r="K82" s="1853">
        <f t="shared" si="60"/>
        <v>0</v>
      </c>
      <c r="L82" s="1853">
        <f>+L83</f>
        <v>0</v>
      </c>
      <c r="M82" s="3691"/>
      <c r="N82" s="3688"/>
    </row>
    <row r="83" spans="1:26" ht="12.75" hidden="1" thickBot="1">
      <c r="A83" s="3721"/>
      <c r="B83" s="150" t="s">
        <v>12</v>
      </c>
      <c r="C83" s="3694"/>
      <c r="D83" s="1152">
        <f>E83+L83+F83+G83+H83+I83+J83+K83</f>
        <v>0</v>
      </c>
      <c r="E83" s="1632">
        <v>0</v>
      </c>
      <c r="F83" s="3081"/>
      <c r="G83" s="3081"/>
      <c r="H83" s="3081"/>
      <c r="I83" s="3081"/>
      <c r="J83" s="3081"/>
      <c r="K83" s="3081"/>
      <c r="L83" s="3081">
        <v>0</v>
      </c>
      <c r="M83" s="3691"/>
      <c r="N83" s="3687"/>
    </row>
    <row r="84" spans="1:26" ht="12" hidden="1" customHeight="1">
      <c r="A84" s="3721"/>
      <c r="B84" s="1135" t="s">
        <v>17</v>
      </c>
      <c r="C84" s="3694"/>
      <c r="D84" s="3082">
        <f>+D85</f>
        <v>0</v>
      </c>
      <c r="E84" s="3082">
        <f t="shared" ref="E84:K84" si="61">+E85</f>
        <v>0</v>
      </c>
      <c r="F84" s="3082">
        <f t="shared" si="61"/>
        <v>0</v>
      </c>
      <c r="G84" s="3082">
        <f t="shared" si="61"/>
        <v>0</v>
      </c>
      <c r="H84" s="3082">
        <f t="shared" si="61"/>
        <v>0</v>
      </c>
      <c r="I84" s="3082">
        <f t="shared" si="61"/>
        <v>0</v>
      </c>
      <c r="J84" s="3082">
        <f t="shared" si="61"/>
        <v>0</v>
      </c>
      <c r="K84" s="3082">
        <f t="shared" si="61"/>
        <v>0</v>
      </c>
      <c r="L84" s="3082">
        <f>+L85</f>
        <v>0</v>
      </c>
      <c r="M84" s="3691"/>
      <c r="N84" s="3687"/>
    </row>
    <row r="85" spans="1:26" ht="12.75" hidden="1" thickBot="1">
      <c r="A85" s="3722"/>
      <c r="B85" s="297" t="s">
        <v>19</v>
      </c>
      <c r="C85" s="3696"/>
      <c r="D85" s="1405">
        <f>E85+L85+F85+G85+H85+I85+J85+K85</f>
        <v>0</v>
      </c>
      <c r="E85" s="1854">
        <v>0</v>
      </c>
      <c r="F85" s="1855"/>
      <c r="G85" s="1855"/>
      <c r="H85" s="1855"/>
      <c r="I85" s="1855"/>
      <c r="J85" s="1855"/>
      <c r="K85" s="1855"/>
      <c r="L85" s="1855">
        <v>0</v>
      </c>
      <c r="M85" s="3692"/>
      <c r="N85" s="3689"/>
    </row>
    <row r="86" spans="1:26" s="263" customFormat="1" ht="30" customHeight="1" thickBot="1">
      <c r="A86" s="165" t="s">
        <v>470</v>
      </c>
      <c r="B86" s="166"/>
      <c r="C86" s="166"/>
      <c r="D86" s="166"/>
      <c r="E86" s="1110"/>
      <c r="F86" s="166"/>
      <c r="G86" s="166"/>
      <c r="H86" s="166"/>
      <c r="I86" s="166"/>
      <c r="J86" s="166"/>
      <c r="K86" s="166"/>
      <c r="L86" s="166"/>
      <c r="M86" s="772"/>
      <c r="N86" s="3083"/>
    </row>
    <row r="87" spans="1:26" s="1200" customFormat="1" ht="12.75">
      <c r="A87" s="1054"/>
      <c r="B87" s="180" t="s">
        <v>67</v>
      </c>
      <c r="C87" s="181"/>
      <c r="D87" s="2347">
        <f>D88+D89</f>
        <v>1140000</v>
      </c>
      <c r="E87" s="182">
        <f t="shared" ref="E87:K87" si="62">E88+E89</f>
        <v>0</v>
      </c>
      <c r="F87" s="182">
        <f t="shared" si="62"/>
        <v>22500</v>
      </c>
      <c r="G87" s="182">
        <f t="shared" si="62"/>
        <v>290000</v>
      </c>
      <c r="H87" s="182">
        <f t="shared" si="62"/>
        <v>535000</v>
      </c>
      <c r="I87" s="182">
        <f t="shared" si="62"/>
        <v>135000</v>
      </c>
      <c r="J87" s="182">
        <f t="shared" si="62"/>
        <v>112500</v>
      </c>
      <c r="K87" s="182">
        <f t="shared" si="62"/>
        <v>45000</v>
      </c>
      <c r="L87" s="182">
        <f>L88+L89</f>
        <v>0</v>
      </c>
      <c r="M87" s="2348">
        <f>M88+M89</f>
        <v>1117500</v>
      </c>
      <c r="N87" s="3589"/>
      <c r="O87" s="266"/>
    </row>
    <row r="88" spans="1:26" s="1200" customFormat="1" ht="13.5" customHeight="1">
      <c r="A88" s="163"/>
      <c r="B88" s="183" t="s">
        <v>68</v>
      </c>
      <c r="C88" s="184"/>
      <c r="D88" s="2349">
        <f>D95</f>
        <v>540000</v>
      </c>
      <c r="E88" s="193">
        <f t="shared" ref="E88:K88" si="63">E95</f>
        <v>0</v>
      </c>
      <c r="F88" s="193">
        <f t="shared" si="63"/>
        <v>22500</v>
      </c>
      <c r="G88" s="193">
        <f t="shared" si="63"/>
        <v>90000</v>
      </c>
      <c r="H88" s="193">
        <f t="shared" si="63"/>
        <v>135000</v>
      </c>
      <c r="I88" s="193">
        <f t="shared" si="63"/>
        <v>135000</v>
      </c>
      <c r="J88" s="193">
        <f t="shared" si="63"/>
        <v>112500</v>
      </c>
      <c r="K88" s="193">
        <f t="shared" si="63"/>
        <v>45000</v>
      </c>
      <c r="L88" s="193">
        <f>L95</f>
        <v>0</v>
      </c>
      <c r="M88" s="2048">
        <f>SUM(G88:K88)</f>
        <v>517500</v>
      </c>
      <c r="N88" s="3759"/>
    </row>
    <row r="89" spans="1:26" s="1200" customFormat="1" ht="13.5" customHeight="1" thickBot="1">
      <c r="A89" s="163"/>
      <c r="B89" s="194" t="s">
        <v>8</v>
      </c>
      <c r="C89" s="184"/>
      <c r="D89" s="193">
        <f t="shared" ref="D89:K89" si="64">D99</f>
        <v>600000</v>
      </c>
      <c r="E89" s="185">
        <f t="shared" si="64"/>
        <v>0</v>
      </c>
      <c r="F89" s="308">
        <f t="shared" si="64"/>
        <v>0</v>
      </c>
      <c r="G89" s="308">
        <f t="shared" si="64"/>
        <v>200000</v>
      </c>
      <c r="H89" s="308">
        <f t="shared" si="64"/>
        <v>400000</v>
      </c>
      <c r="I89" s="308">
        <f t="shared" si="64"/>
        <v>0</v>
      </c>
      <c r="J89" s="308">
        <f t="shared" si="64"/>
        <v>0</v>
      </c>
      <c r="K89" s="308">
        <f t="shared" si="64"/>
        <v>0</v>
      </c>
      <c r="L89" s="185">
        <v>0</v>
      </c>
      <c r="M89" s="1482">
        <f>SUM(G89:K89)</f>
        <v>600000</v>
      </c>
      <c r="N89" s="3759"/>
    </row>
    <row r="90" spans="1:26" s="312" customFormat="1" ht="13.5" customHeight="1">
      <c r="A90" s="309"/>
      <c r="B90" s="155" t="s">
        <v>9</v>
      </c>
      <c r="C90" s="156"/>
      <c r="D90" s="130">
        <f>D91</f>
        <v>540000</v>
      </c>
      <c r="E90" s="130">
        <f t="shared" ref="E90:K91" si="65">E91</f>
        <v>0</v>
      </c>
      <c r="F90" s="130">
        <f t="shared" si="65"/>
        <v>22500</v>
      </c>
      <c r="G90" s="130">
        <f t="shared" si="65"/>
        <v>90000</v>
      </c>
      <c r="H90" s="130">
        <f t="shared" si="65"/>
        <v>135000</v>
      </c>
      <c r="I90" s="130">
        <f t="shared" si="65"/>
        <v>135000</v>
      </c>
      <c r="J90" s="130">
        <f t="shared" si="65"/>
        <v>112500</v>
      </c>
      <c r="K90" s="130">
        <f t="shared" si="65"/>
        <v>45000</v>
      </c>
      <c r="L90" s="130">
        <f>L91</f>
        <v>0</v>
      </c>
      <c r="M90" s="2072">
        <f>M91</f>
        <v>517500</v>
      </c>
      <c r="N90" s="3759"/>
      <c r="O90" s="311"/>
      <c r="P90" s="311"/>
    </row>
    <row r="91" spans="1:26" s="315" customFormat="1" ht="13.5" customHeight="1">
      <c r="A91" s="169"/>
      <c r="B91" s="131" t="s">
        <v>10</v>
      </c>
      <c r="C91" s="3741" t="s">
        <v>52</v>
      </c>
      <c r="D91" s="1237">
        <f>D92</f>
        <v>540000</v>
      </c>
      <c r="E91" s="1237">
        <f t="shared" si="65"/>
        <v>0</v>
      </c>
      <c r="F91" s="1237">
        <f t="shared" si="65"/>
        <v>22500</v>
      </c>
      <c r="G91" s="1237">
        <f t="shared" si="65"/>
        <v>90000</v>
      </c>
      <c r="H91" s="1237">
        <f t="shared" si="65"/>
        <v>135000</v>
      </c>
      <c r="I91" s="1237">
        <f t="shared" si="65"/>
        <v>135000</v>
      </c>
      <c r="J91" s="1237">
        <f t="shared" si="65"/>
        <v>112500</v>
      </c>
      <c r="K91" s="1237">
        <f t="shared" si="65"/>
        <v>45000</v>
      </c>
      <c r="L91" s="1237">
        <f>L92</f>
        <v>0</v>
      </c>
      <c r="M91" s="2161">
        <f>+M92</f>
        <v>517500</v>
      </c>
      <c r="N91" s="3759"/>
      <c r="O91" s="313"/>
      <c r="P91" s="314"/>
      <c r="Q91" s="313"/>
      <c r="R91" s="313"/>
      <c r="S91" s="313"/>
      <c r="T91" s="313"/>
      <c r="U91" s="313"/>
      <c r="V91" s="313"/>
      <c r="W91" s="313"/>
      <c r="X91" s="313"/>
      <c r="Y91" s="313"/>
      <c r="Z91" s="313"/>
    </row>
    <row r="92" spans="1:26" s="277" customFormat="1" ht="12.75">
      <c r="A92" s="169"/>
      <c r="B92" s="134" t="s">
        <v>11</v>
      </c>
      <c r="C92" s="3594"/>
      <c r="D92" s="1239">
        <f>D97</f>
        <v>540000</v>
      </c>
      <c r="E92" s="1239">
        <f t="shared" ref="E92:K93" si="66">E97</f>
        <v>0</v>
      </c>
      <c r="F92" s="1239">
        <f t="shared" si="66"/>
        <v>22500</v>
      </c>
      <c r="G92" s="1239">
        <f t="shared" si="66"/>
        <v>90000</v>
      </c>
      <c r="H92" s="1239">
        <f t="shared" si="66"/>
        <v>135000</v>
      </c>
      <c r="I92" s="1239">
        <f t="shared" si="66"/>
        <v>135000</v>
      </c>
      <c r="J92" s="1239">
        <f t="shared" si="66"/>
        <v>112500</v>
      </c>
      <c r="K92" s="1239">
        <f t="shared" si="66"/>
        <v>45000</v>
      </c>
      <c r="L92" s="1239">
        <f>L97</f>
        <v>0</v>
      </c>
      <c r="M92" s="2952">
        <f>SUM(G92:K92)</f>
        <v>517500</v>
      </c>
      <c r="N92" s="3759"/>
      <c r="O92" s="266"/>
    </row>
    <row r="93" spans="1:26" s="277" customFormat="1" ht="13.5" thickBot="1">
      <c r="A93" s="3046"/>
      <c r="B93" s="3047" t="s">
        <v>127</v>
      </c>
      <c r="C93" s="2990"/>
      <c r="D93" s="1977">
        <f>D101</f>
        <v>600000</v>
      </c>
      <c r="E93" s="1977">
        <f t="shared" si="66"/>
        <v>0</v>
      </c>
      <c r="F93" s="1977">
        <f t="shared" si="66"/>
        <v>0</v>
      </c>
      <c r="G93" s="1977">
        <f>G101</f>
        <v>200000</v>
      </c>
      <c r="H93" s="1977">
        <f>H101</f>
        <v>400000</v>
      </c>
      <c r="I93" s="1977">
        <f t="shared" si="66"/>
        <v>0</v>
      </c>
      <c r="J93" s="1977">
        <f t="shared" si="66"/>
        <v>0</v>
      </c>
      <c r="K93" s="1977">
        <f t="shared" si="66"/>
        <v>0</v>
      </c>
      <c r="L93" s="1977">
        <f>L98</f>
        <v>0</v>
      </c>
      <c r="M93" s="3048">
        <f>SUM(G93:K93)</f>
        <v>600000</v>
      </c>
      <c r="N93" s="3590"/>
      <c r="O93" s="266"/>
    </row>
    <row r="94" spans="1:26" ht="36.75" thickBot="1">
      <c r="A94" s="3595" t="s">
        <v>54</v>
      </c>
      <c r="B94" s="317" t="s">
        <v>472</v>
      </c>
      <c r="C94" s="318" t="s">
        <v>99</v>
      </c>
      <c r="D94" s="327"/>
      <c r="E94" s="326"/>
      <c r="F94" s="326"/>
      <c r="G94" s="326"/>
      <c r="H94" s="326"/>
      <c r="I94" s="326"/>
      <c r="J94" s="326"/>
      <c r="K94" s="1109"/>
      <c r="L94" s="326"/>
      <c r="M94" s="301"/>
      <c r="N94" s="3596" t="s">
        <v>162</v>
      </c>
      <c r="O94" s="1799"/>
    </row>
    <row r="95" spans="1:26" ht="12.75" thickBot="1">
      <c r="A95" s="3595"/>
      <c r="B95" s="68" t="s">
        <v>9</v>
      </c>
      <c r="C95" s="3049"/>
      <c r="D95" s="1132">
        <f>+D96</f>
        <v>540000</v>
      </c>
      <c r="E95" s="1132">
        <f t="shared" ref="E95:M96" si="67">+E96</f>
        <v>0</v>
      </c>
      <c r="F95" s="1132">
        <f t="shared" si="67"/>
        <v>22500</v>
      </c>
      <c r="G95" s="1132">
        <f t="shared" si="67"/>
        <v>90000</v>
      </c>
      <c r="H95" s="1132">
        <f t="shared" si="67"/>
        <v>135000</v>
      </c>
      <c r="I95" s="1132">
        <f t="shared" si="67"/>
        <v>135000</v>
      </c>
      <c r="J95" s="1132">
        <f t="shared" si="67"/>
        <v>112500</v>
      </c>
      <c r="K95" s="1132">
        <f t="shared" si="67"/>
        <v>45000</v>
      </c>
      <c r="L95" s="1132">
        <f>+L96</f>
        <v>0</v>
      </c>
      <c r="M95" s="3050">
        <f t="shared" si="67"/>
        <v>517500</v>
      </c>
      <c r="N95" s="3596"/>
      <c r="O95" s="1799"/>
    </row>
    <row r="96" spans="1:26" ht="12" customHeight="1" thickBot="1">
      <c r="A96" s="3595"/>
      <c r="B96" s="1806" t="s">
        <v>22</v>
      </c>
      <c r="C96" s="3599" t="s">
        <v>471</v>
      </c>
      <c r="D96" s="1242">
        <f>+D97</f>
        <v>540000</v>
      </c>
      <c r="E96" s="1639">
        <f t="shared" si="67"/>
        <v>0</v>
      </c>
      <c r="F96" s="1140">
        <f t="shared" si="67"/>
        <v>22500</v>
      </c>
      <c r="G96" s="1140">
        <f t="shared" si="67"/>
        <v>90000</v>
      </c>
      <c r="H96" s="1140">
        <f t="shared" si="67"/>
        <v>135000</v>
      </c>
      <c r="I96" s="1140">
        <f t="shared" si="67"/>
        <v>135000</v>
      </c>
      <c r="J96" s="1140">
        <f t="shared" si="67"/>
        <v>112500</v>
      </c>
      <c r="K96" s="1140">
        <f t="shared" si="67"/>
        <v>45000</v>
      </c>
      <c r="L96" s="1640">
        <f>+L97</f>
        <v>0</v>
      </c>
      <c r="M96" s="3051">
        <f t="shared" si="67"/>
        <v>517500</v>
      </c>
      <c r="N96" s="3597"/>
      <c r="O96" s="1799"/>
    </row>
    <row r="97" spans="1:108" ht="12.75" thickBot="1">
      <c r="A97" s="3595"/>
      <c r="B97" s="1008" t="s">
        <v>11</v>
      </c>
      <c r="C97" s="3600"/>
      <c r="D97" s="1405">
        <f>E97+L97+F97+G97+H97+I97+J97+K97</f>
        <v>540000</v>
      </c>
      <c r="E97" s="3052">
        <v>0</v>
      </c>
      <c r="F97" s="2440">
        <v>22500</v>
      </c>
      <c r="G97" s="2440">
        <v>90000</v>
      </c>
      <c r="H97" s="2440">
        <v>135000</v>
      </c>
      <c r="I97" s="2440">
        <v>135000</v>
      </c>
      <c r="J97" s="2440">
        <v>112500</v>
      </c>
      <c r="K97" s="2440">
        <v>45000</v>
      </c>
      <c r="L97" s="3053">
        <v>0</v>
      </c>
      <c r="M97" s="2167">
        <f>SUM(G97:K97)</f>
        <v>517500</v>
      </c>
      <c r="N97" s="3598"/>
      <c r="O97" s="1799"/>
    </row>
    <row r="98" spans="1:108" ht="39" customHeight="1" thickBot="1">
      <c r="A98" s="3595" t="s">
        <v>55</v>
      </c>
      <c r="B98" s="317" t="s">
        <v>560</v>
      </c>
      <c r="C98" s="318" t="s">
        <v>72</v>
      </c>
      <c r="D98" s="327"/>
      <c r="E98" s="326"/>
      <c r="F98" s="326"/>
      <c r="G98" s="326"/>
      <c r="H98" s="326"/>
      <c r="I98" s="326"/>
      <c r="J98" s="326"/>
      <c r="K98" s="1109"/>
      <c r="L98" s="326"/>
      <c r="M98" s="301"/>
      <c r="N98" s="3596" t="s">
        <v>162</v>
      </c>
      <c r="O98" s="1799"/>
    </row>
    <row r="99" spans="1:108" ht="12.75" thickBot="1">
      <c r="A99" s="3595"/>
      <c r="B99" s="68" t="s">
        <v>9</v>
      </c>
      <c r="C99" s="3049"/>
      <c r="D99" s="1132">
        <f>+D100</f>
        <v>600000</v>
      </c>
      <c r="E99" s="1132">
        <f t="shared" ref="E99:M100" si="68">+E100</f>
        <v>0</v>
      </c>
      <c r="F99" s="1132">
        <f t="shared" si="68"/>
        <v>0</v>
      </c>
      <c r="G99" s="1132">
        <f t="shared" si="68"/>
        <v>200000</v>
      </c>
      <c r="H99" s="1132">
        <f t="shared" si="68"/>
        <v>400000</v>
      </c>
      <c r="I99" s="1132">
        <f t="shared" si="68"/>
        <v>0</v>
      </c>
      <c r="J99" s="1132">
        <f t="shared" si="68"/>
        <v>0</v>
      </c>
      <c r="K99" s="1132">
        <f t="shared" si="68"/>
        <v>0</v>
      </c>
      <c r="L99" s="1132">
        <f>+L100</f>
        <v>0</v>
      </c>
      <c r="M99" s="3050">
        <f t="shared" si="68"/>
        <v>600000</v>
      </c>
      <c r="N99" s="3596"/>
      <c r="O99" s="1799"/>
    </row>
    <row r="100" spans="1:108" ht="12.75" thickBot="1">
      <c r="A100" s="3595"/>
      <c r="B100" s="1806" t="s">
        <v>22</v>
      </c>
      <c r="C100" s="3599" t="s">
        <v>471</v>
      </c>
      <c r="D100" s="1242">
        <f>+D101</f>
        <v>600000</v>
      </c>
      <c r="E100" s="1639">
        <f t="shared" si="68"/>
        <v>0</v>
      </c>
      <c r="F100" s="1140">
        <v>0</v>
      </c>
      <c r="G100" s="1140">
        <f t="shared" si="68"/>
        <v>200000</v>
      </c>
      <c r="H100" s="1140">
        <f t="shared" si="68"/>
        <v>400000</v>
      </c>
      <c r="I100" s="1140">
        <f t="shared" si="68"/>
        <v>0</v>
      </c>
      <c r="J100" s="1140">
        <f t="shared" si="68"/>
        <v>0</v>
      </c>
      <c r="K100" s="1140">
        <f t="shared" si="68"/>
        <v>0</v>
      </c>
      <c r="L100" s="1640">
        <f>+L101</f>
        <v>0</v>
      </c>
      <c r="M100" s="3051">
        <f t="shared" si="68"/>
        <v>600000</v>
      </c>
      <c r="N100" s="3597"/>
      <c r="O100" s="1799"/>
    </row>
    <row r="101" spans="1:108" ht="12.75" thickBot="1">
      <c r="A101" s="3595"/>
      <c r="B101" s="1008" t="s">
        <v>127</v>
      </c>
      <c r="C101" s="3600"/>
      <c r="D101" s="1405">
        <f>E101+L101+F101+G101+H101+I101+J101+K101</f>
        <v>600000</v>
      </c>
      <c r="E101" s="3052">
        <v>0</v>
      </c>
      <c r="F101" s="2440">
        <v>0</v>
      </c>
      <c r="G101" s="2440">
        <v>200000</v>
      </c>
      <c r="H101" s="2440">
        <v>400000</v>
      </c>
      <c r="I101" s="2440">
        <v>0</v>
      </c>
      <c r="J101" s="2440">
        <v>0</v>
      </c>
      <c r="K101" s="2440">
        <v>0</v>
      </c>
      <c r="L101" s="3053">
        <v>0</v>
      </c>
      <c r="M101" s="2360">
        <f>SUM(G101:K101)</f>
        <v>600000</v>
      </c>
      <c r="N101" s="3598"/>
      <c r="O101" s="1799"/>
    </row>
    <row r="102" spans="1:108" s="1304" customFormat="1" ht="26.25" hidden="1" customHeight="1" thickBot="1">
      <c r="A102" s="3740" t="s">
        <v>125</v>
      </c>
      <c r="B102" s="3707"/>
      <c r="C102" s="3707"/>
      <c r="D102" s="3707"/>
      <c r="E102" s="3707"/>
      <c r="F102" s="3707"/>
      <c r="G102" s="3707"/>
      <c r="H102" s="3707"/>
      <c r="I102" s="3707"/>
      <c r="J102" s="3707"/>
      <c r="K102" s="3707"/>
      <c r="L102" s="2704"/>
      <c r="M102" s="2158"/>
      <c r="N102" s="3084"/>
      <c r="O102" s="1303"/>
      <c r="P102" s="1303"/>
      <c r="Q102" s="1303"/>
      <c r="R102" s="1303"/>
      <c r="S102" s="1303"/>
      <c r="T102" s="1303"/>
      <c r="U102" s="1303"/>
      <c r="V102" s="1303"/>
      <c r="W102" s="1303"/>
      <c r="X102" s="1303"/>
      <c r="Y102" s="1303"/>
      <c r="Z102" s="1303"/>
      <c r="AA102" s="1303"/>
      <c r="AB102" s="1303"/>
      <c r="AC102" s="1303"/>
      <c r="AD102" s="1303"/>
      <c r="AE102" s="1303"/>
      <c r="AF102" s="1303"/>
      <c r="AG102" s="1303"/>
      <c r="AH102" s="1303"/>
      <c r="AI102" s="1303"/>
      <c r="AJ102" s="1303"/>
      <c r="AK102" s="1303"/>
      <c r="AL102" s="1303"/>
      <c r="AM102" s="1303"/>
      <c r="AN102" s="1303"/>
      <c r="AO102" s="1303"/>
      <c r="AP102" s="1303"/>
      <c r="AQ102" s="1303"/>
      <c r="AR102" s="1303"/>
      <c r="AS102" s="1303"/>
      <c r="AT102" s="1303"/>
      <c r="AU102" s="1303"/>
      <c r="AV102" s="1303"/>
      <c r="AW102" s="1303"/>
      <c r="AX102" s="1303"/>
      <c r="AY102" s="1303"/>
      <c r="AZ102" s="1303"/>
      <c r="BA102" s="1303"/>
      <c r="BB102" s="1303"/>
      <c r="BC102" s="1303"/>
      <c r="BD102" s="1303"/>
      <c r="BE102" s="1303"/>
      <c r="BF102" s="1303"/>
      <c r="BG102" s="1303"/>
      <c r="BH102" s="1303"/>
      <c r="BI102" s="1303"/>
      <c r="BJ102" s="1303"/>
      <c r="BK102" s="1303"/>
      <c r="BL102" s="1303"/>
      <c r="BM102" s="1303"/>
      <c r="BN102" s="1303"/>
      <c r="BO102" s="1303"/>
      <c r="BP102" s="1303"/>
      <c r="BQ102" s="1303"/>
      <c r="BR102" s="1303"/>
      <c r="BS102" s="1303"/>
      <c r="BT102" s="1303"/>
      <c r="BU102" s="1303"/>
      <c r="BV102" s="1303"/>
      <c r="BW102" s="1303"/>
      <c r="BX102" s="1303"/>
      <c r="BY102" s="1303"/>
      <c r="BZ102" s="1303"/>
      <c r="CA102" s="1303"/>
      <c r="CB102" s="1303"/>
      <c r="CC102" s="1303"/>
      <c r="CD102" s="1303"/>
      <c r="CE102" s="1303"/>
      <c r="CF102" s="1303"/>
      <c r="CG102" s="1303"/>
      <c r="CH102" s="1303"/>
      <c r="CI102" s="1303"/>
      <c r="CJ102" s="1303"/>
      <c r="CK102" s="1303"/>
      <c r="CL102" s="1303"/>
      <c r="CM102" s="1303"/>
      <c r="CN102" s="1303"/>
      <c r="CO102" s="1303"/>
      <c r="CP102" s="1303"/>
      <c r="CQ102" s="1303"/>
      <c r="CR102" s="1303"/>
      <c r="CS102" s="1303"/>
      <c r="CT102" s="1303"/>
      <c r="CU102" s="1303"/>
      <c r="CV102" s="1303"/>
      <c r="CW102" s="1303"/>
      <c r="CX102" s="1303"/>
      <c r="CY102" s="1303"/>
      <c r="CZ102" s="1303"/>
      <c r="DA102" s="1303"/>
      <c r="DB102" s="1303"/>
      <c r="DC102" s="1303"/>
      <c r="DD102" s="1303"/>
    </row>
    <row r="103" spans="1:108" s="2974" customFormat="1" ht="14.25" hidden="1" customHeight="1" thickBot="1">
      <c r="A103" s="2035"/>
      <c r="B103" s="2125" t="s">
        <v>67</v>
      </c>
      <c r="C103" s="2042"/>
      <c r="D103" s="2134">
        <f>+D104+D105</f>
        <v>0</v>
      </c>
      <c r="E103" s="2134">
        <f t="shared" ref="E103:K103" si="69">+E104+E105</f>
        <v>0</v>
      </c>
      <c r="F103" s="2134">
        <f t="shared" si="69"/>
        <v>0</v>
      </c>
      <c r="G103" s="2134">
        <f t="shared" si="69"/>
        <v>0</v>
      </c>
      <c r="H103" s="2134">
        <f t="shared" si="69"/>
        <v>0</v>
      </c>
      <c r="I103" s="2134">
        <f t="shared" si="69"/>
        <v>0</v>
      </c>
      <c r="J103" s="2134">
        <f t="shared" si="69"/>
        <v>0</v>
      </c>
      <c r="K103" s="2134">
        <f t="shared" si="69"/>
        <v>0</v>
      </c>
      <c r="L103" s="2705"/>
      <c r="M103" s="2159">
        <f>+M104+M105</f>
        <v>0</v>
      </c>
      <c r="N103" s="3735"/>
    </row>
    <row r="104" spans="1:108" s="2974" customFormat="1" ht="13.5" hidden="1" customHeight="1" thickBot="1">
      <c r="A104" s="2035"/>
      <c r="B104" s="2120" t="s">
        <v>68</v>
      </c>
      <c r="C104" s="2042"/>
      <c r="D104" s="2129">
        <v>0</v>
      </c>
      <c r="E104" s="2129">
        <v>0</v>
      </c>
      <c r="F104" s="2129">
        <v>0</v>
      </c>
      <c r="G104" s="2129">
        <v>0</v>
      </c>
      <c r="H104" s="2129">
        <v>0</v>
      </c>
      <c r="I104" s="2129">
        <v>0</v>
      </c>
      <c r="J104" s="2129">
        <v>0</v>
      </c>
      <c r="K104" s="2129">
        <v>0</v>
      </c>
      <c r="L104" s="2706"/>
      <c r="M104" s="2068">
        <f>SUM(F104:G104)</f>
        <v>0</v>
      </c>
      <c r="N104" s="3736"/>
    </row>
    <row r="105" spans="1:108" s="2974" customFormat="1" ht="13.5" hidden="1" customHeight="1">
      <c r="A105" s="1280"/>
      <c r="B105" s="2075" t="s">
        <v>8</v>
      </c>
      <c r="C105" s="2076"/>
      <c r="D105" s="2077">
        <f>+D122+D126+D131+D143</f>
        <v>0</v>
      </c>
      <c r="E105" s="2077">
        <f t="shared" ref="E105" si="70">+E122+E126+E131+E143</f>
        <v>0</v>
      </c>
      <c r="F105" s="2077">
        <f t="shared" ref="F105:K105" si="71">+F122+F126+F131+F143</f>
        <v>0</v>
      </c>
      <c r="G105" s="2077">
        <f t="shared" si="71"/>
        <v>0</v>
      </c>
      <c r="H105" s="2077">
        <f t="shared" si="71"/>
        <v>0</v>
      </c>
      <c r="I105" s="2077">
        <f t="shared" si="71"/>
        <v>0</v>
      </c>
      <c r="J105" s="2077">
        <f t="shared" si="71"/>
        <v>0</v>
      </c>
      <c r="K105" s="2077">
        <f t="shared" si="71"/>
        <v>0</v>
      </c>
      <c r="L105" s="2707"/>
      <c r="M105" s="2078">
        <f>SUM(F105:G105)</f>
        <v>0</v>
      </c>
      <c r="N105" s="3737"/>
    </row>
    <row r="106" spans="1:108" s="1304" customFormat="1" ht="13.5" hidden="1" customHeight="1">
      <c r="A106" s="3085"/>
      <c r="B106" s="2099" t="s">
        <v>9</v>
      </c>
      <c r="C106" s="2099"/>
      <c r="D106" s="2100">
        <f>D107+D111</f>
        <v>0</v>
      </c>
      <c r="E106" s="2100">
        <f>+E107+E111</f>
        <v>0</v>
      </c>
      <c r="F106" s="2100">
        <f t="shared" ref="F106:K106" si="72">+F107+F111</f>
        <v>0</v>
      </c>
      <c r="G106" s="2100">
        <f t="shared" si="72"/>
        <v>0</v>
      </c>
      <c r="H106" s="2100">
        <f t="shared" si="72"/>
        <v>0</v>
      </c>
      <c r="I106" s="2100">
        <f t="shared" si="72"/>
        <v>0</v>
      </c>
      <c r="J106" s="2100">
        <f t="shared" si="72"/>
        <v>0</v>
      </c>
      <c r="K106" s="2100">
        <f t="shared" si="72"/>
        <v>0</v>
      </c>
      <c r="L106" s="2100"/>
      <c r="M106" s="2101">
        <f>+M107</f>
        <v>0</v>
      </c>
      <c r="N106" s="3738"/>
      <c r="O106" s="1303"/>
      <c r="P106" s="1303"/>
      <c r="Q106" s="1303"/>
      <c r="R106" s="1303"/>
      <c r="S106" s="1303"/>
      <c r="T106" s="1303"/>
      <c r="U106" s="1303"/>
      <c r="V106" s="1303"/>
      <c r="W106" s="1303"/>
      <c r="X106" s="1303"/>
      <c r="Y106" s="1303"/>
      <c r="Z106" s="1303"/>
      <c r="AA106" s="1303"/>
      <c r="AB106" s="1303"/>
      <c r="AC106" s="1303"/>
      <c r="AD106" s="1303"/>
      <c r="AE106" s="1303"/>
      <c r="AF106" s="1303"/>
      <c r="AG106" s="1303"/>
      <c r="AH106" s="1303"/>
      <c r="AI106" s="1303"/>
      <c r="AJ106" s="1303"/>
      <c r="AK106" s="1303"/>
      <c r="AL106" s="1303"/>
      <c r="AM106" s="1303"/>
      <c r="AN106" s="1303"/>
      <c r="AO106" s="1303"/>
      <c r="AP106" s="1303"/>
      <c r="AQ106" s="1303"/>
      <c r="AR106" s="1303"/>
      <c r="AS106" s="1303"/>
      <c r="AT106" s="1303"/>
      <c r="AU106" s="1303"/>
      <c r="AV106" s="1303"/>
      <c r="AW106" s="1303"/>
      <c r="AX106" s="1303"/>
      <c r="AY106" s="1303"/>
      <c r="AZ106" s="1303"/>
      <c r="BA106" s="1303"/>
      <c r="BB106" s="1303"/>
      <c r="BC106" s="1303"/>
      <c r="BD106" s="1303"/>
      <c r="BE106" s="1303"/>
      <c r="BF106" s="1303"/>
      <c r="BG106" s="1303"/>
      <c r="BH106" s="1303"/>
      <c r="BI106" s="1303"/>
      <c r="BJ106" s="1303"/>
      <c r="BK106" s="1303"/>
      <c r="BL106" s="1303"/>
      <c r="BM106" s="1303"/>
      <c r="BN106" s="1303"/>
      <c r="BO106" s="1303"/>
      <c r="BP106" s="1303"/>
      <c r="BQ106" s="1303"/>
      <c r="BR106" s="1303"/>
      <c r="BS106" s="1303"/>
      <c r="BT106" s="1303"/>
      <c r="BU106" s="1303"/>
      <c r="BV106" s="1303"/>
      <c r="BW106" s="1303"/>
      <c r="BX106" s="1303"/>
      <c r="BY106" s="1303"/>
      <c r="BZ106" s="1303"/>
      <c r="CA106" s="1303"/>
      <c r="CB106" s="1303"/>
      <c r="CC106" s="1303"/>
      <c r="CD106" s="1303"/>
      <c r="CE106" s="1303"/>
      <c r="CF106" s="1303"/>
      <c r="CG106" s="1303"/>
      <c r="CH106" s="1303"/>
      <c r="CI106" s="1303"/>
      <c r="CJ106" s="1303"/>
      <c r="CK106" s="1303"/>
      <c r="CL106" s="1303"/>
      <c r="CM106" s="1303"/>
      <c r="CN106" s="1303"/>
      <c r="CO106" s="1303"/>
      <c r="CP106" s="1303"/>
      <c r="CQ106" s="1303"/>
      <c r="CR106" s="1303"/>
      <c r="CS106" s="1303"/>
      <c r="CT106" s="1303"/>
      <c r="CU106" s="1303"/>
      <c r="CV106" s="1303"/>
      <c r="CW106" s="1303"/>
      <c r="CX106" s="1303"/>
      <c r="CY106" s="1303"/>
      <c r="CZ106" s="1303"/>
      <c r="DA106" s="1303"/>
      <c r="DB106" s="1303"/>
      <c r="DC106" s="1303"/>
      <c r="DD106" s="1303"/>
    </row>
    <row r="107" spans="1:108" s="1304" customFormat="1" ht="13.5" hidden="1" customHeight="1">
      <c r="A107" s="3085"/>
      <c r="B107" s="2102" t="s">
        <v>10</v>
      </c>
      <c r="C107" s="2103"/>
      <c r="D107" s="2103">
        <f>+D108+D109+D110</f>
        <v>0</v>
      </c>
      <c r="E107" s="2103">
        <f t="shared" ref="E107:K107" si="73">+E108+E109+E110</f>
        <v>0</v>
      </c>
      <c r="F107" s="2103">
        <f t="shared" si="73"/>
        <v>0</v>
      </c>
      <c r="G107" s="2103">
        <f t="shared" si="73"/>
        <v>0</v>
      </c>
      <c r="H107" s="2103">
        <f t="shared" si="73"/>
        <v>0</v>
      </c>
      <c r="I107" s="2103">
        <f t="shared" si="73"/>
        <v>0</v>
      </c>
      <c r="J107" s="2103">
        <f t="shared" si="73"/>
        <v>0</v>
      </c>
      <c r="K107" s="2103">
        <f t="shared" si="73"/>
        <v>0</v>
      </c>
      <c r="L107" s="2103"/>
      <c r="M107" s="2104">
        <f>+M110+M109</f>
        <v>0</v>
      </c>
      <c r="N107" s="3738"/>
      <c r="O107" s="1303"/>
      <c r="P107" s="1303"/>
      <c r="Q107" s="1303"/>
      <c r="R107" s="1303"/>
      <c r="S107" s="1303"/>
      <c r="T107" s="1303"/>
      <c r="U107" s="1303"/>
      <c r="V107" s="1303"/>
      <c r="W107" s="1303"/>
      <c r="X107" s="1303"/>
      <c r="Y107" s="1303"/>
      <c r="Z107" s="1303"/>
      <c r="AA107" s="1303"/>
      <c r="AB107" s="1303"/>
      <c r="AC107" s="1303"/>
      <c r="AD107" s="1303"/>
      <c r="AE107" s="1303"/>
      <c r="AF107" s="1303"/>
      <c r="AG107" s="1303"/>
      <c r="AH107" s="1303"/>
      <c r="AI107" s="1303"/>
      <c r="AJ107" s="1303"/>
      <c r="AK107" s="1303"/>
      <c r="AL107" s="1303"/>
      <c r="AM107" s="1303"/>
      <c r="AN107" s="1303"/>
      <c r="AO107" s="1303"/>
      <c r="AP107" s="1303"/>
      <c r="AQ107" s="1303"/>
      <c r="AR107" s="1303"/>
      <c r="AS107" s="1303"/>
      <c r="AT107" s="1303"/>
      <c r="AU107" s="1303"/>
      <c r="AV107" s="1303"/>
      <c r="AW107" s="1303"/>
      <c r="AX107" s="1303"/>
      <c r="AY107" s="1303"/>
      <c r="AZ107" s="1303"/>
      <c r="BA107" s="1303"/>
      <c r="BB107" s="1303"/>
      <c r="BC107" s="1303"/>
      <c r="BD107" s="1303"/>
      <c r="BE107" s="1303"/>
      <c r="BF107" s="1303"/>
      <c r="BG107" s="1303"/>
      <c r="BH107" s="1303"/>
      <c r="BI107" s="1303"/>
      <c r="BJ107" s="1303"/>
      <c r="BK107" s="1303"/>
      <c r="BL107" s="1303"/>
      <c r="BM107" s="1303"/>
      <c r="BN107" s="1303"/>
      <c r="BO107" s="1303"/>
      <c r="BP107" s="1303"/>
      <c r="BQ107" s="1303"/>
      <c r="BR107" s="1303"/>
      <c r="BS107" s="1303"/>
      <c r="BT107" s="1303"/>
      <c r="BU107" s="1303"/>
      <c r="BV107" s="1303"/>
      <c r="BW107" s="1303"/>
      <c r="BX107" s="1303"/>
      <c r="BY107" s="1303"/>
      <c r="BZ107" s="1303"/>
      <c r="CA107" s="1303"/>
      <c r="CB107" s="1303"/>
      <c r="CC107" s="1303"/>
      <c r="CD107" s="1303"/>
      <c r="CE107" s="1303"/>
      <c r="CF107" s="1303"/>
      <c r="CG107" s="1303"/>
      <c r="CH107" s="1303"/>
      <c r="CI107" s="1303"/>
      <c r="CJ107" s="1303"/>
      <c r="CK107" s="1303"/>
      <c r="CL107" s="1303"/>
      <c r="CM107" s="1303"/>
      <c r="CN107" s="1303"/>
      <c r="CO107" s="1303"/>
      <c r="CP107" s="1303"/>
      <c r="CQ107" s="1303"/>
      <c r="CR107" s="1303"/>
      <c r="CS107" s="1303"/>
      <c r="CT107" s="1303"/>
      <c r="CU107" s="1303"/>
      <c r="CV107" s="1303"/>
      <c r="CW107" s="1303"/>
      <c r="CX107" s="1303"/>
      <c r="CY107" s="1303"/>
      <c r="CZ107" s="1303"/>
      <c r="DA107" s="1303"/>
      <c r="DB107" s="1303"/>
      <c r="DC107" s="1303"/>
      <c r="DD107" s="1303"/>
    </row>
    <row r="108" spans="1:108" s="1304" customFormat="1" ht="13.5" hidden="1" customHeight="1">
      <c r="A108" s="3085"/>
      <c r="B108" s="2150" t="s">
        <v>126</v>
      </c>
      <c r="C108" s="2150"/>
      <c r="D108" s="2150">
        <f>+D130</f>
        <v>0</v>
      </c>
      <c r="E108" s="2150">
        <f t="shared" ref="E108" si="74">+E130</f>
        <v>0</v>
      </c>
      <c r="F108" s="2150">
        <v>0</v>
      </c>
      <c r="G108" s="2150">
        <v>0</v>
      </c>
      <c r="H108" s="2150">
        <v>0</v>
      </c>
      <c r="I108" s="2150">
        <v>0</v>
      </c>
      <c r="J108" s="2150">
        <v>0</v>
      </c>
      <c r="K108" s="2150">
        <v>0</v>
      </c>
      <c r="L108" s="2150"/>
      <c r="M108" s="2151" t="s">
        <v>52</v>
      </c>
      <c r="N108" s="3738"/>
      <c r="O108" s="1303"/>
      <c r="P108" s="1303"/>
      <c r="Q108" s="1303"/>
      <c r="R108" s="1303"/>
      <c r="S108" s="1303"/>
      <c r="T108" s="1303"/>
      <c r="U108" s="1303"/>
      <c r="V108" s="1303"/>
      <c r="W108" s="1303"/>
      <c r="X108" s="1303"/>
      <c r="Y108" s="1303"/>
      <c r="Z108" s="1303"/>
      <c r="AA108" s="1303"/>
      <c r="AB108" s="1303"/>
      <c r="AC108" s="1303"/>
      <c r="AD108" s="1303"/>
      <c r="AE108" s="1303"/>
      <c r="AF108" s="1303"/>
      <c r="AG108" s="1303"/>
      <c r="AH108" s="1303"/>
      <c r="AI108" s="1303"/>
      <c r="AJ108" s="1303"/>
      <c r="AK108" s="1303"/>
      <c r="AL108" s="1303"/>
      <c r="AM108" s="1303"/>
      <c r="AN108" s="1303"/>
      <c r="AO108" s="1303"/>
      <c r="AP108" s="1303"/>
      <c r="AQ108" s="1303"/>
      <c r="AR108" s="1303"/>
      <c r="AS108" s="1303"/>
      <c r="AT108" s="1303"/>
      <c r="AU108" s="1303"/>
      <c r="AV108" s="1303"/>
      <c r="AW108" s="1303"/>
      <c r="AX108" s="1303"/>
      <c r="AY108" s="1303"/>
      <c r="AZ108" s="1303"/>
      <c r="BA108" s="1303"/>
      <c r="BB108" s="1303"/>
      <c r="BC108" s="1303"/>
      <c r="BD108" s="1303"/>
      <c r="BE108" s="1303"/>
      <c r="BF108" s="1303"/>
      <c r="BG108" s="1303"/>
      <c r="BH108" s="1303"/>
      <c r="BI108" s="1303"/>
      <c r="BJ108" s="1303"/>
      <c r="BK108" s="1303"/>
      <c r="BL108" s="1303"/>
      <c r="BM108" s="1303"/>
      <c r="BN108" s="1303"/>
      <c r="BO108" s="1303"/>
      <c r="BP108" s="1303"/>
      <c r="BQ108" s="1303"/>
      <c r="BR108" s="1303"/>
      <c r="BS108" s="1303"/>
      <c r="BT108" s="1303"/>
      <c r="BU108" s="1303"/>
      <c r="BV108" s="1303"/>
      <c r="BW108" s="1303"/>
      <c r="BX108" s="1303"/>
      <c r="BY108" s="1303"/>
      <c r="BZ108" s="1303"/>
      <c r="CA108" s="1303"/>
      <c r="CB108" s="1303"/>
      <c r="CC108" s="1303"/>
      <c r="CD108" s="1303"/>
      <c r="CE108" s="1303"/>
      <c r="CF108" s="1303"/>
      <c r="CG108" s="1303"/>
      <c r="CH108" s="1303"/>
      <c r="CI108" s="1303"/>
      <c r="CJ108" s="1303"/>
      <c r="CK108" s="1303"/>
      <c r="CL108" s="1303"/>
      <c r="CM108" s="1303"/>
      <c r="CN108" s="1303"/>
      <c r="CO108" s="1303"/>
      <c r="CP108" s="1303"/>
      <c r="CQ108" s="1303"/>
      <c r="CR108" s="1303"/>
      <c r="CS108" s="1303"/>
      <c r="CT108" s="1303"/>
      <c r="CU108" s="1303"/>
      <c r="CV108" s="1303"/>
      <c r="CW108" s="1303"/>
      <c r="CX108" s="1303"/>
      <c r="CY108" s="1303"/>
      <c r="CZ108" s="1303"/>
      <c r="DA108" s="1303"/>
      <c r="DB108" s="1303"/>
      <c r="DC108" s="1303"/>
      <c r="DD108" s="1303"/>
    </row>
    <row r="109" spans="1:108" s="1304" customFormat="1" ht="13.5" hidden="1" customHeight="1" thickBot="1">
      <c r="A109" s="2067"/>
      <c r="B109" s="2085" t="s">
        <v>127</v>
      </c>
      <c r="C109" s="2086"/>
      <c r="D109" s="2086">
        <f>+D131+D143</f>
        <v>0</v>
      </c>
      <c r="E109" s="2086">
        <f t="shared" ref="E109:H109" si="75">+E131+E143</f>
        <v>0</v>
      </c>
      <c r="F109" s="2086">
        <f t="shared" si="75"/>
        <v>0</v>
      </c>
      <c r="G109" s="2086">
        <f t="shared" si="75"/>
        <v>0</v>
      </c>
      <c r="H109" s="2086">
        <f t="shared" si="75"/>
        <v>0</v>
      </c>
      <c r="I109" s="2086">
        <v>0</v>
      </c>
      <c r="J109" s="2086">
        <v>0</v>
      </c>
      <c r="K109" s="2086">
        <v>0</v>
      </c>
      <c r="L109" s="2150"/>
      <c r="M109" s="2141">
        <f>+H109+G109+F109</f>
        <v>0</v>
      </c>
      <c r="N109" s="3736"/>
      <c r="O109" s="1303"/>
      <c r="P109" s="1303"/>
      <c r="Q109" s="1303"/>
      <c r="R109" s="1303"/>
      <c r="S109" s="1303"/>
      <c r="T109" s="1303"/>
      <c r="U109" s="1303"/>
      <c r="V109" s="1303"/>
      <c r="W109" s="1303"/>
      <c r="X109" s="1303"/>
      <c r="Y109" s="1303"/>
      <c r="Z109" s="1303"/>
      <c r="AA109" s="1303"/>
      <c r="AB109" s="1303"/>
      <c r="AC109" s="1303"/>
      <c r="AD109" s="1303"/>
      <c r="AE109" s="1303"/>
      <c r="AF109" s="1303"/>
      <c r="AG109" s="1303"/>
      <c r="AH109" s="1303"/>
      <c r="AI109" s="1303"/>
      <c r="AJ109" s="1303"/>
      <c r="AK109" s="1303"/>
      <c r="AL109" s="1303"/>
      <c r="AM109" s="1303"/>
      <c r="AN109" s="1303"/>
      <c r="AO109" s="1303"/>
      <c r="AP109" s="1303"/>
      <c r="AQ109" s="1303"/>
      <c r="AR109" s="1303"/>
      <c r="AS109" s="1303"/>
      <c r="AT109" s="1303"/>
      <c r="AU109" s="1303"/>
      <c r="AV109" s="1303"/>
      <c r="AW109" s="1303"/>
      <c r="AX109" s="1303"/>
      <c r="AY109" s="1303"/>
      <c r="AZ109" s="1303"/>
      <c r="BA109" s="1303"/>
      <c r="BB109" s="1303"/>
      <c r="BC109" s="1303"/>
      <c r="BD109" s="1303"/>
      <c r="BE109" s="1303"/>
      <c r="BF109" s="1303"/>
      <c r="BG109" s="1303"/>
      <c r="BH109" s="1303"/>
      <c r="BI109" s="1303"/>
      <c r="BJ109" s="1303"/>
      <c r="BK109" s="1303"/>
      <c r="BL109" s="1303"/>
      <c r="BM109" s="1303"/>
      <c r="BN109" s="1303"/>
      <c r="BO109" s="1303"/>
      <c r="BP109" s="1303"/>
      <c r="BQ109" s="1303"/>
      <c r="BR109" s="1303"/>
      <c r="BS109" s="1303"/>
      <c r="BT109" s="1303"/>
      <c r="BU109" s="1303"/>
      <c r="BV109" s="1303"/>
      <c r="BW109" s="1303"/>
      <c r="BX109" s="1303"/>
      <c r="BY109" s="1303"/>
      <c r="BZ109" s="1303"/>
      <c r="CA109" s="1303"/>
      <c r="CB109" s="1303"/>
      <c r="CC109" s="1303"/>
      <c r="CD109" s="1303"/>
      <c r="CE109" s="1303"/>
      <c r="CF109" s="1303"/>
      <c r="CG109" s="1303"/>
      <c r="CH109" s="1303"/>
      <c r="CI109" s="1303"/>
      <c r="CJ109" s="1303"/>
      <c r="CK109" s="1303"/>
      <c r="CL109" s="1303"/>
      <c r="CM109" s="1303"/>
      <c r="CN109" s="1303"/>
      <c r="CO109" s="1303"/>
      <c r="CP109" s="1303"/>
      <c r="CQ109" s="1303"/>
      <c r="CR109" s="1303"/>
      <c r="CS109" s="1303"/>
      <c r="CT109" s="1303"/>
      <c r="CU109" s="1303"/>
      <c r="CV109" s="1303"/>
      <c r="CW109" s="1303"/>
      <c r="CX109" s="1303"/>
      <c r="CY109" s="1303"/>
      <c r="CZ109" s="1303"/>
      <c r="DA109" s="1303"/>
      <c r="DB109" s="1303"/>
      <c r="DC109" s="1303"/>
      <c r="DD109" s="1303"/>
    </row>
    <row r="110" spans="1:108" s="1311" customFormat="1" ht="13.5" hidden="1" customHeight="1" thickBot="1">
      <c r="A110" s="2036"/>
      <c r="B110" s="3086" t="s">
        <v>11</v>
      </c>
      <c r="C110" s="1308"/>
      <c r="D110" s="1308">
        <f>+D122+D126</f>
        <v>0</v>
      </c>
      <c r="E110" s="1308">
        <f t="shared" ref="E110" si="76">+E122+E126</f>
        <v>0</v>
      </c>
      <c r="F110" s="1308">
        <v>0</v>
      </c>
      <c r="G110" s="1308">
        <v>0</v>
      </c>
      <c r="H110" s="1308">
        <v>0</v>
      </c>
      <c r="I110" s="1308"/>
      <c r="J110" s="1308"/>
      <c r="K110" s="1308"/>
      <c r="L110" s="2708"/>
      <c r="M110" s="3087">
        <f>SUM(F110:F110)</f>
        <v>0</v>
      </c>
      <c r="N110" s="3739"/>
      <c r="O110" s="1310"/>
      <c r="P110" s="1310"/>
      <c r="Q110" s="1310"/>
      <c r="R110" s="1310"/>
      <c r="S110" s="1310"/>
      <c r="T110" s="1310"/>
      <c r="U110" s="1310"/>
      <c r="V110" s="1310"/>
      <c r="W110" s="1310"/>
      <c r="X110" s="1310"/>
      <c r="Y110" s="1310"/>
      <c r="Z110" s="1310"/>
      <c r="AA110" s="1310"/>
      <c r="AB110" s="1310"/>
      <c r="AC110" s="1310"/>
      <c r="AD110" s="1310"/>
      <c r="AE110" s="1310"/>
      <c r="AF110" s="1310"/>
      <c r="AG110" s="1310"/>
      <c r="AH110" s="1310"/>
      <c r="AI110" s="1310"/>
      <c r="AJ110" s="1310"/>
      <c r="AK110" s="1310"/>
      <c r="AL110" s="1310"/>
      <c r="AM110" s="1310"/>
      <c r="AN110" s="1310"/>
      <c r="AO110" s="1310"/>
      <c r="AP110" s="1310"/>
      <c r="AQ110" s="1310"/>
      <c r="AR110" s="1310"/>
      <c r="AS110" s="1310"/>
      <c r="AT110" s="1310"/>
      <c r="AU110" s="1310"/>
      <c r="AV110" s="1310"/>
      <c r="AW110" s="1310"/>
      <c r="AX110" s="1310"/>
      <c r="AY110" s="1310"/>
      <c r="AZ110" s="1310"/>
      <c r="BA110" s="1310"/>
      <c r="BB110" s="1310"/>
      <c r="BC110" s="1310"/>
      <c r="BD110" s="1310"/>
      <c r="BE110" s="1310"/>
      <c r="BF110" s="1310"/>
      <c r="BG110" s="1310"/>
      <c r="BH110" s="1310"/>
      <c r="BI110" s="1310"/>
      <c r="BJ110" s="1310"/>
      <c r="BK110" s="1310"/>
      <c r="BL110" s="1310"/>
      <c r="BM110" s="1310"/>
      <c r="BN110" s="1310"/>
      <c r="BO110" s="1310"/>
      <c r="BP110" s="1310"/>
      <c r="BQ110" s="1310"/>
      <c r="BR110" s="1310"/>
      <c r="BS110" s="1310"/>
      <c r="BT110" s="1310"/>
      <c r="BU110" s="1310"/>
      <c r="BV110" s="1310"/>
      <c r="BW110" s="1310"/>
      <c r="BX110" s="1310"/>
      <c r="BY110" s="1310"/>
      <c r="BZ110" s="1310"/>
      <c r="CA110" s="1310"/>
      <c r="CB110" s="1310"/>
      <c r="CC110" s="1310"/>
      <c r="CD110" s="1310"/>
      <c r="CE110" s="1310"/>
      <c r="CF110" s="1310"/>
      <c r="CG110" s="1310"/>
      <c r="CH110" s="1310"/>
      <c r="CI110" s="1310"/>
      <c r="CJ110" s="1310"/>
      <c r="CK110" s="1310"/>
      <c r="CL110" s="1310"/>
      <c r="CM110" s="1310"/>
      <c r="CN110" s="1310"/>
      <c r="CO110" s="1310"/>
      <c r="CP110" s="1310"/>
      <c r="CQ110" s="1310"/>
      <c r="CR110" s="1310"/>
      <c r="CS110" s="1310"/>
      <c r="CT110" s="1310"/>
      <c r="CU110" s="1310"/>
      <c r="CV110" s="1310"/>
      <c r="CW110" s="1310"/>
      <c r="CX110" s="1310"/>
      <c r="CY110" s="1310"/>
      <c r="CZ110" s="1310"/>
      <c r="DA110" s="1310"/>
      <c r="DB110" s="1310"/>
      <c r="DC110" s="1310"/>
      <c r="DD110" s="1310"/>
    </row>
    <row r="111" spans="1:108" s="1304" customFormat="1" ht="13.5" hidden="1" customHeight="1" thickBot="1">
      <c r="A111" s="2035"/>
      <c r="B111" s="1305" t="s">
        <v>17</v>
      </c>
      <c r="C111" s="1312"/>
      <c r="D111" s="1313">
        <f>D112</f>
        <v>0</v>
      </c>
      <c r="E111" s="1313">
        <f t="shared" ref="E111:K111" si="77">E112</f>
        <v>0</v>
      </c>
      <c r="F111" s="1312">
        <f t="shared" si="77"/>
        <v>0</v>
      </c>
      <c r="G111" s="1312">
        <f t="shared" si="77"/>
        <v>0</v>
      </c>
      <c r="H111" s="1312">
        <f t="shared" si="77"/>
        <v>0</v>
      </c>
      <c r="I111" s="1312">
        <f t="shared" si="77"/>
        <v>0</v>
      </c>
      <c r="J111" s="1312">
        <f t="shared" si="77"/>
        <v>0</v>
      </c>
      <c r="K111" s="1312">
        <f t="shared" si="77"/>
        <v>0</v>
      </c>
      <c r="L111" s="2709"/>
      <c r="M111" s="3088" t="s">
        <v>52</v>
      </c>
      <c r="N111" s="2060"/>
      <c r="O111" s="1303"/>
      <c r="P111" s="1303"/>
      <c r="Q111" s="1303"/>
      <c r="R111" s="1303"/>
      <c r="S111" s="1303"/>
      <c r="T111" s="1303"/>
      <c r="U111" s="1303"/>
      <c r="V111" s="1303"/>
      <c r="W111" s="1303"/>
      <c r="X111" s="1303"/>
      <c r="Y111" s="1303"/>
      <c r="Z111" s="1303"/>
      <c r="AA111" s="1303"/>
      <c r="AB111" s="1303"/>
      <c r="AC111" s="1303"/>
      <c r="AD111" s="1303"/>
      <c r="AE111" s="1303"/>
      <c r="AF111" s="1303"/>
      <c r="AG111" s="1303"/>
      <c r="AH111" s="1303"/>
      <c r="AI111" s="1303"/>
      <c r="AJ111" s="1303"/>
      <c r="AK111" s="1303"/>
      <c r="AL111" s="1303"/>
      <c r="AM111" s="1303"/>
      <c r="AN111" s="1303"/>
      <c r="AO111" s="1303"/>
      <c r="AP111" s="1303"/>
      <c r="AQ111" s="1303"/>
      <c r="AR111" s="1303"/>
      <c r="AS111" s="1303"/>
      <c r="AT111" s="1303"/>
      <c r="AU111" s="1303"/>
      <c r="AV111" s="1303"/>
      <c r="AW111" s="1303"/>
      <c r="AX111" s="1303"/>
      <c r="AY111" s="1303"/>
      <c r="AZ111" s="1303"/>
      <c r="BA111" s="1303"/>
      <c r="BB111" s="1303"/>
      <c r="BC111" s="1303"/>
      <c r="BD111" s="1303"/>
      <c r="BE111" s="1303"/>
      <c r="BF111" s="1303"/>
      <c r="BG111" s="1303"/>
      <c r="BH111" s="1303"/>
      <c r="BI111" s="1303"/>
      <c r="BJ111" s="1303"/>
      <c r="BK111" s="1303"/>
      <c r="BL111" s="1303"/>
      <c r="BM111" s="1303"/>
      <c r="BN111" s="1303"/>
      <c r="BO111" s="1303"/>
      <c r="BP111" s="1303"/>
      <c r="BQ111" s="1303"/>
      <c r="BR111" s="1303"/>
      <c r="BS111" s="1303"/>
      <c r="BT111" s="1303"/>
      <c r="BU111" s="1303"/>
      <c r="BV111" s="1303"/>
      <c r="BW111" s="1303"/>
      <c r="BX111" s="1303"/>
      <c r="BY111" s="1303"/>
      <c r="BZ111" s="1303"/>
      <c r="CA111" s="1303"/>
      <c r="CB111" s="1303"/>
      <c r="CC111" s="1303"/>
      <c r="CD111" s="1303"/>
      <c r="CE111" s="1303"/>
      <c r="CF111" s="1303"/>
      <c r="CG111" s="1303"/>
      <c r="CH111" s="1303"/>
      <c r="CI111" s="1303"/>
      <c r="CJ111" s="1303"/>
      <c r="CK111" s="1303"/>
      <c r="CL111" s="1303"/>
      <c r="CM111" s="1303"/>
      <c r="CN111" s="1303"/>
      <c r="CO111" s="1303"/>
      <c r="CP111" s="1303"/>
      <c r="CQ111" s="1303"/>
      <c r="CR111" s="1303"/>
      <c r="CS111" s="1303"/>
      <c r="CT111" s="1303"/>
      <c r="CU111" s="1303"/>
      <c r="CV111" s="1303"/>
      <c r="CW111" s="1303"/>
      <c r="CX111" s="1303"/>
      <c r="CY111" s="1303"/>
      <c r="CZ111" s="1303"/>
      <c r="DA111" s="1303"/>
      <c r="DB111" s="1303"/>
      <c r="DC111" s="1303"/>
      <c r="DD111" s="1303"/>
    </row>
    <row r="112" spans="1:108" s="1304" customFormat="1" ht="13.5" hidden="1" customHeight="1" thickBot="1">
      <c r="A112" s="2035"/>
      <c r="B112" s="3089" t="s">
        <v>33</v>
      </c>
      <c r="C112" s="1306"/>
      <c r="D112" s="1316">
        <f>D133</f>
        <v>0</v>
      </c>
      <c r="E112" s="1316">
        <f>E133</f>
        <v>0</v>
      </c>
      <c r="F112" s="1306">
        <v>0</v>
      </c>
      <c r="G112" s="1306">
        <v>0</v>
      </c>
      <c r="H112" s="1306">
        <v>0</v>
      </c>
      <c r="I112" s="1306">
        <v>0</v>
      </c>
      <c r="J112" s="1306">
        <v>0</v>
      </c>
      <c r="K112" s="1306">
        <v>0</v>
      </c>
      <c r="L112" s="2710"/>
      <c r="M112" s="3090" t="s">
        <v>52</v>
      </c>
      <c r="N112" s="2060"/>
      <c r="O112" s="1303"/>
      <c r="P112" s="1303"/>
      <c r="Q112" s="1303"/>
      <c r="R112" s="1303"/>
      <c r="S112" s="1303"/>
      <c r="T112" s="1303"/>
      <c r="U112" s="1303"/>
      <c r="V112" s="1303"/>
      <c r="W112" s="1303"/>
      <c r="X112" s="1303"/>
      <c r="Y112" s="1303"/>
      <c r="Z112" s="1303"/>
      <c r="AA112" s="1303"/>
      <c r="AB112" s="1303"/>
      <c r="AC112" s="1303"/>
      <c r="AD112" s="1303"/>
      <c r="AE112" s="1303"/>
      <c r="AF112" s="1303"/>
      <c r="AG112" s="1303"/>
      <c r="AH112" s="1303"/>
      <c r="AI112" s="1303"/>
      <c r="AJ112" s="1303"/>
      <c r="AK112" s="1303"/>
      <c r="AL112" s="1303"/>
      <c r="AM112" s="1303"/>
      <c r="AN112" s="1303"/>
      <c r="AO112" s="1303"/>
      <c r="AP112" s="1303"/>
      <c r="AQ112" s="1303"/>
      <c r="AR112" s="1303"/>
      <c r="AS112" s="1303"/>
      <c r="AT112" s="1303"/>
      <c r="AU112" s="1303"/>
      <c r="AV112" s="1303"/>
      <c r="AW112" s="1303"/>
      <c r="AX112" s="1303"/>
      <c r="AY112" s="1303"/>
      <c r="AZ112" s="1303"/>
      <c r="BA112" s="1303"/>
      <c r="BB112" s="1303"/>
      <c r="BC112" s="1303"/>
      <c r="BD112" s="1303"/>
      <c r="BE112" s="1303"/>
      <c r="BF112" s="1303"/>
      <c r="BG112" s="1303"/>
      <c r="BH112" s="1303"/>
      <c r="BI112" s="1303"/>
      <c r="BJ112" s="1303"/>
      <c r="BK112" s="1303"/>
      <c r="BL112" s="1303"/>
      <c r="BM112" s="1303"/>
      <c r="BN112" s="1303"/>
      <c r="BO112" s="1303"/>
      <c r="BP112" s="1303"/>
      <c r="BQ112" s="1303"/>
      <c r="BR112" s="1303"/>
      <c r="BS112" s="1303"/>
      <c r="BT112" s="1303"/>
      <c r="BU112" s="1303"/>
      <c r="BV112" s="1303"/>
      <c r="BW112" s="1303"/>
      <c r="BX112" s="1303"/>
      <c r="BY112" s="1303"/>
      <c r="BZ112" s="1303"/>
      <c r="CA112" s="1303"/>
      <c r="CB112" s="1303"/>
      <c r="CC112" s="1303"/>
      <c r="CD112" s="1303"/>
      <c r="CE112" s="1303"/>
      <c r="CF112" s="1303"/>
      <c r="CG112" s="1303"/>
      <c r="CH112" s="1303"/>
      <c r="CI112" s="1303"/>
      <c r="CJ112" s="1303"/>
      <c r="CK112" s="1303"/>
      <c r="CL112" s="1303"/>
      <c r="CM112" s="1303"/>
      <c r="CN112" s="1303"/>
      <c r="CO112" s="1303"/>
      <c r="CP112" s="1303"/>
      <c r="CQ112" s="1303"/>
      <c r="CR112" s="1303"/>
      <c r="CS112" s="1303"/>
      <c r="CT112" s="1303"/>
      <c r="CU112" s="1303"/>
      <c r="CV112" s="1303"/>
      <c r="CW112" s="1303"/>
      <c r="CX112" s="1303"/>
      <c r="CY112" s="1303"/>
      <c r="CZ112" s="1303"/>
      <c r="DA112" s="1303"/>
      <c r="DB112" s="1303"/>
      <c r="DC112" s="1303"/>
      <c r="DD112" s="1303"/>
    </row>
    <row r="113" spans="1:108" s="1304" customFormat="1" ht="13.5" hidden="1" customHeight="1" thickBot="1">
      <c r="A113" s="2035"/>
      <c r="B113" s="1317" t="s">
        <v>20</v>
      </c>
      <c r="C113" s="1318"/>
      <c r="D113" s="1319">
        <f>D114+D117</f>
        <v>0</v>
      </c>
      <c r="E113" s="1319">
        <f t="shared" ref="E113:K113" si="78">E114+E117</f>
        <v>0</v>
      </c>
      <c r="F113" s="1319">
        <f t="shared" si="78"/>
        <v>0</v>
      </c>
      <c r="G113" s="1319">
        <f t="shared" si="78"/>
        <v>0</v>
      </c>
      <c r="H113" s="1319">
        <f t="shared" si="78"/>
        <v>0</v>
      </c>
      <c r="I113" s="1319">
        <f t="shared" si="78"/>
        <v>0</v>
      </c>
      <c r="J113" s="1319">
        <f t="shared" si="78"/>
        <v>0</v>
      </c>
      <c r="K113" s="1319">
        <f t="shared" si="78"/>
        <v>0</v>
      </c>
      <c r="L113" s="2711"/>
      <c r="M113" s="2052"/>
      <c r="N113" s="2060"/>
      <c r="O113" s="1303"/>
      <c r="P113" s="1303"/>
      <c r="Q113" s="1303"/>
      <c r="R113" s="1303"/>
      <c r="S113" s="1303"/>
      <c r="T113" s="1303"/>
      <c r="U113" s="1303"/>
      <c r="V113" s="1303"/>
      <c r="W113" s="1303"/>
      <c r="X113" s="1303"/>
      <c r="Y113" s="1303"/>
      <c r="Z113" s="1303"/>
      <c r="AA113" s="1303"/>
      <c r="AB113" s="1303"/>
      <c r="AC113" s="1303"/>
      <c r="AD113" s="1303"/>
      <c r="AE113" s="1303"/>
      <c r="AF113" s="1303"/>
      <c r="AG113" s="1303"/>
      <c r="AH113" s="1303"/>
      <c r="AI113" s="1303"/>
      <c r="AJ113" s="1303"/>
      <c r="AK113" s="1303"/>
      <c r="AL113" s="1303"/>
      <c r="AM113" s="1303"/>
      <c r="AN113" s="1303"/>
      <c r="AO113" s="1303"/>
      <c r="AP113" s="1303"/>
      <c r="AQ113" s="1303"/>
      <c r="AR113" s="1303"/>
      <c r="AS113" s="1303"/>
      <c r="AT113" s="1303"/>
      <c r="AU113" s="1303"/>
      <c r="AV113" s="1303"/>
      <c r="AW113" s="1303"/>
      <c r="AX113" s="1303"/>
      <c r="AY113" s="1303"/>
      <c r="AZ113" s="1303"/>
      <c r="BA113" s="1303"/>
      <c r="BB113" s="1303"/>
      <c r="BC113" s="1303"/>
      <c r="BD113" s="1303"/>
      <c r="BE113" s="1303"/>
      <c r="BF113" s="1303"/>
      <c r="BG113" s="1303"/>
      <c r="BH113" s="1303"/>
      <c r="BI113" s="1303"/>
      <c r="BJ113" s="1303"/>
      <c r="BK113" s="1303"/>
      <c r="BL113" s="1303"/>
      <c r="BM113" s="1303"/>
      <c r="BN113" s="1303"/>
      <c r="BO113" s="1303"/>
      <c r="BP113" s="1303"/>
      <c r="BQ113" s="1303"/>
      <c r="BR113" s="1303"/>
      <c r="BS113" s="1303"/>
      <c r="BT113" s="1303"/>
      <c r="BU113" s="1303"/>
      <c r="BV113" s="1303"/>
      <c r="BW113" s="1303"/>
      <c r="BX113" s="1303"/>
      <c r="BY113" s="1303"/>
      <c r="BZ113" s="1303"/>
      <c r="CA113" s="1303"/>
      <c r="CB113" s="1303"/>
      <c r="CC113" s="1303"/>
      <c r="CD113" s="1303"/>
      <c r="CE113" s="1303"/>
      <c r="CF113" s="1303"/>
      <c r="CG113" s="1303"/>
      <c r="CH113" s="1303"/>
      <c r="CI113" s="1303"/>
      <c r="CJ113" s="1303"/>
      <c r="CK113" s="1303"/>
      <c r="CL113" s="1303"/>
      <c r="CM113" s="1303"/>
      <c r="CN113" s="1303"/>
      <c r="CO113" s="1303"/>
      <c r="CP113" s="1303"/>
      <c r="CQ113" s="1303"/>
      <c r="CR113" s="1303"/>
      <c r="CS113" s="1303"/>
      <c r="CT113" s="1303"/>
      <c r="CU113" s="1303"/>
      <c r="CV113" s="1303"/>
      <c r="CW113" s="1303"/>
      <c r="CX113" s="1303"/>
      <c r="CY113" s="1303"/>
      <c r="CZ113" s="1303"/>
      <c r="DA113" s="1303"/>
      <c r="DB113" s="1303"/>
      <c r="DC113" s="1303"/>
      <c r="DD113" s="1303"/>
    </row>
    <row r="114" spans="1:108" s="1304" customFormat="1" ht="13.5" hidden="1" customHeight="1" thickBot="1">
      <c r="A114" s="2035"/>
      <c r="B114" s="1321" t="s">
        <v>22</v>
      </c>
      <c r="C114" s="1322"/>
      <c r="D114" s="1323">
        <f>+D115+D116</f>
        <v>0</v>
      </c>
      <c r="E114" s="1323">
        <f t="shared" ref="E114:H114" si="79">+E115+E116</f>
        <v>0</v>
      </c>
      <c r="F114" s="1308">
        <f t="shared" si="79"/>
        <v>0</v>
      </c>
      <c r="G114" s="1308">
        <f t="shared" si="79"/>
        <v>0</v>
      </c>
      <c r="H114" s="1308">
        <f t="shared" si="79"/>
        <v>0</v>
      </c>
      <c r="I114" s="1308">
        <v>0</v>
      </c>
      <c r="J114" s="1308">
        <v>0</v>
      </c>
      <c r="K114" s="1308">
        <v>0</v>
      </c>
      <c r="L114" s="2712"/>
      <c r="M114" s="3757" t="s">
        <v>52</v>
      </c>
      <c r="N114" s="2060"/>
      <c r="O114" s="1303"/>
      <c r="P114" s="1303"/>
      <c r="Q114" s="1303"/>
      <c r="R114" s="1303"/>
      <c r="S114" s="1303"/>
      <c r="T114" s="1303"/>
      <c r="U114" s="1303"/>
      <c r="V114" s="1303"/>
      <c r="W114" s="1303"/>
      <c r="X114" s="1303"/>
      <c r="Y114" s="1303"/>
      <c r="Z114" s="1303"/>
      <c r="AA114" s="1303"/>
      <c r="AB114" s="1303"/>
      <c r="AC114" s="1303"/>
      <c r="AD114" s="1303"/>
      <c r="AE114" s="1303"/>
      <c r="AF114" s="1303"/>
      <c r="AG114" s="1303"/>
      <c r="AH114" s="1303"/>
      <c r="AI114" s="1303"/>
      <c r="AJ114" s="1303"/>
      <c r="AK114" s="1303"/>
      <c r="AL114" s="1303"/>
      <c r="AM114" s="1303"/>
      <c r="AN114" s="1303"/>
      <c r="AO114" s="1303"/>
      <c r="AP114" s="1303"/>
      <c r="AQ114" s="1303"/>
      <c r="AR114" s="1303"/>
      <c r="AS114" s="1303"/>
      <c r="AT114" s="1303"/>
      <c r="AU114" s="1303"/>
      <c r="AV114" s="1303"/>
      <c r="AW114" s="1303"/>
      <c r="AX114" s="1303"/>
      <c r="AY114" s="1303"/>
      <c r="AZ114" s="1303"/>
      <c r="BA114" s="1303"/>
      <c r="BB114" s="1303"/>
      <c r="BC114" s="1303"/>
      <c r="BD114" s="1303"/>
      <c r="BE114" s="1303"/>
      <c r="BF114" s="1303"/>
      <c r="BG114" s="1303"/>
      <c r="BH114" s="1303"/>
      <c r="BI114" s="1303"/>
      <c r="BJ114" s="1303"/>
      <c r="BK114" s="1303"/>
      <c r="BL114" s="1303"/>
      <c r="BM114" s="1303"/>
      <c r="BN114" s="1303"/>
      <c r="BO114" s="1303"/>
      <c r="BP114" s="1303"/>
      <c r="BQ114" s="1303"/>
      <c r="BR114" s="1303"/>
      <c r="BS114" s="1303"/>
      <c r="BT114" s="1303"/>
      <c r="BU114" s="1303"/>
      <c r="BV114" s="1303"/>
      <c r="BW114" s="1303"/>
      <c r="BX114" s="1303"/>
      <c r="BY114" s="1303"/>
      <c r="BZ114" s="1303"/>
      <c r="CA114" s="1303"/>
      <c r="CB114" s="1303"/>
      <c r="CC114" s="1303"/>
      <c r="CD114" s="1303"/>
      <c r="CE114" s="1303"/>
      <c r="CF114" s="1303"/>
      <c r="CG114" s="1303"/>
      <c r="CH114" s="1303"/>
      <c r="CI114" s="1303"/>
      <c r="CJ114" s="1303"/>
      <c r="CK114" s="1303"/>
      <c r="CL114" s="1303"/>
      <c r="CM114" s="1303"/>
      <c r="CN114" s="1303"/>
      <c r="CO114" s="1303"/>
      <c r="CP114" s="1303"/>
      <c r="CQ114" s="1303"/>
      <c r="CR114" s="1303"/>
      <c r="CS114" s="1303"/>
      <c r="CT114" s="1303"/>
      <c r="CU114" s="1303"/>
      <c r="CV114" s="1303"/>
      <c r="CW114" s="1303"/>
      <c r="CX114" s="1303"/>
      <c r="CY114" s="1303"/>
      <c r="CZ114" s="1303"/>
      <c r="DA114" s="1303"/>
      <c r="DB114" s="1303"/>
      <c r="DC114" s="1303"/>
      <c r="DD114" s="1303"/>
    </row>
    <row r="115" spans="1:108" s="1304" customFormat="1" ht="13.5" hidden="1" customHeight="1" thickBot="1">
      <c r="A115" s="2035"/>
      <c r="B115" s="3086" t="s">
        <v>126</v>
      </c>
      <c r="C115" s="1308"/>
      <c r="D115" s="1308">
        <f>+D136</f>
        <v>0</v>
      </c>
      <c r="E115" s="1308">
        <f t="shared" ref="E115:E116" si="80">+E136</f>
        <v>0</v>
      </c>
      <c r="F115" s="1308">
        <v>0</v>
      </c>
      <c r="G115" s="1308">
        <v>0</v>
      </c>
      <c r="H115" s="1308">
        <v>0</v>
      </c>
      <c r="I115" s="1308">
        <v>0</v>
      </c>
      <c r="J115" s="1308">
        <v>0</v>
      </c>
      <c r="K115" s="1308">
        <v>0</v>
      </c>
      <c r="L115" s="2713"/>
      <c r="M115" s="3758"/>
      <c r="N115" s="2060"/>
      <c r="O115" s="1303"/>
      <c r="P115" s="1303"/>
      <c r="Q115" s="1303"/>
      <c r="R115" s="1303"/>
      <c r="S115" s="1303"/>
      <c r="T115" s="1303"/>
      <c r="U115" s="1303"/>
      <c r="V115" s="1303"/>
      <c r="W115" s="1303"/>
      <c r="X115" s="1303"/>
      <c r="Y115" s="1303"/>
      <c r="Z115" s="1303"/>
      <c r="AA115" s="1303"/>
      <c r="AB115" s="1303"/>
      <c r="AC115" s="1303"/>
      <c r="AD115" s="1303"/>
      <c r="AE115" s="1303"/>
      <c r="AF115" s="1303"/>
      <c r="AG115" s="1303"/>
      <c r="AH115" s="1303"/>
      <c r="AI115" s="1303"/>
      <c r="AJ115" s="1303"/>
      <c r="AK115" s="1303"/>
      <c r="AL115" s="1303"/>
      <c r="AM115" s="1303"/>
      <c r="AN115" s="1303"/>
      <c r="AO115" s="1303"/>
      <c r="AP115" s="1303"/>
      <c r="AQ115" s="1303"/>
      <c r="AR115" s="1303"/>
      <c r="AS115" s="1303"/>
      <c r="AT115" s="1303"/>
      <c r="AU115" s="1303"/>
      <c r="AV115" s="1303"/>
      <c r="AW115" s="1303"/>
      <c r="AX115" s="1303"/>
      <c r="AY115" s="1303"/>
      <c r="AZ115" s="1303"/>
      <c r="BA115" s="1303"/>
      <c r="BB115" s="1303"/>
      <c r="BC115" s="1303"/>
      <c r="BD115" s="1303"/>
      <c r="BE115" s="1303"/>
      <c r="BF115" s="1303"/>
      <c r="BG115" s="1303"/>
      <c r="BH115" s="1303"/>
      <c r="BI115" s="1303"/>
      <c r="BJ115" s="1303"/>
      <c r="BK115" s="1303"/>
      <c r="BL115" s="1303"/>
      <c r="BM115" s="1303"/>
      <c r="BN115" s="1303"/>
      <c r="BO115" s="1303"/>
      <c r="BP115" s="1303"/>
      <c r="BQ115" s="1303"/>
      <c r="BR115" s="1303"/>
      <c r="BS115" s="1303"/>
      <c r="BT115" s="1303"/>
      <c r="BU115" s="1303"/>
      <c r="BV115" s="1303"/>
      <c r="BW115" s="1303"/>
      <c r="BX115" s="1303"/>
      <c r="BY115" s="1303"/>
      <c r="BZ115" s="1303"/>
      <c r="CA115" s="1303"/>
      <c r="CB115" s="1303"/>
      <c r="CC115" s="1303"/>
      <c r="CD115" s="1303"/>
      <c r="CE115" s="1303"/>
      <c r="CF115" s="1303"/>
      <c r="CG115" s="1303"/>
      <c r="CH115" s="1303"/>
      <c r="CI115" s="1303"/>
      <c r="CJ115" s="1303"/>
      <c r="CK115" s="1303"/>
      <c r="CL115" s="1303"/>
      <c r="CM115" s="1303"/>
      <c r="CN115" s="1303"/>
      <c r="CO115" s="1303"/>
      <c r="CP115" s="1303"/>
      <c r="CQ115" s="1303"/>
      <c r="CR115" s="1303"/>
      <c r="CS115" s="1303"/>
      <c r="CT115" s="1303"/>
      <c r="CU115" s="1303"/>
      <c r="CV115" s="1303"/>
      <c r="CW115" s="1303"/>
      <c r="CX115" s="1303"/>
      <c r="CY115" s="1303"/>
      <c r="CZ115" s="1303"/>
      <c r="DA115" s="1303"/>
      <c r="DB115" s="1303"/>
      <c r="DC115" s="1303"/>
      <c r="DD115" s="1303"/>
    </row>
    <row r="116" spans="1:108" s="1304" customFormat="1" ht="13.5" hidden="1" customHeight="1" thickBot="1">
      <c r="A116" s="2035"/>
      <c r="B116" s="3086" t="s">
        <v>128</v>
      </c>
      <c r="C116" s="1308"/>
      <c r="D116" s="1308">
        <f>+D137</f>
        <v>0</v>
      </c>
      <c r="E116" s="1308">
        <f t="shared" si="80"/>
        <v>0</v>
      </c>
      <c r="F116" s="1308">
        <v>0</v>
      </c>
      <c r="G116" s="1308">
        <v>0</v>
      </c>
      <c r="H116" s="1308">
        <v>0</v>
      </c>
      <c r="I116" s="1308"/>
      <c r="J116" s="1308"/>
      <c r="K116" s="1308"/>
      <c r="L116" s="2713"/>
      <c r="M116" s="3758"/>
      <c r="N116" s="2060"/>
      <c r="O116" s="1303"/>
      <c r="P116" s="1303"/>
      <c r="Q116" s="1303"/>
      <c r="R116" s="1303"/>
      <c r="S116" s="1303"/>
      <c r="T116" s="1303"/>
      <c r="U116" s="1303"/>
      <c r="V116" s="1303"/>
      <c r="W116" s="1303"/>
      <c r="X116" s="1303"/>
      <c r="Y116" s="1303"/>
      <c r="Z116" s="1303"/>
      <c r="AA116" s="1303"/>
      <c r="AB116" s="1303"/>
      <c r="AC116" s="1303"/>
      <c r="AD116" s="1303"/>
      <c r="AE116" s="1303"/>
      <c r="AF116" s="1303"/>
      <c r="AG116" s="1303"/>
      <c r="AH116" s="1303"/>
      <c r="AI116" s="1303"/>
      <c r="AJ116" s="1303"/>
      <c r="AK116" s="1303"/>
      <c r="AL116" s="1303"/>
      <c r="AM116" s="1303"/>
      <c r="AN116" s="1303"/>
      <c r="AO116" s="1303"/>
      <c r="AP116" s="1303"/>
      <c r="AQ116" s="1303"/>
      <c r="AR116" s="1303"/>
      <c r="AS116" s="1303"/>
      <c r="AT116" s="1303"/>
      <c r="AU116" s="1303"/>
      <c r="AV116" s="1303"/>
      <c r="AW116" s="1303"/>
      <c r="AX116" s="1303"/>
      <c r="AY116" s="1303"/>
      <c r="AZ116" s="1303"/>
      <c r="BA116" s="1303"/>
      <c r="BB116" s="1303"/>
      <c r="BC116" s="1303"/>
      <c r="BD116" s="1303"/>
      <c r="BE116" s="1303"/>
      <c r="BF116" s="1303"/>
      <c r="BG116" s="1303"/>
      <c r="BH116" s="1303"/>
      <c r="BI116" s="1303"/>
      <c r="BJ116" s="1303"/>
      <c r="BK116" s="1303"/>
      <c r="BL116" s="1303"/>
      <c r="BM116" s="1303"/>
      <c r="BN116" s="1303"/>
      <c r="BO116" s="1303"/>
      <c r="BP116" s="1303"/>
      <c r="BQ116" s="1303"/>
      <c r="BR116" s="1303"/>
      <c r="BS116" s="1303"/>
      <c r="BT116" s="1303"/>
      <c r="BU116" s="1303"/>
      <c r="BV116" s="1303"/>
      <c r="BW116" s="1303"/>
      <c r="BX116" s="1303"/>
      <c r="BY116" s="1303"/>
      <c r="BZ116" s="1303"/>
      <c r="CA116" s="1303"/>
      <c r="CB116" s="1303"/>
      <c r="CC116" s="1303"/>
      <c r="CD116" s="1303"/>
      <c r="CE116" s="1303"/>
      <c r="CF116" s="1303"/>
      <c r="CG116" s="1303"/>
      <c r="CH116" s="1303"/>
      <c r="CI116" s="1303"/>
      <c r="CJ116" s="1303"/>
      <c r="CK116" s="1303"/>
      <c r="CL116" s="1303"/>
      <c r="CM116" s="1303"/>
      <c r="CN116" s="1303"/>
      <c r="CO116" s="1303"/>
      <c r="CP116" s="1303"/>
      <c r="CQ116" s="1303"/>
      <c r="CR116" s="1303"/>
      <c r="CS116" s="1303"/>
      <c r="CT116" s="1303"/>
      <c r="CU116" s="1303"/>
      <c r="CV116" s="1303"/>
      <c r="CW116" s="1303"/>
      <c r="CX116" s="1303"/>
      <c r="CY116" s="1303"/>
      <c r="CZ116" s="1303"/>
      <c r="DA116" s="1303"/>
      <c r="DB116" s="1303"/>
      <c r="DC116" s="1303"/>
      <c r="DD116" s="1303"/>
    </row>
    <row r="117" spans="1:108" s="1326" customFormat="1" ht="13.5" hidden="1" customHeight="1">
      <c r="A117" s="2037"/>
      <c r="B117" s="1321" t="s">
        <v>17</v>
      </c>
      <c r="C117" s="1324"/>
      <c r="D117" s="1324">
        <f>+D118</f>
        <v>0</v>
      </c>
      <c r="E117" s="1324">
        <f t="shared" ref="E117:K117" si="81">+E118</f>
        <v>0</v>
      </c>
      <c r="F117" s="1324">
        <f t="shared" si="81"/>
        <v>0</v>
      </c>
      <c r="G117" s="1324">
        <f t="shared" si="81"/>
        <v>0</v>
      </c>
      <c r="H117" s="1324">
        <f t="shared" si="81"/>
        <v>0</v>
      </c>
      <c r="I117" s="1324">
        <f t="shared" si="81"/>
        <v>0</v>
      </c>
      <c r="J117" s="1324">
        <f t="shared" si="81"/>
        <v>0</v>
      </c>
      <c r="K117" s="1324">
        <f t="shared" si="81"/>
        <v>0</v>
      </c>
      <c r="L117" s="2714"/>
      <c r="M117" s="3758"/>
      <c r="N117" s="2061"/>
      <c r="O117" s="1325"/>
      <c r="P117" s="1325"/>
      <c r="Q117" s="1325"/>
      <c r="R117" s="1325"/>
      <c r="S117" s="1325"/>
      <c r="T117" s="1325"/>
      <c r="U117" s="1325"/>
      <c r="V117" s="1325"/>
      <c r="W117" s="1325"/>
      <c r="X117" s="1325"/>
      <c r="Y117" s="1325"/>
      <c r="Z117" s="1325"/>
      <c r="AA117" s="1325"/>
      <c r="AB117" s="1325"/>
      <c r="AC117" s="1325"/>
      <c r="AD117" s="1325"/>
      <c r="AE117" s="1325"/>
      <c r="AF117" s="1325"/>
      <c r="AG117" s="1325"/>
      <c r="AH117" s="1325"/>
      <c r="AI117" s="1325"/>
      <c r="AJ117" s="1325"/>
      <c r="AK117" s="1325"/>
      <c r="AL117" s="1325"/>
      <c r="AM117" s="1325"/>
      <c r="AN117" s="1325"/>
      <c r="AO117" s="1325"/>
      <c r="AP117" s="1325"/>
      <c r="AQ117" s="1325"/>
      <c r="AR117" s="1325"/>
      <c r="AS117" s="1325"/>
      <c r="AT117" s="1325"/>
      <c r="AU117" s="1325"/>
      <c r="AV117" s="1325"/>
      <c r="AW117" s="1325"/>
      <c r="AX117" s="1325"/>
      <c r="AY117" s="1325"/>
      <c r="AZ117" s="1325"/>
      <c r="BA117" s="1325"/>
      <c r="BB117" s="1325"/>
      <c r="BC117" s="1325"/>
      <c r="BD117" s="1325"/>
      <c r="BE117" s="1325"/>
      <c r="BF117" s="1325"/>
      <c r="BG117" s="1325"/>
      <c r="BH117" s="1325"/>
      <c r="BI117" s="1325"/>
      <c r="BJ117" s="1325"/>
      <c r="BK117" s="1325"/>
      <c r="BL117" s="1325"/>
      <c r="BM117" s="1325"/>
      <c r="BN117" s="1325"/>
      <c r="BO117" s="1325"/>
      <c r="BP117" s="1325"/>
      <c r="BQ117" s="1325"/>
      <c r="BR117" s="1325"/>
      <c r="BS117" s="1325"/>
      <c r="BT117" s="1325"/>
      <c r="BU117" s="1325"/>
      <c r="BV117" s="1325"/>
      <c r="BW117" s="1325"/>
      <c r="BX117" s="1325"/>
      <c r="BY117" s="1325"/>
      <c r="BZ117" s="1325"/>
      <c r="CA117" s="1325"/>
      <c r="CB117" s="1325"/>
      <c r="CC117" s="1325"/>
      <c r="CD117" s="1325"/>
      <c r="CE117" s="1325"/>
      <c r="CF117" s="1325"/>
      <c r="CG117" s="1325"/>
      <c r="CH117" s="1325"/>
      <c r="CI117" s="1325"/>
      <c r="CJ117" s="1325"/>
      <c r="CK117" s="1325"/>
      <c r="CL117" s="1325"/>
      <c r="CM117" s="1325"/>
      <c r="CN117" s="1325"/>
      <c r="CO117" s="1325"/>
      <c r="CP117" s="1325"/>
      <c r="CQ117" s="1325"/>
      <c r="CR117" s="1325"/>
      <c r="CS117" s="1325"/>
      <c r="CT117" s="1325"/>
      <c r="CU117" s="1325"/>
      <c r="CV117" s="1325"/>
      <c r="CW117" s="1325"/>
      <c r="CX117" s="1325"/>
      <c r="CY117" s="1325"/>
      <c r="CZ117" s="1325"/>
      <c r="DA117" s="1325"/>
      <c r="DB117" s="1325"/>
      <c r="DC117" s="1325"/>
      <c r="DD117" s="1325"/>
    </row>
    <row r="118" spans="1:108" s="1304" customFormat="1" ht="13.5" hidden="1" customHeight="1" thickBot="1">
      <c r="A118" s="1280"/>
      <c r="B118" s="3086" t="s">
        <v>33</v>
      </c>
      <c r="C118" s="1308"/>
      <c r="D118" s="1308">
        <f>+D139</f>
        <v>0</v>
      </c>
      <c r="E118" s="1308">
        <f t="shared" ref="E118" si="82">+E139</f>
        <v>0</v>
      </c>
      <c r="F118" s="1308">
        <v>0</v>
      </c>
      <c r="G118" s="1308">
        <v>0</v>
      </c>
      <c r="H118" s="1308">
        <v>0</v>
      </c>
      <c r="I118" s="1308">
        <v>0</v>
      </c>
      <c r="J118" s="1308">
        <v>0</v>
      </c>
      <c r="K118" s="1308">
        <v>0</v>
      </c>
      <c r="L118" s="2715"/>
      <c r="M118" s="3753"/>
      <c r="N118" s="1315"/>
      <c r="O118" s="1303"/>
      <c r="P118" s="1303"/>
      <c r="Q118" s="1303"/>
      <c r="R118" s="1303"/>
      <c r="S118" s="1303"/>
      <c r="T118" s="1303"/>
      <c r="U118" s="1303"/>
      <c r="V118" s="1303"/>
      <c r="W118" s="1303"/>
      <c r="X118" s="1303"/>
      <c r="Y118" s="1303"/>
      <c r="Z118" s="1303"/>
      <c r="AA118" s="1303"/>
      <c r="AB118" s="1303"/>
      <c r="AC118" s="1303"/>
      <c r="AD118" s="1303"/>
      <c r="AE118" s="1303"/>
      <c r="AF118" s="1303"/>
      <c r="AG118" s="1303"/>
      <c r="AH118" s="1303"/>
      <c r="AI118" s="1303"/>
      <c r="AJ118" s="1303"/>
      <c r="AK118" s="1303"/>
      <c r="AL118" s="1303"/>
      <c r="AM118" s="1303"/>
      <c r="AN118" s="1303"/>
      <c r="AO118" s="1303"/>
      <c r="AP118" s="1303"/>
      <c r="AQ118" s="1303"/>
      <c r="AR118" s="1303"/>
      <c r="AS118" s="1303"/>
      <c r="AT118" s="1303"/>
      <c r="AU118" s="1303"/>
      <c r="AV118" s="1303"/>
      <c r="AW118" s="1303"/>
      <c r="AX118" s="1303"/>
      <c r="AY118" s="1303"/>
      <c r="AZ118" s="1303"/>
      <c r="BA118" s="1303"/>
      <c r="BB118" s="1303"/>
      <c r="BC118" s="1303"/>
      <c r="BD118" s="1303"/>
      <c r="BE118" s="1303"/>
      <c r="BF118" s="1303"/>
      <c r="BG118" s="1303"/>
      <c r="BH118" s="1303"/>
      <c r="BI118" s="1303"/>
      <c r="BJ118" s="1303"/>
      <c r="BK118" s="1303"/>
      <c r="BL118" s="1303"/>
      <c r="BM118" s="1303"/>
      <c r="BN118" s="1303"/>
      <c r="BO118" s="1303"/>
      <c r="BP118" s="1303"/>
      <c r="BQ118" s="1303"/>
      <c r="BR118" s="1303"/>
      <c r="BS118" s="1303"/>
      <c r="BT118" s="1303"/>
      <c r="BU118" s="1303"/>
      <c r="BV118" s="1303"/>
      <c r="BW118" s="1303"/>
      <c r="BX118" s="1303"/>
      <c r="BY118" s="1303"/>
      <c r="BZ118" s="1303"/>
      <c r="CA118" s="1303"/>
      <c r="CB118" s="1303"/>
      <c r="CC118" s="1303"/>
      <c r="CD118" s="1303"/>
      <c r="CE118" s="1303"/>
      <c r="CF118" s="1303"/>
      <c r="CG118" s="1303"/>
      <c r="CH118" s="1303"/>
      <c r="CI118" s="1303"/>
      <c r="CJ118" s="1303"/>
      <c r="CK118" s="1303"/>
      <c r="CL118" s="1303"/>
      <c r="CM118" s="1303"/>
      <c r="CN118" s="1303"/>
      <c r="CO118" s="1303"/>
      <c r="CP118" s="1303"/>
      <c r="CQ118" s="1303"/>
      <c r="CR118" s="1303"/>
      <c r="CS118" s="1303"/>
      <c r="CT118" s="1303"/>
      <c r="CU118" s="1303"/>
      <c r="CV118" s="1303"/>
      <c r="CW118" s="1303"/>
      <c r="CX118" s="1303"/>
      <c r="CY118" s="1303"/>
      <c r="CZ118" s="1303"/>
      <c r="DA118" s="1303"/>
      <c r="DB118" s="1303"/>
      <c r="DC118" s="1303"/>
      <c r="DD118" s="1303"/>
    </row>
    <row r="119" spans="1:108" s="1304" customFormat="1" ht="39.75" hidden="1" customHeight="1">
      <c r="A119" s="3754" t="s">
        <v>54</v>
      </c>
      <c r="B119" s="1327" t="s">
        <v>129</v>
      </c>
      <c r="C119" s="1328" t="s">
        <v>72</v>
      </c>
      <c r="D119" s="1329"/>
      <c r="E119" s="1330"/>
      <c r="F119" s="1330"/>
      <c r="G119" s="1330"/>
      <c r="H119" s="1330"/>
      <c r="I119" s="1330"/>
      <c r="J119" s="1330"/>
      <c r="K119" s="1330"/>
      <c r="L119" s="1330"/>
      <c r="M119" s="1331"/>
      <c r="N119" s="3732" t="s">
        <v>130</v>
      </c>
      <c r="O119" s="1303"/>
      <c r="P119" s="1303"/>
      <c r="Q119" s="1303"/>
      <c r="R119" s="1303"/>
      <c r="S119" s="1303"/>
      <c r="T119" s="1303"/>
      <c r="U119" s="1303"/>
      <c r="V119" s="1303"/>
      <c r="W119" s="1303"/>
      <c r="X119" s="1303"/>
      <c r="Y119" s="1303"/>
      <c r="Z119" s="1303"/>
      <c r="AA119" s="1303"/>
      <c r="AB119" s="1303"/>
      <c r="AC119" s="1303"/>
      <c r="AD119" s="1303"/>
      <c r="AE119" s="1303"/>
      <c r="AF119" s="1303"/>
      <c r="AG119" s="1303"/>
      <c r="AH119" s="1303"/>
      <c r="AI119" s="1303"/>
      <c r="AJ119" s="1303"/>
      <c r="AK119" s="1303"/>
      <c r="AL119" s="1303"/>
      <c r="AM119" s="1303"/>
      <c r="AN119" s="1303"/>
      <c r="AO119" s="1303"/>
      <c r="AP119" s="1303"/>
      <c r="AQ119" s="1303"/>
      <c r="AR119" s="1303"/>
      <c r="AS119" s="1303"/>
      <c r="AT119" s="1303"/>
      <c r="AU119" s="1303"/>
      <c r="AV119" s="1303"/>
      <c r="AW119" s="1303"/>
      <c r="AX119" s="1303"/>
      <c r="AY119" s="1303"/>
      <c r="AZ119" s="1303"/>
      <c r="BA119" s="1303"/>
      <c r="BB119" s="1303"/>
      <c r="BC119" s="1303"/>
      <c r="BD119" s="1303"/>
      <c r="BE119" s="1303"/>
      <c r="BF119" s="1303"/>
      <c r="BG119" s="1303"/>
      <c r="BH119" s="1303"/>
      <c r="BI119" s="1303"/>
      <c r="BJ119" s="1303"/>
      <c r="BK119" s="1303"/>
      <c r="BL119" s="1303"/>
      <c r="BM119" s="1303"/>
      <c r="BN119" s="1303"/>
      <c r="BO119" s="1303"/>
      <c r="BP119" s="1303"/>
      <c r="BQ119" s="1303"/>
      <c r="BR119" s="1303"/>
      <c r="BS119" s="1303"/>
      <c r="BT119" s="1303"/>
      <c r="BU119" s="1303"/>
      <c r="BV119" s="1303"/>
      <c r="BW119" s="1303"/>
      <c r="BX119" s="1303"/>
      <c r="BY119" s="1303"/>
      <c r="BZ119" s="1303"/>
      <c r="CA119" s="1303"/>
      <c r="CB119" s="1303"/>
      <c r="CC119" s="1303"/>
      <c r="CD119" s="1303"/>
      <c r="CE119" s="1303"/>
      <c r="CF119" s="1303"/>
      <c r="CG119" s="1303"/>
      <c r="CH119" s="1303"/>
      <c r="CI119" s="1303"/>
      <c r="CJ119" s="1303"/>
      <c r="CK119" s="1303"/>
      <c r="CL119" s="1303"/>
      <c r="CM119" s="1303"/>
      <c r="CN119" s="1303"/>
      <c r="CO119" s="1303"/>
      <c r="CP119" s="1303"/>
      <c r="CQ119" s="1303"/>
      <c r="CR119" s="1303"/>
      <c r="CS119" s="1303"/>
      <c r="CT119" s="1303"/>
      <c r="CU119" s="1303"/>
      <c r="CV119" s="1303"/>
      <c r="CW119" s="1303"/>
      <c r="CX119" s="1303"/>
      <c r="CY119" s="1303"/>
      <c r="CZ119" s="1303"/>
      <c r="DA119" s="1303"/>
      <c r="DB119" s="1303"/>
      <c r="DC119" s="1303"/>
      <c r="DD119" s="1303"/>
    </row>
    <row r="120" spans="1:108" s="1304" customFormat="1" ht="18.75" hidden="1" customHeight="1">
      <c r="A120" s="3755"/>
      <c r="B120" s="1332" t="s">
        <v>9</v>
      </c>
      <c r="C120" s="1333"/>
      <c r="D120" s="1302"/>
      <c r="E120" s="1302"/>
      <c r="F120" s="1302">
        <f t="shared" ref="F120:F121" si="83">F121</f>
        <v>0</v>
      </c>
      <c r="G120" s="1302"/>
      <c r="H120" s="1302"/>
      <c r="I120" s="1302"/>
      <c r="J120" s="1302"/>
      <c r="K120" s="1302"/>
      <c r="L120" s="1302"/>
      <c r="M120" s="1320">
        <f>+M121</f>
        <v>0</v>
      </c>
      <c r="N120" s="3733"/>
      <c r="O120" s="1303"/>
      <c r="P120" s="1303"/>
      <c r="Q120" s="1303"/>
      <c r="R120" s="1303"/>
      <c r="S120" s="1303"/>
      <c r="T120" s="1303"/>
      <c r="U120" s="1303"/>
      <c r="V120" s="1303"/>
      <c r="W120" s="1303"/>
      <c r="X120" s="1303"/>
      <c r="Y120" s="1303"/>
      <c r="Z120" s="1303"/>
      <c r="AA120" s="1303"/>
      <c r="AB120" s="1303"/>
      <c r="AC120" s="1303"/>
      <c r="AD120" s="1303"/>
      <c r="AE120" s="1303"/>
      <c r="AF120" s="1303"/>
      <c r="AG120" s="1303"/>
      <c r="AH120" s="1303"/>
      <c r="AI120" s="1303"/>
      <c r="AJ120" s="1303"/>
      <c r="AK120" s="1303"/>
      <c r="AL120" s="1303"/>
      <c r="AM120" s="1303"/>
      <c r="AN120" s="1303"/>
      <c r="AO120" s="1303"/>
      <c r="AP120" s="1303"/>
      <c r="AQ120" s="1303"/>
      <c r="AR120" s="1303"/>
      <c r="AS120" s="1303"/>
      <c r="AT120" s="1303"/>
      <c r="AU120" s="1303"/>
      <c r="AV120" s="1303"/>
      <c r="AW120" s="1303"/>
      <c r="AX120" s="1303"/>
      <c r="AY120" s="1303"/>
      <c r="AZ120" s="1303"/>
      <c r="BA120" s="1303"/>
      <c r="BB120" s="1303"/>
      <c r="BC120" s="1303"/>
      <c r="BD120" s="1303"/>
      <c r="BE120" s="1303"/>
      <c r="BF120" s="1303"/>
      <c r="BG120" s="1303"/>
      <c r="BH120" s="1303"/>
      <c r="BI120" s="1303"/>
      <c r="BJ120" s="1303"/>
      <c r="BK120" s="1303"/>
      <c r="BL120" s="1303"/>
      <c r="BM120" s="1303"/>
      <c r="BN120" s="1303"/>
      <c r="BO120" s="1303"/>
      <c r="BP120" s="1303"/>
      <c r="BQ120" s="1303"/>
      <c r="BR120" s="1303"/>
      <c r="BS120" s="1303"/>
      <c r="BT120" s="1303"/>
      <c r="BU120" s="1303"/>
      <c r="BV120" s="1303"/>
      <c r="BW120" s="1303"/>
      <c r="BX120" s="1303"/>
      <c r="BY120" s="1303"/>
      <c r="BZ120" s="1303"/>
      <c r="CA120" s="1303"/>
      <c r="CB120" s="1303"/>
      <c r="CC120" s="1303"/>
      <c r="CD120" s="1303"/>
      <c r="CE120" s="1303"/>
      <c r="CF120" s="1303"/>
      <c r="CG120" s="1303"/>
      <c r="CH120" s="1303"/>
      <c r="CI120" s="1303"/>
      <c r="CJ120" s="1303"/>
      <c r="CK120" s="1303"/>
      <c r="CL120" s="1303"/>
      <c r="CM120" s="1303"/>
      <c r="CN120" s="1303"/>
      <c r="CO120" s="1303"/>
      <c r="CP120" s="1303"/>
      <c r="CQ120" s="1303"/>
      <c r="CR120" s="1303"/>
      <c r="CS120" s="1303"/>
      <c r="CT120" s="1303"/>
      <c r="CU120" s="1303"/>
      <c r="CV120" s="1303"/>
      <c r="CW120" s="1303"/>
      <c r="CX120" s="1303"/>
      <c r="CY120" s="1303"/>
      <c r="CZ120" s="1303"/>
      <c r="DA120" s="1303"/>
      <c r="DB120" s="1303"/>
      <c r="DC120" s="1303"/>
      <c r="DD120" s="1303"/>
    </row>
    <row r="121" spans="1:108" s="1310" customFormat="1" ht="18.75" hidden="1" customHeight="1">
      <c r="A121" s="3755"/>
      <c r="B121" s="1334" t="s">
        <v>22</v>
      </c>
      <c r="C121" s="3705" t="s">
        <v>131</v>
      </c>
      <c r="D121" s="1335"/>
      <c r="E121" s="1335"/>
      <c r="F121" s="1335">
        <f t="shared" si="83"/>
        <v>0</v>
      </c>
      <c r="G121" s="1335"/>
      <c r="H121" s="1335"/>
      <c r="I121" s="1335"/>
      <c r="J121" s="1335"/>
      <c r="K121" s="1335"/>
      <c r="L121" s="1335"/>
      <c r="M121" s="1336">
        <f>+M122</f>
        <v>0</v>
      </c>
      <c r="N121" s="3733"/>
    </row>
    <row r="122" spans="1:108" s="1304" customFormat="1" ht="18.75" hidden="1" customHeight="1" thickBot="1">
      <c r="A122" s="3756"/>
      <c r="B122" s="3091" t="s">
        <v>11</v>
      </c>
      <c r="C122" s="3726"/>
      <c r="D122" s="1337"/>
      <c r="E122" s="1337"/>
      <c r="F122" s="1337">
        <v>0</v>
      </c>
      <c r="G122" s="1337"/>
      <c r="H122" s="1337"/>
      <c r="I122" s="1337"/>
      <c r="J122" s="1337"/>
      <c r="K122" s="1337"/>
      <c r="L122" s="1337"/>
      <c r="M122" s="1309">
        <f>SUM(F122:G122)</f>
        <v>0</v>
      </c>
      <c r="N122" s="3734"/>
      <c r="O122" s="1303"/>
      <c r="P122" s="1303"/>
      <c r="Q122" s="1303"/>
      <c r="R122" s="1303"/>
      <c r="S122" s="1303"/>
      <c r="T122" s="1303"/>
      <c r="U122" s="1303"/>
      <c r="V122" s="1303"/>
      <c r="W122" s="1303"/>
      <c r="X122" s="1303"/>
      <c r="Y122" s="1303"/>
      <c r="Z122" s="1303"/>
      <c r="AA122" s="1303"/>
      <c r="AB122" s="1303"/>
      <c r="AC122" s="1303"/>
      <c r="AD122" s="1303"/>
      <c r="AE122" s="1303"/>
      <c r="AF122" s="1303"/>
      <c r="AG122" s="1303"/>
      <c r="AH122" s="1303"/>
      <c r="AI122" s="1303"/>
      <c r="AJ122" s="1303"/>
      <c r="AK122" s="1303"/>
      <c r="AL122" s="1303"/>
      <c r="AM122" s="1303"/>
      <c r="AN122" s="1303"/>
      <c r="AO122" s="1303"/>
      <c r="AP122" s="1303"/>
      <c r="AQ122" s="1303"/>
      <c r="AR122" s="1303"/>
      <c r="AS122" s="1303"/>
      <c r="AT122" s="1303"/>
      <c r="AU122" s="1303"/>
      <c r="AV122" s="1303"/>
      <c r="AW122" s="1303"/>
      <c r="AX122" s="1303"/>
      <c r="AY122" s="1303"/>
      <c r="AZ122" s="1303"/>
      <c r="BA122" s="1303"/>
      <c r="BB122" s="1303"/>
      <c r="BC122" s="1303"/>
      <c r="BD122" s="1303"/>
      <c r="BE122" s="1303"/>
      <c r="BF122" s="1303"/>
      <c r="BG122" s="1303"/>
      <c r="BH122" s="1303"/>
      <c r="BI122" s="1303"/>
      <c r="BJ122" s="1303"/>
      <c r="BK122" s="1303"/>
      <c r="BL122" s="1303"/>
      <c r="BM122" s="1303"/>
      <c r="BN122" s="1303"/>
      <c r="BO122" s="1303"/>
      <c r="BP122" s="1303"/>
      <c r="BQ122" s="1303"/>
      <c r="BR122" s="1303"/>
      <c r="BS122" s="1303"/>
      <c r="BT122" s="1303"/>
      <c r="BU122" s="1303"/>
      <c r="BV122" s="1303"/>
      <c r="BW122" s="1303"/>
      <c r="BX122" s="1303"/>
      <c r="BY122" s="1303"/>
      <c r="BZ122" s="1303"/>
      <c r="CA122" s="1303"/>
      <c r="CB122" s="1303"/>
      <c r="CC122" s="1303"/>
      <c r="CD122" s="1303"/>
      <c r="CE122" s="1303"/>
      <c r="CF122" s="1303"/>
      <c r="CG122" s="1303"/>
      <c r="CH122" s="1303"/>
      <c r="CI122" s="1303"/>
      <c r="CJ122" s="1303"/>
      <c r="CK122" s="1303"/>
      <c r="CL122" s="1303"/>
      <c r="CM122" s="1303"/>
      <c r="CN122" s="1303"/>
      <c r="CO122" s="1303"/>
      <c r="CP122" s="1303"/>
      <c r="CQ122" s="1303"/>
      <c r="CR122" s="1303"/>
      <c r="CS122" s="1303"/>
      <c r="CT122" s="1303"/>
      <c r="CU122" s="1303"/>
      <c r="CV122" s="1303"/>
      <c r="CW122" s="1303"/>
      <c r="CX122" s="1303"/>
      <c r="CY122" s="1303"/>
      <c r="CZ122" s="1303"/>
      <c r="DA122" s="1303"/>
      <c r="DB122" s="1303"/>
      <c r="DC122" s="1303"/>
      <c r="DD122" s="1303"/>
    </row>
    <row r="123" spans="1:108" ht="12.75" hidden="1" customHeight="1">
      <c r="A123" s="3727" t="s">
        <v>55</v>
      </c>
      <c r="B123" s="2871" t="s">
        <v>132</v>
      </c>
      <c r="C123" s="2989" t="s">
        <v>72</v>
      </c>
      <c r="D123" s="2989"/>
      <c r="E123" s="2989"/>
      <c r="F123" s="2989"/>
      <c r="G123" s="2989"/>
      <c r="H123" s="2989"/>
      <c r="I123" s="2989"/>
      <c r="J123" s="2989"/>
      <c r="K123" s="2989"/>
      <c r="L123" s="2989"/>
      <c r="M123" s="1338"/>
      <c r="N123" s="3729" t="s">
        <v>133</v>
      </c>
    </row>
    <row r="124" spans="1:108" ht="13.5" hidden="1" customHeight="1">
      <c r="A124" s="3728"/>
      <c r="B124" s="3073" t="s">
        <v>9</v>
      </c>
      <c r="C124" s="1339"/>
      <c r="D124" s="2989"/>
      <c r="E124" s="2989"/>
      <c r="F124" s="2989">
        <v>0</v>
      </c>
      <c r="G124" s="2989"/>
      <c r="H124" s="2989"/>
      <c r="I124" s="2989"/>
      <c r="J124" s="2989"/>
      <c r="K124" s="2989"/>
      <c r="L124" s="2989"/>
      <c r="M124" s="1338"/>
      <c r="N124" s="3729"/>
    </row>
    <row r="125" spans="1:108" ht="14.25" hidden="1" customHeight="1">
      <c r="A125" s="3728"/>
      <c r="B125" s="2871" t="s">
        <v>22</v>
      </c>
      <c r="C125" s="3731" t="s">
        <v>134</v>
      </c>
      <c r="D125" s="2989"/>
      <c r="E125" s="2989"/>
      <c r="F125" s="2989">
        <v>0</v>
      </c>
      <c r="G125" s="2989"/>
      <c r="H125" s="2989"/>
      <c r="I125" s="2989"/>
      <c r="J125" s="2989"/>
      <c r="K125" s="2989"/>
      <c r="L125" s="2989"/>
      <c r="M125" s="1338"/>
      <c r="N125" s="3730"/>
    </row>
    <row r="126" spans="1:108" ht="15" hidden="1" customHeight="1" thickBot="1">
      <c r="A126" s="3728"/>
      <c r="B126" s="2871" t="s">
        <v>11</v>
      </c>
      <c r="C126" s="3731"/>
      <c r="D126" s="2989"/>
      <c r="E126" s="2989"/>
      <c r="F126" s="2989">
        <v>0</v>
      </c>
      <c r="G126" s="2989"/>
      <c r="H126" s="2989"/>
      <c r="I126" s="2989"/>
      <c r="J126" s="2989"/>
      <c r="K126" s="2989"/>
      <c r="L126" s="2989"/>
      <c r="M126" s="1338"/>
      <c r="N126" s="3730"/>
    </row>
    <row r="127" spans="1:108" ht="36.75" hidden="1" customHeight="1">
      <c r="A127" s="3742" t="s">
        <v>54</v>
      </c>
      <c r="B127" s="1327" t="s">
        <v>193</v>
      </c>
      <c r="C127" s="1340" t="s">
        <v>72</v>
      </c>
      <c r="D127" s="1341"/>
      <c r="E127" s="1330"/>
      <c r="F127" s="1330"/>
      <c r="G127" s="1330"/>
      <c r="H127" s="1330"/>
      <c r="I127" s="1330"/>
      <c r="J127" s="1330"/>
      <c r="K127" s="1330"/>
      <c r="L127" s="1330"/>
      <c r="M127" s="1342"/>
      <c r="N127" s="3746" t="s">
        <v>165</v>
      </c>
    </row>
    <row r="128" spans="1:108" ht="14.25" hidden="1" customHeight="1">
      <c r="A128" s="3727"/>
      <c r="B128" s="3068" t="s">
        <v>9</v>
      </c>
      <c r="C128" s="1339"/>
      <c r="D128" s="1343"/>
      <c r="E128" s="1343">
        <f>+E129+E132</f>
        <v>0</v>
      </c>
      <c r="F128" s="1343">
        <v>0</v>
      </c>
      <c r="G128" s="1343">
        <v>0</v>
      </c>
      <c r="H128" s="1343">
        <v>0</v>
      </c>
      <c r="I128" s="1343">
        <v>0</v>
      </c>
      <c r="J128" s="1343">
        <v>0</v>
      </c>
      <c r="K128" s="1343">
        <v>0</v>
      </c>
      <c r="L128" s="2716"/>
      <c r="M128" s="1320">
        <f>+M129</f>
        <v>0</v>
      </c>
      <c r="N128" s="3746"/>
    </row>
    <row r="129" spans="1:14" ht="15.75" hidden="1" customHeight="1">
      <c r="A129" s="3727"/>
      <c r="B129" s="3092" t="s">
        <v>22</v>
      </c>
      <c r="C129" s="3705" t="s">
        <v>135</v>
      </c>
      <c r="D129" s="1344"/>
      <c r="E129" s="1344">
        <f t="shared" ref="E129" si="84">E130+E131</f>
        <v>0</v>
      </c>
      <c r="F129" s="1344">
        <f t="shared" ref="F129:K129" si="85">F130+F131</f>
        <v>0</v>
      </c>
      <c r="G129" s="1344">
        <f t="shared" si="85"/>
        <v>0</v>
      </c>
      <c r="H129" s="1344">
        <f t="shared" si="85"/>
        <v>0</v>
      </c>
      <c r="I129" s="1344">
        <f t="shared" si="85"/>
        <v>0</v>
      </c>
      <c r="J129" s="1344">
        <f t="shared" si="85"/>
        <v>0</v>
      </c>
      <c r="K129" s="1344">
        <f t="shared" si="85"/>
        <v>0</v>
      </c>
      <c r="L129" s="2717"/>
      <c r="M129" s="1307">
        <f>+M131</f>
        <v>0</v>
      </c>
      <c r="N129" s="3746"/>
    </row>
    <row r="130" spans="1:14" ht="13.5" hidden="1" customHeight="1">
      <c r="A130" s="3727"/>
      <c r="B130" s="1345" t="s">
        <v>126</v>
      </c>
      <c r="C130" s="3725"/>
      <c r="D130" s="1290"/>
      <c r="E130" s="1290"/>
      <c r="F130" s="1294">
        <v>0</v>
      </c>
      <c r="G130" s="1294">
        <v>0</v>
      </c>
      <c r="H130" s="1294">
        <v>0</v>
      </c>
      <c r="I130" s="1294">
        <v>0</v>
      </c>
      <c r="J130" s="1294">
        <v>0</v>
      </c>
      <c r="K130" s="1294">
        <v>0</v>
      </c>
      <c r="L130" s="1290"/>
      <c r="M130" s="1314" t="s">
        <v>52</v>
      </c>
      <c r="N130" s="3746"/>
    </row>
    <row r="131" spans="1:14" ht="13.5" hidden="1" customHeight="1">
      <c r="A131" s="3727"/>
      <c r="B131" s="3093" t="s">
        <v>127</v>
      </c>
      <c r="C131" s="3725"/>
      <c r="D131" s="1290"/>
      <c r="E131" s="1290"/>
      <c r="F131" s="1346">
        <v>0</v>
      </c>
      <c r="G131" s="1346">
        <v>0</v>
      </c>
      <c r="H131" s="1346">
        <v>0</v>
      </c>
      <c r="I131" s="1346">
        <v>0</v>
      </c>
      <c r="J131" s="1346">
        <v>0</v>
      </c>
      <c r="K131" s="1346">
        <v>0</v>
      </c>
      <c r="L131" s="1346"/>
      <c r="M131" s="1307"/>
      <c r="N131" s="3746"/>
    </row>
    <row r="132" spans="1:14" ht="12" hidden="1" customHeight="1">
      <c r="A132" s="3727"/>
      <c r="B132" s="3092" t="s">
        <v>17</v>
      </c>
      <c r="C132" s="3725"/>
      <c r="D132" s="1344"/>
      <c r="E132" s="1344">
        <f t="shared" ref="E132" si="86">+E133</f>
        <v>0</v>
      </c>
      <c r="F132" s="1344">
        <v>0</v>
      </c>
      <c r="G132" s="1344">
        <v>0</v>
      </c>
      <c r="H132" s="1344">
        <v>0</v>
      </c>
      <c r="I132" s="1344">
        <v>0</v>
      </c>
      <c r="J132" s="1344">
        <v>0</v>
      </c>
      <c r="K132" s="1344">
        <v>0</v>
      </c>
      <c r="L132" s="2718"/>
      <c r="M132" s="1314" t="str">
        <f>+M133</f>
        <v>x</v>
      </c>
      <c r="N132" s="3746"/>
    </row>
    <row r="133" spans="1:14" ht="14.25" hidden="1" customHeight="1">
      <c r="A133" s="3727"/>
      <c r="B133" s="3094" t="s">
        <v>33</v>
      </c>
      <c r="C133" s="3706"/>
      <c r="D133" s="1290"/>
      <c r="E133" s="1290"/>
      <c r="F133" s="2872">
        <v>0</v>
      </c>
      <c r="G133" s="2872">
        <v>0</v>
      </c>
      <c r="H133" s="2872">
        <v>0</v>
      </c>
      <c r="I133" s="2872">
        <v>0</v>
      </c>
      <c r="J133" s="2872">
        <v>0</v>
      </c>
      <c r="K133" s="2872">
        <v>0</v>
      </c>
      <c r="L133" s="2872"/>
      <c r="M133" s="1347" t="s">
        <v>52</v>
      </c>
      <c r="N133" s="3746"/>
    </row>
    <row r="134" spans="1:14" ht="13.5" hidden="1" customHeight="1">
      <c r="A134" s="3727"/>
      <c r="B134" s="3073" t="s">
        <v>20</v>
      </c>
      <c r="C134" s="1339"/>
      <c r="D134" s="1343"/>
      <c r="E134" s="1343">
        <f>E138+E135</f>
        <v>0</v>
      </c>
      <c r="F134" s="1343">
        <v>0</v>
      </c>
      <c r="G134" s="1343">
        <v>0</v>
      </c>
      <c r="H134" s="1343">
        <v>0</v>
      </c>
      <c r="I134" s="1343">
        <v>0</v>
      </c>
      <c r="J134" s="1343">
        <v>0</v>
      </c>
      <c r="K134" s="1343">
        <v>0</v>
      </c>
      <c r="L134" s="2716"/>
      <c r="M134" s="1320"/>
      <c r="N134" s="3746"/>
    </row>
    <row r="135" spans="1:14" ht="14.25" hidden="1" customHeight="1">
      <c r="A135" s="3727"/>
      <c r="B135" s="3075" t="s">
        <v>22</v>
      </c>
      <c r="C135" s="3748" t="s">
        <v>21</v>
      </c>
      <c r="D135" s="1348"/>
      <c r="E135" s="1348">
        <f t="shared" ref="E135" si="87">+E137+E136</f>
        <v>0</v>
      </c>
      <c r="F135" s="1344">
        <f t="shared" ref="F135:K135" si="88">+F137+F136</f>
        <v>0</v>
      </c>
      <c r="G135" s="1344">
        <f t="shared" si="88"/>
        <v>0</v>
      </c>
      <c r="H135" s="1344">
        <f t="shared" si="88"/>
        <v>0</v>
      </c>
      <c r="I135" s="1344">
        <f t="shared" si="88"/>
        <v>0</v>
      </c>
      <c r="J135" s="1344">
        <f t="shared" si="88"/>
        <v>0</v>
      </c>
      <c r="K135" s="1344">
        <f t="shared" si="88"/>
        <v>0</v>
      </c>
      <c r="L135" s="2717"/>
      <c r="M135" s="3751" t="s">
        <v>52</v>
      </c>
      <c r="N135" s="3746"/>
    </row>
    <row r="136" spans="1:14" ht="13.5" hidden="1" customHeight="1">
      <c r="A136" s="3727"/>
      <c r="B136" s="1345" t="s">
        <v>126</v>
      </c>
      <c r="C136" s="3749"/>
      <c r="D136" s="1290"/>
      <c r="E136" s="1290"/>
      <c r="F136" s="1349">
        <v>0</v>
      </c>
      <c r="G136" s="1349">
        <v>0</v>
      </c>
      <c r="H136" s="1349">
        <v>0</v>
      </c>
      <c r="I136" s="1349">
        <v>0</v>
      </c>
      <c r="J136" s="1349">
        <v>0</v>
      </c>
      <c r="K136" s="1349">
        <v>0</v>
      </c>
      <c r="L136" s="2719"/>
      <c r="M136" s="3752"/>
      <c r="N136" s="3746"/>
    </row>
    <row r="137" spans="1:14" ht="13.5" hidden="1" customHeight="1">
      <c r="A137" s="3727"/>
      <c r="B137" s="3093" t="s">
        <v>136</v>
      </c>
      <c r="C137" s="3749"/>
      <c r="D137" s="1290"/>
      <c r="E137" s="1350"/>
      <c r="F137" s="1346">
        <v>0</v>
      </c>
      <c r="G137" s="1346">
        <v>0</v>
      </c>
      <c r="H137" s="1346">
        <v>0</v>
      </c>
      <c r="I137" s="1346">
        <v>0</v>
      </c>
      <c r="J137" s="1346">
        <v>0</v>
      </c>
      <c r="K137" s="1346">
        <v>0</v>
      </c>
      <c r="L137" s="2720"/>
      <c r="M137" s="3752"/>
      <c r="N137" s="3746"/>
    </row>
    <row r="138" spans="1:14" ht="12.75" hidden="1" customHeight="1">
      <c r="A138" s="3727"/>
      <c r="B138" s="3092" t="s">
        <v>17</v>
      </c>
      <c r="C138" s="3749"/>
      <c r="D138" s="1348"/>
      <c r="E138" s="1348">
        <f t="shared" ref="E138" si="89">+E139</f>
        <v>0</v>
      </c>
      <c r="F138" s="1344">
        <v>0</v>
      </c>
      <c r="G138" s="1344">
        <v>0</v>
      </c>
      <c r="H138" s="1344">
        <v>0</v>
      </c>
      <c r="I138" s="1344"/>
      <c r="J138" s="1344"/>
      <c r="K138" s="1344"/>
      <c r="L138" s="2721"/>
      <c r="M138" s="3752"/>
      <c r="N138" s="3746"/>
    </row>
    <row r="139" spans="1:14" ht="15" hidden="1" customHeight="1" thickBot="1">
      <c r="A139" s="3727"/>
      <c r="B139" s="1351" t="s">
        <v>33</v>
      </c>
      <c r="C139" s="3750"/>
      <c r="D139" s="1290"/>
      <c r="E139" s="1290">
        <v>0</v>
      </c>
      <c r="F139" s="1349">
        <v>0</v>
      </c>
      <c r="G139" s="1349">
        <v>0</v>
      </c>
      <c r="H139" s="1349">
        <v>0</v>
      </c>
      <c r="I139" s="1349">
        <v>0</v>
      </c>
      <c r="J139" s="1349">
        <v>0</v>
      </c>
      <c r="K139" s="1349">
        <v>0</v>
      </c>
      <c r="L139" s="2719"/>
      <c r="M139" s="3753"/>
      <c r="N139" s="3747"/>
    </row>
    <row r="140" spans="1:14" ht="15" hidden="1" customHeight="1">
      <c r="A140" s="3742" t="s">
        <v>54</v>
      </c>
      <c r="B140" s="1352" t="s">
        <v>167</v>
      </c>
      <c r="C140" s="1353" t="s">
        <v>72</v>
      </c>
      <c r="D140" s="1354"/>
      <c r="E140" s="1330"/>
      <c r="F140" s="1330"/>
      <c r="G140" s="1330"/>
      <c r="H140" s="1330"/>
      <c r="I140" s="1330"/>
      <c r="J140" s="1330"/>
      <c r="K140" s="1330"/>
      <c r="L140" s="2722"/>
      <c r="M140" s="1288"/>
      <c r="N140" s="3686" t="s">
        <v>171</v>
      </c>
    </row>
    <row r="141" spans="1:14" s="1285" customFormat="1" ht="10.5" hidden="1" customHeight="1">
      <c r="A141" s="3728"/>
      <c r="B141" s="1355" t="s">
        <v>9</v>
      </c>
      <c r="C141" s="1339"/>
      <c r="D141" s="1356"/>
      <c r="E141" s="1356">
        <f t="shared" ref="E141:I142" si="90">E142</f>
        <v>0</v>
      </c>
      <c r="F141" s="1356">
        <f t="shared" si="90"/>
        <v>0</v>
      </c>
      <c r="G141" s="1356">
        <f t="shared" si="90"/>
        <v>0</v>
      </c>
      <c r="H141" s="1356">
        <f t="shared" si="90"/>
        <v>0</v>
      </c>
      <c r="I141" s="1356">
        <f t="shared" si="90"/>
        <v>0</v>
      </c>
      <c r="J141" s="1356">
        <f>J142</f>
        <v>0</v>
      </c>
      <c r="K141" s="1356">
        <f>K142</f>
        <v>0</v>
      </c>
      <c r="L141" s="1356"/>
      <c r="M141" s="1357">
        <f>+M142</f>
        <v>0</v>
      </c>
      <c r="N141" s="3687"/>
    </row>
    <row r="142" spans="1:14" s="1360" customFormat="1" ht="13.5" hidden="1" customHeight="1">
      <c r="A142" s="3728"/>
      <c r="B142" s="1358" t="s">
        <v>22</v>
      </c>
      <c r="C142" s="3744" t="s">
        <v>135</v>
      </c>
      <c r="D142" s="1348"/>
      <c r="E142" s="1348">
        <f>E143</f>
        <v>0</v>
      </c>
      <c r="F142" s="1348">
        <f t="shared" si="90"/>
        <v>0</v>
      </c>
      <c r="G142" s="1348">
        <f t="shared" si="90"/>
        <v>0</v>
      </c>
      <c r="H142" s="1348">
        <f t="shared" si="90"/>
        <v>0</v>
      </c>
      <c r="I142" s="1348">
        <f t="shared" si="90"/>
        <v>0</v>
      </c>
      <c r="J142" s="1348">
        <f>J143</f>
        <v>0</v>
      </c>
      <c r="K142" s="1348">
        <f>K143</f>
        <v>0</v>
      </c>
      <c r="L142" s="1348"/>
      <c r="M142" s="1359">
        <f>+M143</f>
        <v>0</v>
      </c>
      <c r="N142" s="3687"/>
    </row>
    <row r="143" spans="1:14" s="1285" customFormat="1" ht="22.5" hidden="1" customHeight="1" thickBot="1">
      <c r="A143" s="3743"/>
      <c r="B143" s="1361" t="s">
        <v>127</v>
      </c>
      <c r="C143" s="3745"/>
      <c r="D143" s="1728"/>
      <c r="E143" s="1728">
        <v>0</v>
      </c>
      <c r="F143" s="1362">
        <v>0</v>
      </c>
      <c r="G143" s="1362">
        <v>0</v>
      </c>
      <c r="H143" s="1362">
        <v>0</v>
      </c>
      <c r="I143" s="1362">
        <v>0</v>
      </c>
      <c r="J143" s="1362">
        <v>0</v>
      </c>
      <c r="K143" s="1362">
        <v>0</v>
      </c>
      <c r="L143" s="2723"/>
      <c r="M143" s="1363"/>
      <c r="N143" s="3689"/>
    </row>
    <row r="144" spans="1:14" ht="12.75" hidden="1">
      <c r="A144" s="3095"/>
      <c r="B144" s="2989"/>
      <c r="C144" s="2989"/>
      <c r="D144" s="2989"/>
      <c r="E144" s="2989"/>
      <c r="F144" s="2989"/>
      <c r="G144" s="2989"/>
      <c r="H144" s="2989"/>
      <c r="I144" s="2989"/>
      <c r="J144" s="2989"/>
      <c r="K144" s="2989"/>
      <c r="L144" s="2989"/>
      <c r="M144" s="2989"/>
      <c r="N144" s="3096"/>
    </row>
    <row r="145" spans="1:14" ht="12.75" hidden="1">
      <c r="A145" s="3095"/>
      <c r="B145" s="2873" t="s">
        <v>332</v>
      </c>
      <c r="C145" s="2872"/>
      <c r="D145" s="2872"/>
      <c r="E145" s="2872"/>
      <c r="F145" s="2872"/>
      <c r="G145" s="2872"/>
      <c r="H145" s="2872"/>
      <c r="I145" s="2872"/>
      <c r="J145" s="2872"/>
      <c r="K145" s="2872"/>
      <c r="L145" s="2872"/>
      <c r="M145" s="2989"/>
      <c r="N145" s="3096"/>
    </row>
    <row r="146" spans="1:14" ht="12.75" hidden="1">
      <c r="A146" s="3095"/>
      <c r="B146" s="2873" t="s">
        <v>333</v>
      </c>
      <c r="C146" s="2872"/>
      <c r="D146" s="2838">
        <f>D72+D58+D42+D81</f>
        <v>767920</v>
      </c>
      <c r="E146" s="2838">
        <f t="shared" ref="E146:K146" si="91">E72+E58+E42+E81</f>
        <v>399317</v>
      </c>
      <c r="F146" s="2838">
        <f t="shared" si="91"/>
        <v>117779</v>
      </c>
      <c r="G146" s="2838">
        <f t="shared" si="91"/>
        <v>121422</v>
      </c>
      <c r="H146" s="2838">
        <f t="shared" si="91"/>
        <v>99540</v>
      </c>
      <c r="I146" s="2838">
        <f t="shared" si="91"/>
        <v>29862</v>
      </c>
      <c r="J146" s="2838">
        <f t="shared" si="91"/>
        <v>0</v>
      </c>
      <c r="K146" s="2838">
        <f t="shared" si="91"/>
        <v>0</v>
      </c>
      <c r="L146" s="2838">
        <f>L72+L58+L42+L81</f>
        <v>0</v>
      </c>
      <c r="M146" s="2989"/>
      <c r="N146" s="3096"/>
    </row>
    <row r="147" spans="1:14" ht="12.75" hidden="1">
      <c r="A147" s="3095"/>
      <c r="B147" s="2873" t="s">
        <v>334</v>
      </c>
      <c r="C147" s="2872"/>
      <c r="D147" s="2838">
        <v>0</v>
      </c>
      <c r="E147" s="2838">
        <v>0</v>
      </c>
      <c r="F147" s="2838">
        <v>0</v>
      </c>
      <c r="G147" s="2838">
        <v>0</v>
      </c>
      <c r="H147" s="2838">
        <v>0</v>
      </c>
      <c r="I147" s="2838">
        <v>0</v>
      </c>
      <c r="J147" s="2838">
        <v>0</v>
      </c>
      <c r="K147" s="2838">
        <v>0</v>
      </c>
      <c r="L147" s="2838">
        <v>0</v>
      </c>
      <c r="M147" s="2989"/>
      <c r="N147" s="3096"/>
    </row>
    <row r="148" spans="1:14" ht="12.75" hidden="1">
      <c r="A148" s="3095"/>
      <c r="B148" s="2873" t="s">
        <v>335</v>
      </c>
      <c r="C148" s="2872"/>
      <c r="D148" s="1547">
        <f>D146+D147</f>
        <v>767920</v>
      </c>
      <c r="E148" s="1547">
        <f t="shared" ref="E148:K148" si="92">E146+E147</f>
        <v>399317</v>
      </c>
      <c r="F148" s="1547">
        <f t="shared" si="92"/>
        <v>117779</v>
      </c>
      <c r="G148" s="1547">
        <f t="shared" si="92"/>
        <v>121422</v>
      </c>
      <c r="H148" s="1547">
        <f t="shared" si="92"/>
        <v>99540</v>
      </c>
      <c r="I148" s="1547">
        <f t="shared" si="92"/>
        <v>29862</v>
      </c>
      <c r="J148" s="1547">
        <f t="shared" si="92"/>
        <v>0</v>
      </c>
      <c r="K148" s="1547">
        <f t="shared" si="92"/>
        <v>0</v>
      </c>
      <c r="L148" s="1547">
        <f>L146+L147</f>
        <v>0</v>
      </c>
      <c r="M148" s="2989"/>
      <c r="N148" s="3096"/>
    </row>
    <row r="149" spans="1:14" ht="12.75" hidden="1">
      <c r="A149" s="3097"/>
      <c r="B149" s="1365" t="s">
        <v>40</v>
      </c>
      <c r="C149" s="1366"/>
      <c r="D149" s="1548">
        <f t="shared" ref="D149:L149" si="93">D19-D148</f>
        <v>0</v>
      </c>
      <c r="E149" s="1548">
        <f t="shared" si="93"/>
        <v>0</v>
      </c>
      <c r="F149" s="1548">
        <f t="shared" si="93"/>
        <v>0</v>
      </c>
      <c r="G149" s="1548">
        <f t="shared" si="93"/>
        <v>0</v>
      </c>
      <c r="H149" s="1548">
        <f t="shared" si="93"/>
        <v>0</v>
      </c>
      <c r="I149" s="1548">
        <f t="shared" si="93"/>
        <v>0</v>
      </c>
      <c r="J149" s="1548">
        <f t="shared" si="93"/>
        <v>0</v>
      </c>
      <c r="K149" s="1548">
        <f t="shared" si="93"/>
        <v>0</v>
      </c>
      <c r="L149" s="1548">
        <f t="shared" si="93"/>
        <v>0</v>
      </c>
      <c r="N149" s="3096"/>
    </row>
    <row r="150" spans="1:14" hidden="1">
      <c r="A150" s="3097"/>
      <c r="N150" s="3096"/>
    </row>
    <row r="151" spans="1:14" hidden="1">
      <c r="A151" s="3097"/>
      <c r="N151" s="3096"/>
    </row>
    <row r="152" spans="1:14" hidden="1">
      <c r="A152" s="3097"/>
      <c r="N152" s="3096"/>
    </row>
    <row r="153" spans="1:14">
      <c r="A153" s="3097"/>
      <c r="N153" s="3096"/>
    </row>
    <row r="154" spans="1:14" ht="12" thickBot="1">
      <c r="A154" s="3098"/>
      <c r="B154" s="1730"/>
      <c r="C154" s="1730"/>
      <c r="D154" s="1730"/>
      <c r="E154" s="1730"/>
      <c r="F154" s="1730"/>
      <c r="G154" s="1730"/>
      <c r="H154" s="1730"/>
      <c r="I154" s="1730"/>
      <c r="J154" s="1730"/>
      <c r="K154" s="1730"/>
      <c r="L154" s="1730"/>
      <c r="M154" s="1730"/>
      <c r="N154" s="3099"/>
    </row>
    <row r="155" spans="1:14">
      <c r="A155" s="3097"/>
      <c r="N155" s="3096"/>
    </row>
    <row r="156" spans="1:14">
      <c r="A156" s="3097"/>
      <c r="N156" s="3096"/>
    </row>
    <row r="157" spans="1:14">
      <c r="A157" s="3097"/>
      <c r="N157" s="3096"/>
    </row>
    <row r="158" spans="1:14">
      <c r="A158" s="3097"/>
      <c r="N158" s="3096"/>
    </row>
    <row r="159" spans="1:14">
      <c r="A159" s="3097"/>
      <c r="N159" s="3096"/>
    </row>
    <row r="160" spans="1:14">
      <c r="A160" s="3097"/>
      <c r="N160" s="3096"/>
    </row>
    <row r="161" spans="1:14">
      <c r="A161" s="3097"/>
      <c r="N161" s="3096"/>
    </row>
    <row r="162" spans="1:14">
      <c r="A162" s="3097"/>
      <c r="N162" s="3096"/>
    </row>
    <row r="163" spans="1:14">
      <c r="A163" s="3097"/>
      <c r="N163" s="3096"/>
    </row>
    <row r="164" spans="1:14">
      <c r="A164" s="3097"/>
      <c r="N164" s="3096"/>
    </row>
    <row r="165" spans="1:14">
      <c r="A165" s="3097"/>
      <c r="N165" s="3096"/>
    </row>
    <row r="166" spans="1:14">
      <c r="A166" s="3097"/>
      <c r="N166" s="3096"/>
    </row>
    <row r="167" spans="1:14">
      <c r="A167" s="3097"/>
      <c r="N167" s="3096"/>
    </row>
    <row r="168" spans="1:14">
      <c r="A168" s="3097"/>
      <c r="N168" s="3096"/>
    </row>
    <row r="169" spans="1:14">
      <c r="A169" s="3097"/>
      <c r="N169" s="3096"/>
    </row>
    <row r="170" spans="1:14">
      <c r="A170" s="3097"/>
      <c r="N170" s="3096"/>
    </row>
    <row r="171" spans="1:14">
      <c r="A171" s="3097"/>
      <c r="N171" s="3096"/>
    </row>
    <row r="172" spans="1:14">
      <c r="A172" s="3097"/>
      <c r="N172" s="3096"/>
    </row>
    <row r="173" spans="1:14">
      <c r="A173" s="3097"/>
      <c r="N173" s="3096"/>
    </row>
    <row r="174" spans="1:14">
      <c r="A174" s="3097"/>
      <c r="N174" s="3096"/>
    </row>
    <row r="175" spans="1:14">
      <c r="A175" s="3097"/>
      <c r="N175" s="3096"/>
    </row>
    <row r="176" spans="1:14">
      <c r="A176" s="3097"/>
      <c r="N176" s="3096"/>
    </row>
    <row r="177" spans="1:14">
      <c r="A177" s="3097"/>
      <c r="N177" s="3096"/>
    </row>
    <row r="178" spans="1:14" ht="12" thickBot="1">
      <c r="A178" s="3098"/>
      <c r="N178" s="3096"/>
    </row>
    <row r="179" spans="1:14" ht="12" thickBot="1">
      <c r="A179" s="3100"/>
      <c r="N179" s="3096"/>
    </row>
    <row r="180" spans="1:14" ht="12" thickBot="1">
      <c r="A180" s="3100"/>
      <c r="N180" s="3096"/>
    </row>
    <row r="181" spans="1:14" ht="12" thickBot="1">
      <c r="A181" s="3100"/>
      <c r="N181" s="3096"/>
    </row>
    <row r="182" spans="1:14" ht="12" thickBot="1">
      <c r="A182" s="3100"/>
      <c r="N182" s="3096"/>
    </row>
    <row r="183" spans="1:14" ht="12" thickBot="1">
      <c r="A183" s="3100"/>
      <c r="N183" s="3096"/>
    </row>
    <row r="184" spans="1:14" ht="12" thickBot="1">
      <c r="A184" s="3100"/>
      <c r="N184" s="3096"/>
    </row>
    <row r="185" spans="1:14" ht="12" thickBot="1">
      <c r="A185" s="3100"/>
      <c r="N185" s="3096"/>
    </row>
    <row r="186" spans="1:14" ht="12" thickBot="1">
      <c r="A186" s="3100"/>
      <c r="N186" s="3096"/>
    </row>
    <row r="187" spans="1:14" ht="12" thickBot="1">
      <c r="A187" s="3100"/>
      <c r="N187" s="3096"/>
    </row>
    <row r="188" spans="1:14" ht="12" thickBot="1">
      <c r="A188" s="3100"/>
      <c r="N188" s="3096"/>
    </row>
    <row r="189" spans="1:14" ht="12" thickBot="1">
      <c r="A189" s="3100"/>
      <c r="B189" s="1730"/>
      <c r="N189" s="3096"/>
    </row>
    <row r="190" spans="1:14" ht="12" thickBot="1">
      <c r="A190" s="3100"/>
      <c r="B190" s="2004"/>
      <c r="N190" s="3096"/>
    </row>
    <row r="191" spans="1:14" ht="12" thickBot="1">
      <c r="A191" s="3100"/>
      <c r="N191" s="3096"/>
    </row>
    <row r="192" spans="1:14" ht="12" thickBot="1">
      <c r="A192" s="3100"/>
      <c r="N192" s="3096"/>
    </row>
    <row r="193" spans="1:14" ht="12" thickBot="1">
      <c r="A193" s="3100"/>
      <c r="N193" s="3096"/>
    </row>
    <row r="194" spans="1:14" ht="12" thickBot="1">
      <c r="A194" s="3100"/>
      <c r="N194" s="3096"/>
    </row>
    <row r="195" spans="1:14" ht="12" thickBot="1">
      <c r="A195" s="3100"/>
      <c r="N195" s="3096"/>
    </row>
    <row r="196" spans="1:14" ht="12" thickBot="1">
      <c r="A196" s="3100"/>
      <c r="N196" s="3096"/>
    </row>
    <row r="197" spans="1:14" ht="12" thickBot="1">
      <c r="A197" s="3100"/>
      <c r="N197" s="3096"/>
    </row>
    <row r="198" spans="1:14" ht="12" thickBot="1">
      <c r="A198" s="3100"/>
      <c r="N198" s="3096"/>
    </row>
    <row r="199" spans="1:14" ht="12" thickBot="1">
      <c r="A199" s="3100"/>
      <c r="N199" s="3096"/>
    </row>
    <row r="200" spans="1:14" ht="12" thickBot="1">
      <c r="A200" s="3100"/>
      <c r="N200" s="3096"/>
    </row>
    <row r="201" spans="1:14" ht="12" thickBot="1">
      <c r="A201" s="3100"/>
      <c r="N201" s="3096"/>
    </row>
    <row r="202" spans="1:14" ht="12" thickBot="1">
      <c r="A202" s="3100"/>
      <c r="N202" s="3096"/>
    </row>
    <row r="203" spans="1:14" ht="12" thickBot="1">
      <c r="A203" s="3100"/>
      <c r="M203" s="1730"/>
      <c r="N203" s="3099"/>
    </row>
    <row r="204" spans="1:14" ht="12" thickBot="1">
      <c r="A204" s="3100"/>
      <c r="C204" s="1730"/>
      <c r="M204" s="2003"/>
      <c r="N204" s="3101"/>
    </row>
    <row r="205" spans="1:14" ht="12" thickBot="1">
      <c r="A205" s="3100"/>
      <c r="C205" s="2003"/>
      <c r="M205" s="2003"/>
      <c r="N205" s="3101"/>
    </row>
    <row r="206" spans="1:14" ht="12" thickBot="1">
      <c r="A206" s="3100"/>
      <c r="C206" s="2003"/>
      <c r="M206" s="2003"/>
      <c r="N206" s="3101"/>
    </row>
    <row r="207" spans="1:14" ht="12" thickBot="1">
      <c r="A207" s="3060"/>
      <c r="C207" s="2003"/>
      <c r="D207" s="1730"/>
      <c r="E207" s="1730"/>
      <c r="F207" s="1730"/>
      <c r="G207" s="1730"/>
      <c r="H207" s="1730"/>
      <c r="I207" s="1730"/>
      <c r="J207" s="1730"/>
      <c r="K207" s="1730"/>
      <c r="L207" s="1730"/>
      <c r="M207" s="2003"/>
      <c r="N207" s="3101"/>
    </row>
    <row r="208" spans="1:14" ht="12" thickBot="1">
      <c r="A208" s="3097"/>
      <c r="C208" s="2004"/>
      <c r="D208" s="2004"/>
      <c r="E208" s="2004"/>
      <c r="F208" s="2004"/>
      <c r="G208" s="2004"/>
      <c r="H208" s="2004"/>
      <c r="I208" s="2004"/>
      <c r="J208" s="2004"/>
      <c r="K208" s="2004"/>
      <c r="L208" s="2004"/>
      <c r="M208" s="2004"/>
      <c r="N208" s="3101"/>
    </row>
    <row r="209" spans="1:14" ht="12" thickBot="1">
      <c r="A209" s="3097"/>
      <c r="N209" s="3101"/>
    </row>
    <row r="210" spans="1:14" ht="12" thickBot="1">
      <c r="A210" s="3097"/>
      <c r="N210" s="3101"/>
    </row>
    <row r="211" spans="1:14" ht="12" thickBot="1">
      <c r="A211" s="3097"/>
      <c r="N211" s="3101"/>
    </row>
    <row r="212" spans="1:14" ht="12" thickBot="1">
      <c r="A212" s="3097"/>
      <c r="N212" s="3101"/>
    </row>
    <row r="213" spans="1:14" ht="13.5" thickBot="1">
      <c r="A213" s="3095"/>
      <c r="B213" s="2989" t="s">
        <v>60</v>
      </c>
      <c r="C213" s="2989"/>
      <c r="D213" s="2989"/>
      <c r="E213" s="2989"/>
      <c r="F213" s="2989"/>
      <c r="G213" s="2989"/>
      <c r="H213" s="2989"/>
      <c r="I213" s="2989"/>
      <c r="J213" s="2989"/>
      <c r="K213" s="2989"/>
      <c r="L213" s="2989"/>
      <c r="M213" s="2989"/>
      <c r="N213" s="3102"/>
    </row>
    <row r="214" spans="1:14" ht="13.5" thickBot="1">
      <c r="A214" s="3095"/>
      <c r="N214" s="3102"/>
    </row>
    <row r="215" spans="1:14" ht="13.5" thickBot="1">
      <c r="A215" s="3095"/>
      <c r="N215" s="3102"/>
    </row>
    <row r="216" spans="1:14" ht="13.5" thickBot="1">
      <c r="A216" s="3095"/>
      <c r="N216" s="3102"/>
    </row>
    <row r="217" spans="1:14" ht="12.75">
      <c r="A217" s="3095"/>
      <c r="N217" s="3103"/>
    </row>
    <row r="218" spans="1:14" ht="12.75">
      <c r="A218" s="3095"/>
      <c r="N218" s="2988"/>
    </row>
    <row r="219" spans="1:14" ht="12.75">
      <c r="A219" s="3095"/>
      <c r="N219" s="2988"/>
    </row>
    <row r="220" spans="1:14" ht="12.75">
      <c r="A220" s="3095"/>
      <c r="N220" s="2988"/>
    </row>
    <row r="221" spans="1:14" ht="12.75">
      <c r="A221" s="3095"/>
      <c r="N221" s="2988"/>
    </row>
    <row r="222" spans="1:14" ht="12.75">
      <c r="A222" s="3095"/>
      <c r="N222" s="2988"/>
    </row>
    <row r="223" spans="1:14" ht="12.75">
      <c r="A223" s="3095"/>
      <c r="N223" s="2988"/>
    </row>
    <row r="224" spans="1:14" ht="12.75">
      <c r="A224" s="3095"/>
      <c r="B224" s="2989"/>
      <c r="C224" s="2989"/>
      <c r="D224" s="2989"/>
      <c r="E224" s="2989"/>
      <c r="F224" s="2989"/>
      <c r="G224" s="2989"/>
      <c r="H224" s="2989"/>
      <c r="I224" s="2989"/>
      <c r="J224" s="2989"/>
      <c r="K224" s="2989"/>
      <c r="L224" s="2989"/>
      <c r="M224" s="2989"/>
      <c r="N224" s="2988"/>
    </row>
    <row r="225" spans="1:14">
      <c r="A225" s="3097"/>
      <c r="N225" s="3096"/>
    </row>
    <row r="226" spans="1:14">
      <c r="A226" s="3097"/>
      <c r="N226" s="3096"/>
    </row>
    <row r="227" spans="1:14">
      <c r="A227" s="3097"/>
      <c r="N227" s="3096"/>
    </row>
    <row r="228" spans="1:14">
      <c r="A228" s="3097"/>
      <c r="N228" s="3096"/>
    </row>
    <row r="229" spans="1:14">
      <c r="A229" s="3097"/>
      <c r="N229" s="3096"/>
    </row>
    <row r="230" spans="1:14">
      <c r="A230" s="3097"/>
      <c r="N230" s="3096"/>
    </row>
    <row r="231" spans="1:14">
      <c r="A231" s="3097"/>
      <c r="N231" s="3096"/>
    </row>
    <row r="232" spans="1:14">
      <c r="A232" s="3097"/>
      <c r="N232" s="3096"/>
    </row>
    <row r="233" spans="1:14">
      <c r="A233" s="3097"/>
      <c r="N233" s="3096"/>
    </row>
    <row r="234" spans="1:14">
      <c r="A234" s="3097"/>
      <c r="N234" s="3096"/>
    </row>
    <row r="235" spans="1:14">
      <c r="A235" s="3097"/>
      <c r="N235" s="3096"/>
    </row>
    <row r="236" spans="1:14">
      <c r="A236" s="3097"/>
      <c r="N236" s="3096"/>
    </row>
    <row r="237" spans="1:14">
      <c r="A237" s="3097"/>
      <c r="N237" s="3096"/>
    </row>
    <row r="238" spans="1:14">
      <c r="A238" s="3097"/>
      <c r="N238" s="3096"/>
    </row>
    <row r="239" spans="1:14">
      <c r="A239" s="3097"/>
      <c r="N239" s="3096"/>
    </row>
    <row r="240" spans="1:14">
      <c r="A240" s="3097"/>
      <c r="N240" s="3096"/>
    </row>
    <row r="241" spans="1:14">
      <c r="A241" s="3097"/>
      <c r="N241" s="3096"/>
    </row>
    <row r="242" spans="1:14">
      <c r="A242" s="3097"/>
      <c r="N242" s="3096"/>
    </row>
    <row r="243" spans="1:14">
      <c r="A243" s="3097"/>
      <c r="N243" s="3096"/>
    </row>
    <row r="244" spans="1:14">
      <c r="A244" s="3097"/>
      <c r="N244" s="3096"/>
    </row>
    <row r="245" spans="1:14">
      <c r="A245" s="3097"/>
      <c r="N245" s="3096"/>
    </row>
    <row r="246" spans="1:14">
      <c r="A246" s="3097"/>
      <c r="N246" s="3096"/>
    </row>
    <row r="247" spans="1:14">
      <c r="A247" s="3097"/>
      <c r="N247" s="3096"/>
    </row>
    <row r="248" spans="1:14">
      <c r="A248" s="3097"/>
      <c r="N248" s="3096"/>
    </row>
    <row r="249" spans="1:14">
      <c r="A249" s="3097"/>
      <c r="N249" s="3096"/>
    </row>
    <row r="250" spans="1:14">
      <c r="A250" s="3097"/>
      <c r="N250" s="3096"/>
    </row>
    <row r="251" spans="1:14" ht="12" thickBot="1">
      <c r="A251" s="3097"/>
      <c r="N251" s="3099"/>
    </row>
    <row r="252" spans="1:14" ht="12" thickBot="1">
      <c r="A252" s="3097"/>
      <c r="N252" s="3101"/>
    </row>
    <row r="253" spans="1:14" ht="12" thickBot="1">
      <c r="A253" s="3097"/>
      <c r="N253" s="3101"/>
    </row>
    <row r="254" spans="1:14" ht="12" thickBot="1">
      <c r="A254" s="3097"/>
      <c r="N254" s="3101"/>
    </row>
    <row r="255" spans="1:14" ht="12" thickBot="1">
      <c r="A255" s="3097"/>
      <c r="N255" s="3101"/>
    </row>
    <row r="256" spans="1:14" ht="12" thickBot="1">
      <c r="A256" s="3097"/>
      <c r="N256" s="3101"/>
    </row>
    <row r="257" spans="1:14" ht="12" thickBot="1">
      <c r="A257" s="3097"/>
      <c r="N257" s="3101"/>
    </row>
    <row r="258" spans="1:14" ht="12" thickBot="1">
      <c r="A258" s="3097"/>
      <c r="N258" s="3101"/>
    </row>
    <row r="259" spans="1:14" ht="12" thickBot="1">
      <c r="A259" s="3097"/>
      <c r="N259" s="3101"/>
    </row>
    <row r="260" spans="1:14" ht="12" thickBot="1">
      <c r="A260" s="3097"/>
      <c r="N260" s="3101"/>
    </row>
    <row r="261" spans="1:14" ht="12" thickBot="1">
      <c r="A261" s="3097"/>
      <c r="N261" s="3101"/>
    </row>
    <row r="262" spans="1:14" ht="12" thickBot="1">
      <c r="A262" s="3097"/>
      <c r="N262" s="3101"/>
    </row>
    <row r="263" spans="1:14" ht="12" thickBot="1">
      <c r="A263" s="3097"/>
      <c r="N263" s="3101"/>
    </row>
    <row r="264" spans="1:14" ht="12" thickBot="1">
      <c r="A264" s="3097"/>
      <c r="N264" s="3101"/>
    </row>
    <row r="265" spans="1:14">
      <c r="A265" s="3097"/>
      <c r="N265" s="3104"/>
    </row>
    <row r="266" spans="1:14">
      <c r="A266" s="3097"/>
      <c r="N266" s="3096"/>
    </row>
    <row r="267" spans="1:14">
      <c r="A267" s="3097"/>
      <c r="N267" s="3096"/>
    </row>
    <row r="268" spans="1:14">
      <c r="A268" s="3097"/>
      <c r="N268" s="3096"/>
    </row>
    <row r="269" spans="1:14">
      <c r="A269" s="3097"/>
      <c r="N269" s="3096"/>
    </row>
    <row r="270" spans="1:14">
      <c r="A270" s="3097"/>
      <c r="N270" s="3096"/>
    </row>
    <row r="271" spans="1:14">
      <c r="A271" s="3097"/>
      <c r="N271" s="3096"/>
    </row>
    <row r="272" spans="1:14">
      <c r="A272" s="3097"/>
      <c r="N272" s="3096"/>
    </row>
    <row r="273" spans="1:14">
      <c r="A273" s="3097"/>
      <c r="N273" s="3096"/>
    </row>
    <row r="274" spans="1:14">
      <c r="A274" s="3097"/>
      <c r="N274" s="3096"/>
    </row>
    <row r="275" spans="1:14">
      <c r="A275" s="3097"/>
      <c r="N275" s="3096"/>
    </row>
    <row r="276" spans="1:14">
      <c r="A276" s="3097"/>
      <c r="N276" s="3096"/>
    </row>
    <row r="277" spans="1:14">
      <c r="A277" s="3097"/>
      <c r="N277" s="3096"/>
    </row>
    <row r="278" spans="1:14">
      <c r="A278" s="3097"/>
      <c r="N278" s="3096"/>
    </row>
    <row r="279" spans="1:14">
      <c r="A279" s="3097"/>
      <c r="N279" s="3096"/>
    </row>
    <row r="280" spans="1:14">
      <c r="A280" s="3097"/>
      <c r="N280" s="3096"/>
    </row>
    <row r="281" spans="1:14">
      <c r="A281" s="3097"/>
      <c r="N281" s="3096"/>
    </row>
    <row r="282" spans="1:14">
      <c r="A282" s="3097"/>
      <c r="N282" s="3096"/>
    </row>
    <row r="283" spans="1:14">
      <c r="A283" s="3097"/>
      <c r="N283" s="3096"/>
    </row>
    <row r="284" spans="1:14">
      <c r="A284" s="3097"/>
      <c r="N284" s="3096"/>
    </row>
    <row r="285" spans="1:14">
      <c r="A285" s="3097"/>
      <c r="N285" s="3096"/>
    </row>
    <row r="286" spans="1:14">
      <c r="A286" s="3097"/>
      <c r="N286" s="3096"/>
    </row>
    <row r="287" spans="1:14" ht="12" thickBot="1">
      <c r="A287" s="3098"/>
      <c r="B287" s="1730"/>
      <c r="C287" s="1730"/>
      <c r="D287" s="1730"/>
      <c r="E287" s="1730"/>
      <c r="F287" s="1730"/>
      <c r="G287" s="1730"/>
      <c r="H287" s="1730"/>
      <c r="I287" s="1730"/>
      <c r="J287" s="1730"/>
      <c r="K287" s="1730"/>
      <c r="L287" s="1730"/>
      <c r="M287" s="1730"/>
      <c r="N287" s="3099"/>
    </row>
    <row r="404" spans="1:14" ht="12" thickBot="1">
      <c r="A404" s="1729"/>
    </row>
    <row r="405" spans="1:14" ht="12" thickBot="1">
      <c r="A405" s="2021"/>
    </row>
    <row r="406" spans="1:14" ht="12" thickBot="1">
      <c r="A406" s="2021"/>
    </row>
    <row r="407" spans="1:14" ht="12" thickBot="1">
      <c r="A407" s="2021"/>
    </row>
    <row r="408" spans="1:14" ht="12" thickBot="1">
      <c r="A408" s="2021"/>
    </row>
    <row r="409" spans="1:14" ht="12" thickBot="1">
      <c r="A409" s="2021"/>
    </row>
    <row r="410" spans="1:14" ht="12" thickBot="1">
      <c r="A410" s="2021"/>
      <c r="M410" s="1730"/>
      <c r="N410" s="1731"/>
    </row>
    <row r="411" spans="1:14" ht="12" thickBot="1">
      <c r="A411" s="2021"/>
      <c r="C411" s="1730"/>
      <c r="M411" s="2003"/>
      <c r="N411" s="1993"/>
    </row>
    <row r="412" spans="1:14" ht="12" thickBot="1">
      <c r="A412" s="2021"/>
      <c r="C412" s="2003"/>
      <c r="D412" s="1730"/>
      <c r="E412" s="1730"/>
      <c r="F412" s="1730"/>
      <c r="G412" s="1730"/>
      <c r="H412" s="1730"/>
      <c r="I412" s="1730"/>
      <c r="J412" s="1730"/>
      <c r="K412" s="1730"/>
      <c r="L412" s="1730"/>
      <c r="M412" s="2003"/>
      <c r="N412" s="1993"/>
    </row>
    <row r="413" spans="1:14" ht="12" thickBot="1">
      <c r="A413" s="2021"/>
      <c r="C413" s="2004"/>
      <c r="D413" s="2004"/>
      <c r="E413" s="2004"/>
      <c r="F413" s="2004"/>
      <c r="G413" s="2004"/>
      <c r="H413" s="2004"/>
      <c r="I413" s="2004"/>
      <c r="J413" s="2004"/>
      <c r="K413" s="2004"/>
      <c r="L413" s="2004"/>
      <c r="M413" s="2004"/>
      <c r="N413" s="1993"/>
    </row>
    <row r="414" spans="1:14" ht="12" thickBot="1">
      <c r="A414" s="2021"/>
      <c r="N414" s="1993"/>
    </row>
    <row r="415" spans="1:14" ht="12" thickBot="1">
      <c r="A415" s="2021"/>
      <c r="N415" s="1993"/>
    </row>
    <row r="416" spans="1:14" ht="12" thickBot="1">
      <c r="A416" s="2021"/>
      <c r="N416" s="1993"/>
    </row>
    <row r="417" spans="1:14" ht="12" thickBot="1">
      <c r="A417" s="2021"/>
      <c r="N417" s="1993"/>
    </row>
    <row r="418" spans="1:14" ht="12" thickBot="1">
      <c r="A418" s="2021"/>
      <c r="N418" s="1994"/>
    </row>
    <row r="419" spans="1:14" ht="12" thickBot="1">
      <c r="A419" s="2021"/>
    </row>
    <row r="420" spans="1:14" ht="12" thickBot="1">
      <c r="A420" s="2021"/>
    </row>
    <row r="421" spans="1:14">
      <c r="A421" s="2022"/>
    </row>
    <row r="519" spans="1:14" ht="12" thickBot="1">
      <c r="N519" s="1731"/>
    </row>
    <row r="520" spans="1:14" ht="12" thickBot="1">
      <c r="N520" s="1993"/>
    </row>
    <row r="521" spans="1:14" ht="12" thickBot="1">
      <c r="N521" s="1993"/>
    </row>
    <row r="522" spans="1:14" ht="12" thickBot="1">
      <c r="N522" s="1993"/>
    </row>
    <row r="523" spans="1:14" ht="12" thickBot="1">
      <c r="M523" s="1730"/>
      <c r="N523" s="1993"/>
    </row>
    <row r="524" spans="1:14" ht="12" thickBot="1">
      <c r="M524" s="2003"/>
      <c r="N524" s="1993"/>
    </row>
    <row r="525" spans="1:14" ht="12" thickBot="1">
      <c r="M525" s="2003"/>
      <c r="N525" s="1993"/>
    </row>
    <row r="526" spans="1:14" ht="12" thickBot="1">
      <c r="M526" s="2003"/>
      <c r="N526" s="1993"/>
    </row>
    <row r="527" spans="1:14" ht="12" thickBot="1">
      <c r="M527" s="2003"/>
      <c r="N527" s="1993"/>
    </row>
    <row r="528" spans="1:14" ht="12" thickBot="1">
      <c r="A528" s="1729"/>
      <c r="B528" s="1730"/>
      <c r="C528" s="1730"/>
      <c r="D528" s="1730"/>
      <c r="E528" s="1730"/>
      <c r="F528" s="1730"/>
      <c r="G528" s="1730"/>
      <c r="H528" s="1730"/>
      <c r="I528" s="1730"/>
      <c r="J528" s="1730"/>
      <c r="K528" s="1730"/>
      <c r="L528" s="1730"/>
      <c r="M528" s="2003"/>
      <c r="N528" s="1993"/>
    </row>
    <row r="529" spans="1:14" ht="12" thickBot="1">
      <c r="A529" s="2021"/>
      <c r="B529" s="2004"/>
      <c r="C529" s="2004"/>
      <c r="D529" s="2004"/>
      <c r="E529" s="2004"/>
      <c r="F529" s="2004"/>
      <c r="G529" s="2004"/>
      <c r="H529" s="2004"/>
      <c r="I529" s="2004"/>
      <c r="J529" s="2004"/>
      <c r="K529" s="2004"/>
      <c r="L529" s="2004"/>
      <c r="M529" s="2004"/>
      <c r="N529" s="1993"/>
    </row>
    <row r="530" spans="1:14" ht="12" thickBot="1">
      <c r="A530" s="2021"/>
      <c r="N530" s="1993"/>
    </row>
    <row r="531" spans="1:14" ht="12" thickBot="1">
      <c r="A531" s="2021"/>
      <c r="N531" s="1993"/>
    </row>
    <row r="532" spans="1:14" ht="12" thickBot="1">
      <c r="A532" s="2021"/>
      <c r="N532" s="1993"/>
    </row>
    <row r="533" spans="1:14" ht="12" thickBot="1">
      <c r="A533" s="2021"/>
      <c r="N533" s="1993"/>
    </row>
    <row r="534" spans="1:14" ht="12" thickBot="1">
      <c r="A534" s="2021"/>
      <c r="N534" s="1993"/>
    </row>
    <row r="535" spans="1:14" ht="12" thickBot="1">
      <c r="A535" s="2021"/>
      <c r="N535" s="1993"/>
    </row>
    <row r="536" spans="1:14">
      <c r="A536" s="2022"/>
      <c r="N536" s="1994"/>
    </row>
  </sheetData>
  <mergeCells count="71">
    <mergeCell ref="N94:N97"/>
    <mergeCell ref="C91:C92"/>
    <mergeCell ref="C96:C97"/>
    <mergeCell ref="A140:A143"/>
    <mergeCell ref="N140:N143"/>
    <mergeCell ref="C142:C143"/>
    <mergeCell ref="A127:A139"/>
    <mergeCell ref="N127:N139"/>
    <mergeCell ref="C135:C139"/>
    <mergeCell ref="M135:M139"/>
    <mergeCell ref="C129:C133"/>
    <mergeCell ref="A119:A122"/>
    <mergeCell ref="M114:M118"/>
    <mergeCell ref="N98:N101"/>
    <mergeCell ref="N87:N93"/>
    <mergeCell ref="A54:A60"/>
    <mergeCell ref="N54:N60"/>
    <mergeCell ref="C56:C57"/>
    <mergeCell ref="C59:C60"/>
    <mergeCell ref="A123:A126"/>
    <mergeCell ref="N123:N126"/>
    <mergeCell ref="C125:C126"/>
    <mergeCell ref="N119:N122"/>
    <mergeCell ref="N103:N105"/>
    <mergeCell ref="N106:N110"/>
    <mergeCell ref="A94:A97"/>
    <mergeCell ref="A102:K102"/>
    <mergeCell ref="M58:M60"/>
    <mergeCell ref="C66:C67"/>
    <mergeCell ref="M65:M67"/>
    <mergeCell ref="A61:A67"/>
    <mergeCell ref="A68:A74"/>
    <mergeCell ref="C63:C64"/>
    <mergeCell ref="C121:C122"/>
    <mergeCell ref="M72:M74"/>
    <mergeCell ref="C73:C74"/>
    <mergeCell ref="A75:A85"/>
    <mergeCell ref="A98:A101"/>
    <mergeCell ref="C100:C101"/>
    <mergeCell ref="A47:A53"/>
    <mergeCell ref="A36:A46"/>
    <mergeCell ref="C38:C41"/>
    <mergeCell ref="A25:A35"/>
    <mergeCell ref="C32:C35"/>
    <mergeCell ref="C27:C30"/>
    <mergeCell ref="C43:C46"/>
    <mergeCell ref="C49:C50"/>
    <mergeCell ref="C52:C53"/>
    <mergeCell ref="A5:N5"/>
    <mergeCell ref="B6:B7"/>
    <mergeCell ref="C6:C7"/>
    <mergeCell ref="D6:D7"/>
    <mergeCell ref="N6:N7"/>
    <mergeCell ref="M6:M7"/>
    <mergeCell ref="L6:L7"/>
    <mergeCell ref="A6:A7"/>
    <mergeCell ref="G6:K6"/>
    <mergeCell ref="N75:N85"/>
    <mergeCell ref="M81:M85"/>
    <mergeCell ref="C77:C80"/>
    <mergeCell ref="C82:C85"/>
    <mergeCell ref="M19:M24"/>
    <mergeCell ref="M31:M35"/>
    <mergeCell ref="N25:N35"/>
    <mergeCell ref="M42:M46"/>
    <mergeCell ref="N36:N46"/>
    <mergeCell ref="N47:N53"/>
    <mergeCell ref="M51:M53"/>
    <mergeCell ref="N68:N74"/>
    <mergeCell ref="C70:C71"/>
    <mergeCell ref="N61:N67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5" firstPageNumber="30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9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P679"/>
  <sheetViews>
    <sheetView showGridLines="0" view="pageBreakPreview" zoomScale="90" zoomScaleSheetLayoutView="90" workbookViewId="0">
      <pane ySplit="6" topLeftCell="A7" activePane="bottomLeft" state="frozen"/>
      <selection activeCell="A7" sqref="A7:J7"/>
      <selection pane="bottomLeft" activeCell="B1" sqref="B1"/>
    </sheetView>
  </sheetViews>
  <sheetFormatPr defaultColWidth="9.140625" defaultRowHeight="11.25"/>
  <cols>
    <col min="1" max="1" width="3.28515625" style="562" customWidth="1"/>
    <col min="2" max="2" width="60" style="173" customWidth="1"/>
    <col min="3" max="3" width="12" style="173" customWidth="1"/>
    <col min="4" max="4" width="14.140625" style="173" customWidth="1"/>
    <col min="5" max="5" width="13.42578125" style="173" customWidth="1"/>
    <col min="6" max="6" width="13.7109375" style="511" customWidth="1"/>
    <col min="7" max="7" width="11.28515625" style="511" customWidth="1"/>
    <col min="8" max="8" width="11.85546875" style="511" customWidth="1"/>
    <col min="9" max="9" width="11.7109375" style="511" customWidth="1"/>
    <col min="10" max="11" width="8.42578125" style="511" customWidth="1"/>
    <col min="12" max="12" width="11.140625" style="511" hidden="1" customWidth="1"/>
    <col min="13" max="13" width="12.5703125" style="511" customWidth="1"/>
    <col min="14" max="14" width="16" style="588" customWidth="1"/>
    <col min="15" max="15" width="16.5703125" style="173" hidden="1" customWidth="1"/>
    <col min="16" max="17" width="0" style="173" hidden="1" customWidth="1"/>
    <col min="18" max="16384" width="9.140625" style="173"/>
  </cols>
  <sheetData>
    <row r="1" spans="1:16" ht="22.5" customHeight="1">
      <c r="F1" s="215" t="s">
        <v>372</v>
      </c>
      <c r="G1" s="173"/>
      <c r="H1" s="3"/>
      <c r="I1" s="3"/>
      <c r="J1" s="3"/>
      <c r="K1" s="3"/>
      <c r="L1" s="3"/>
      <c r="M1" s="3"/>
      <c r="N1" s="4"/>
    </row>
    <row r="2" spans="1:16" ht="18.75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4"/>
    </row>
    <row r="3" spans="1:16" ht="48.75" customHeight="1" thickBot="1">
      <c r="A3" s="3811" t="s">
        <v>158</v>
      </c>
      <c r="B3" s="3811"/>
      <c r="C3" s="3811"/>
      <c r="D3" s="3811"/>
      <c r="E3" s="3811"/>
      <c r="F3" s="3811"/>
      <c r="G3" s="3811"/>
      <c r="H3" s="3811"/>
      <c r="I3" s="3811"/>
      <c r="J3" s="3811"/>
      <c r="K3" s="3811"/>
      <c r="L3" s="3811"/>
      <c r="M3" s="3811"/>
      <c r="N3" s="3811"/>
    </row>
    <row r="4" spans="1:16" ht="51.75" customHeight="1">
      <c r="A4" s="563"/>
      <c r="B4" s="3812" t="s">
        <v>66</v>
      </c>
      <c r="C4" s="3500" t="s">
        <v>62</v>
      </c>
      <c r="D4" s="3815" t="s">
        <v>107</v>
      </c>
      <c r="E4" s="2693" t="s">
        <v>216</v>
      </c>
      <c r="F4" s="2981" t="s">
        <v>542</v>
      </c>
      <c r="G4" s="3521" t="s">
        <v>544</v>
      </c>
      <c r="H4" s="3522"/>
      <c r="I4" s="3522"/>
      <c r="J4" s="3522"/>
      <c r="K4" s="3523"/>
      <c r="L4" s="3658">
        <v>2024</v>
      </c>
      <c r="M4" s="3819" t="s">
        <v>563</v>
      </c>
      <c r="N4" s="3817" t="s">
        <v>64</v>
      </c>
    </row>
    <row r="5" spans="1:16" ht="46.5" customHeight="1" thickBot="1">
      <c r="A5" s="564"/>
      <c r="B5" s="3813"/>
      <c r="C5" s="3814"/>
      <c r="D5" s="3816"/>
      <c r="E5" s="1108" t="s">
        <v>541</v>
      </c>
      <c r="F5" s="2678" t="s">
        <v>5</v>
      </c>
      <c r="G5" s="2678" t="s">
        <v>169</v>
      </c>
      <c r="H5" s="2678" t="s">
        <v>170</v>
      </c>
      <c r="I5" s="2678" t="s">
        <v>210</v>
      </c>
      <c r="J5" s="2678" t="s">
        <v>211</v>
      </c>
      <c r="K5" s="2678" t="s">
        <v>209</v>
      </c>
      <c r="L5" s="3659"/>
      <c r="M5" s="3820"/>
      <c r="N5" s="3818"/>
    </row>
    <row r="6" spans="1:16" ht="15" customHeight="1">
      <c r="A6" s="2641">
        <v>1</v>
      </c>
      <c r="B6" s="2681">
        <v>2</v>
      </c>
      <c r="C6" s="1112" t="s">
        <v>108</v>
      </c>
      <c r="D6" s="1112" t="s">
        <v>109</v>
      </c>
      <c r="E6" s="2642">
        <v>5</v>
      </c>
      <c r="F6" s="1112">
        <v>6</v>
      </c>
      <c r="G6" s="1112">
        <v>7</v>
      </c>
      <c r="H6" s="1112">
        <v>8</v>
      </c>
      <c r="I6" s="1112">
        <v>9</v>
      </c>
      <c r="J6" s="1112">
        <v>10</v>
      </c>
      <c r="K6" s="1112">
        <v>11</v>
      </c>
      <c r="L6" s="1112"/>
      <c r="M6" s="1210">
        <v>12</v>
      </c>
      <c r="N6" s="1211">
        <v>13</v>
      </c>
    </row>
    <row r="7" spans="1:16" s="201" customFormat="1" ht="16.5" customHeight="1">
      <c r="A7" s="450"/>
      <c r="B7" s="970" t="s">
        <v>67</v>
      </c>
      <c r="C7" s="971"/>
      <c r="D7" s="193">
        <f>+D8+D9</f>
        <v>101294089</v>
      </c>
      <c r="E7" s="193">
        <f t="shared" ref="E7:K7" si="0">+E8+E9</f>
        <v>2154594</v>
      </c>
      <c r="F7" s="193">
        <f t="shared" si="0"/>
        <v>58503711</v>
      </c>
      <c r="G7" s="193">
        <f t="shared" si="0"/>
        <v>34964767</v>
      </c>
      <c r="H7" s="193">
        <f t="shared" si="0"/>
        <v>5671017</v>
      </c>
      <c r="I7" s="193">
        <f t="shared" si="0"/>
        <v>0</v>
      </c>
      <c r="J7" s="193">
        <f t="shared" si="0"/>
        <v>0</v>
      </c>
      <c r="K7" s="193">
        <f t="shared" si="0"/>
        <v>0</v>
      </c>
      <c r="L7" s="193">
        <f>+L8+L9</f>
        <v>0</v>
      </c>
      <c r="M7" s="124">
        <f>+M8+M9</f>
        <v>40635784</v>
      </c>
      <c r="N7" s="565"/>
      <c r="O7" s="362">
        <f>D26+D38+D50+D74+D83+D118+D127+D139+D152+D161+D174+D192+D205+D214+D227+D236+D248+D257</f>
        <v>88104512</v>
      </c>
    </row>
    <row r="8" spans="1:16" s="201" customFormat="1" ht="13.5" customHeight="1">
      <c r="A8" s="450"/>
      <c r="B8" s="972" t="s">
        <v>68</v>
      </c>
      <c r="C8" s="973"/>
      <c r="D8" s="185">
        <f t="shared" ref="D8:K8" si="1">D118+D139+D161+D192+D214+D227+D248+D109</f>
        <v>3644890</v>
      </c>
      <c r="E8" s="185">
        <f t="shared" si="1"/>
        <v>80037</v>
      </c>
      <c r="F8" s="185">
        <f t="shared" si="1"/>
        <v>1236367</v>
      </c>
      <c r="G8" s="185">
        <f t="shared" si="1"/>
        <v>1763632</v>
      </c>
      <c r="H8" s="185">
        <f t="shared" si="1"/>
        <v>564854</v>
      </c>
      <c r="I8" s="185">
        <f t="shared" si="1"/>
        <v>0</v>
      </c>
      <c r="J8" s="185">
        <f t="shared" si="1"/>
        <v>0</v>
      </c>
      <c r="K8" s="185">
        <f t="shared" si="1"/>
        <v>0</v>
      </c>
      <c r="L8" s="185">
        <f>L118+L139+L161+L192+L214+L227+L248+L109</f>
        <v>0</v>
      </c>
      <c r="M8" s="14">
        <f>SUM(G8:K8)</f>
        <v>2328486</v>
      </c>
      <c r="N8" s="565"/>
      <c r="O8" s="362"/>
    </row>
    <row r="9" spans="1:16" s="201" customFormat="1" ht="15.75" customHeight="1" thickBot="1">
      <c r="A9" s="450"/>
      <c r="B9" s="974" t="s">
        <v>8</v>
      </c>
      <c r="C9" s="975"/>
      <c r="D9" s="566">
        <f>D26+D38+D50+D74+D83+D127+D152+D236+D257+D96+D62</f>
        <v>97649199</v>
      </c>
      <c r="E9" s="566">
        <f t="shared" ref="E9:K9" si="2">E26+E38+E50+E74+E83+E127+E152+E236+E257+E96+E62</f>
        <v>2074557</v>
      </c>
      <c r="F9" s="566">
        <f t="shared" si="2"/>
        <v>57267344</v>
      </c>
      <c r="G9" s="566">
        <f t="shared" si="2"/>
        <v>33201135</v>
      </c>
      <c r="H9" s="566">
        <f t="shared" si="2"/>
        <v>5106163</v>
      </c>
      <c r="I9" s="566">
        <f t="shared" si="2"/>
        <v>0</v>
      </c>
      <c r="J9" s="566">
        <f t="shared" si="2"/>
        <v>0</v>
      </c>
      <c r="K9" s="566">
        <f t="shared" si="2"/>
        <v>0</v>
      </c>
      <c r="L9" s="566">
        <f>L26+L38+L50+L74+L83+L127+L152+L236+L257+L96+L62</f>
        <v>0</v>
      </c>
      <c r="M9" s="126">
        <f>SUM(G9:K9)</f>
        <v>38307298</v>
      </c>
      <c r="N9" s="565"/>
      <c r="O9" s="362"/>
    </row>
    <row r="10" spans="1:16" ht="14.25" customHeight="1">
      <c r="A10" s="450"/>
      <c r="B10" s="170" t="s">
        <v>9</v>
      </c>
      <c r="C10" s="75"/>
      <c r="D10" s="1170">
        <f>D11+D15</f>
        <v>101294089</v>
      </c>
      <c r="E10" s="1170">
        <f t="shared" ref="E10:K10" si="3">E11+E15</f>
        <v>2154594</v>
      </c>
      <c r="F10" s="1170">
        <f t="shared" si="3"/>
        <v>58503711</v>
      </c>
      <c r="G10" s="1170">
        <f t="shared" si="3"/>
        <v>34964767</v>
      </c>
      <c r="H10" s="1170">
        <f t="shared" si="3"/>
        <v>5671017</v>
      </c>
      <c r="I10" s="1170">
        <f t="shared" si="3"/>
        <v>0</v>
      </c>
      <c r="J10" s="1170">
        <f t="shared" si="3"/>
        <v>0</v>
      </c>
      <c r="K10" s="1170">
        <f t="shared" si="3"/>
        <v>0</v>
      </c>
      <c r="L10" s="1170">
        <f>L11+L15</f>
        <v>0</v>
      </c>
      <c r="M10" s="2957">
        <f>M11+M15</f>
        <v>40635784</v>
      </c>
      <c r="N10" s="2953"/>
      <c r="O10" s="174"/>
      <c r="P10" s="174"/>
    </row>
    <row r="11" spans="1:16" ht="14.25" customHeight="1">
      <c r="A11" s="450"/>
      <c r="B11" s="2643" t="s">
        <v>22</v>
      </c>
      <c r="C11" s="2644"/>
      <c r="D11" s="1367">
        <f>D12+D13+D14</f>
        <v>17135471</v>
      </c>
      <c r="E11" s="1367">
        <f t="shared" ref="E11:J11" si="4">E12+E13+E14</f>
        <v>727669</v>
      </c>
      <c r="F11" s="1367">
        <f t="shared" si="4"/>
        <v>9680120</v>
      </c>
      <c r="G11" s="1367">
        <f t="shared" si="4"/>
        <v>5874522</v>
      </c>
      <c r="H11" s="1367">
        <f t="shared" si="4"/>
        <v>853160</v>
      </c>
      <c r="I11" s="1367">
        <f t="shared" si="4"/>
        <v>0</v>
      </c>
      <c r="J11" s="1367">
        <f t="shared" si="4"/>
        <v>0</v>
      </c>
      <c r="K11" s="1367">
        <f t="shared" ref="K11" si="5">K12+K13+K14</f>
        <v>0</v>
      </c>
      <c r="L11" s="1367">
        <f>L12+L13+L14</f>
        <v>0</v>
      </c>
      <c r="M11" s="1238">
        <f>+M12+M13+M14</f>
        <v>6727682</v>
      </c>
      <c r="N11" s="2954"/>
    </row>
    <row r="12" spans="1:16" ht="14.25" customHeight="1">
      <c r="A12" s="450"/>
      <c r="B12" s="1472" t="s">
        <v>11</v>
      </c>
      <c r="C12" s="2645"/>
      <c r="D12" s="1473">
        <f>D28+D40+D52+D76+D85+D120+D129+D141+D154+D163+D176+D185+D194+D207+D216+D229+D238+D250+D259+D98+D111+D64</f>
        <v>13320999</v>
      </c>
      <c r="E12" s="1473">
        <f t="shared" ref="E12:M12" si="6">E28+E40+E52+E76+E85+E120+E129+E141+E154+E163+E176+E185+E194+E207+E216+E229+E238+E250+E259+E98+E111+E64</f>
        <v>561783</v>
      </c>
      <c r="F12" s="1473">
        <f t="shared" si="6"/>
        <v>6031534</v>
      </c>
      <c r="G12" s="1473">
        <f t="shared" si="6"/>
        <v>5874522</v>
      </c>
      <c r="H12" s="1473">
        <f t="shared" si="6"/>
        <v>853160</v>
      </c>
      <c r="I12" s="1473">
        <f t="shared" si="6"/>
        <v>0</v>
      </c>
      <c r="J12" s="1473">
        <f t="shared" si="6"/>
        <v>0</v>
      </c>
      <c r="K12" s="1473">
        <f t="shared" si="6"/>
        <v>0</v>
      </c>
      <c r="L12" s="1473">
        <f>L28+L40+L52+L76+L85+L120+L129+L141+L154+L163+L176+L185+L194+L207+L216+L229+L238+L250+L259+L98+L111+L64</f>
        <v>0</v>
      </c>
      <c r="M12" s="1434">
        <f t="shared" si="6"/>
        <v>6727682</v>
      </c>
      <c r="N12" s="2954"/>
      <c r="O12" s="174"/>
    </row>
    <row r="13" spans="1:16" ht="14.25" customHeight="1">
      <c r="A13" s="450"/>
      <c r="B13" s="1472" t="s">
        <v>53</v>
      </c>
      <c r="C13" s="2645"/>
      <c r="D13" s="1473">
        <f>+D130</f>
        <v>320000</v>
      </c>
      <c r="E13" s="1473">
        <f t="shared" ref="E13:J13" si="7">+E130</f>
        <v>0</v>
      </c>
      <c r="F13" s="1473">
        <f t="shared" si="7"/>
        <v>320000</v>
      </c>
      <c r="G13" s="1473">
        <f t="shared" si="7"/>
        <v>0</v>
      </c>
      <c r="H13" s="1473">
        <f t="shared" si="7"/>
        <v>0</v>
      </c>
      <c r="I13" s="1473">
        <f t="shared" si="7"/>
        <v>0</v>
      </c>
      <c r="J13" s="1473">
        <f t="shared" si="7"/>
        <v>0</v>
      </c>
      <c r="K13" s="1473">
        <f t="shared" ref="K13" si="8">+K130</f>
        <v>0</v>
      </c>
      <c r="L13" s="1473">
        <f>+L130</f>
        <v>0</v>
      </c>
      <c r="M13" s="1434">
        <f>SUM(G13:K13)</f>
        <v>0</v>
      </c>
      <c r="N13" s="2954"/>
      <c r="O13" s="174"/>
    </row>
    <row r="14" spans="1:16" ht="14.25" customHeight="1">
      <c r="A14" s="450"/>
      <c r="B14" s="1472" t="s">
        <v>14</v>
      </c>
      <c r="C14" s="2645"/>
      <c r="D14" s="1473">
        <f>D239+D260+D29+D41+D53</f>
        <v>3494472</v>
      </c>
      <c r="E14" s="1473">
        <f t="shared" ref="E14:K14" si="9">E239+E260+E29+E41+E53</f>
        <v>165886</v>
      </c>
      <c r="F14" s="1473">
        <f t="shared" si="9"/>
        <v>3328586</v>
      </c>
      <c r="G14" s="1473">
        <f t="shared" si="9"/>
        <v>0</v>
      </c>
      <c r="H14" s="1473">
        <f t="shared" si="9"/>
        <v>0</v>
      </c>
      <c r="I14" s="1473">
        <f t="shared" si="9"/>
        <v>0</v>
      </c>
      <c r="J14" s="1473">
        <f t="shared" si="9"/>
        <v>0</v>
      </c>
      <c r="K14" s="1473">
        <f t="shared" si="9"/>
        <v>0</v>
      </c>
      <c r="L14" s="1473">
        <f>L239+L260+L29+L41+L53</f>
        <v>0</v>
      </c>
      <c r="M14" s="1434">
        <f>M239+M260+M29+M41+M53</f>
        <v>0</v>
      </c>
      <c r="N14" s="2954"/>
      <c r="O14" s="174"/>
    </row>
    <row r="15" spans="1:16" ht="14.25" customHeight="1">
      <c r="A15" s="450"/>
      <c r="B15" s="2643" t="s">
        <v>17</v>
      </c>
      <c r="C15" s="2644"/>
      <c r="D15" s="1367">
        <f>+D16+D17</f>
        <v>84158618</v>
      </c>
      <c r="E15" s="1367">
        <f t="shared" ref="E15:J15" si="10">+E16+E17</f>
        <v>1426925</v>
      </c>
      <c r="F15" s="1367">
        <f t="shared" si="10"/>
        <v>48823591</v>
      </c>
      <c r="G15" s="1367">
        <f t="shared" si="10"/>
        <v>29090245</v>
      </c>
      <c r="H15" s="1367">
        <f t="shared" si="10"/>
        <v>4817857</v>
      </c>
      <c r="I15" s="1367">
        <f t="shared" si="10"/>
        <v>0</v>
      </c>
      <c r="J15" s="1367">
        <f t="shared" si="10"/>
        <v>0</v>
      </c>
      <c r="K15" s="1367">
        <f t="shared" ref="K15" si="11">+K16+K17</f>
        <v>0</v>
      </c>
      <c r="L15" s="1367">
        <f>+L16+L17</f>
        <v>0</v>
      </c>
      <c r="M15" s="1238">
        <f>+M16</f>
        <v>33908102</v>
      </c>
      <c r="N15" s="2954"/>
    </row>
    <row r="16" spans="1:16" ht="15" customHeight="1">
      <c r="A16" s="450"/>
      <c r="B16" s="1472" t="s">
        <v>19</v>
      </c>
      <c r="C16" s="2646"/>
      <c r="D16" s="1474">
        <f>D31+D43+D55+D78+D89+D122+D132+D145+D156+D167+D198+D220+D231+D241+D252+D262+D102+D113+D67</f>
        <v>84158618</v>
      </c>
      <c r="E16" s="1474">
        <f t="shared" ref="E16:K16" si="12">E31+E43+E55+E78+E89+E122+E132+E145+E156+E167+E198+E220+E231+E241+E252+E262+E102+E113+E67</f>
        <v>1426925</v>
      </c>
      <c r="F16" s="1474">
        <f t="shared" si="12"/>
        <v>48823591</v>
      </c>
      <c r="G16" s="1474">
        <f t="shared" si="12"/>
        <v>29090245</v>
      </c>
      <c r="H16" s="1474">
        <f t="shared" si="12"/>
        <v>4817857</v>
      </c>
      <c r="I16" s="1474">
        <f t="shared" si="12"/>
        <v>0</v>
      </c>
      <c r="J16" s="1474">
        <f t="shared" si="12"/>
        <v>0</v>
      </c>
      <c r="K16" s="1474">
        <f t="shared" si="12"/>
        <v>0</v>
      </c>
      <c r="L16" s="1474">
        <f>L31+L43+L55+L78+L89+L122+L132+L145+L156+L167+L198+L220+L231+L241+L252+L262+L102+L113+L67</f>
        <v>0</v>
      </c>
      <c r="M16" s="1434">
        <f>SUM(G16:K16)</f>
        <v>33908102</v>
      </c>
      <c r="N16" s="2954"/>
      <c r="O16" s="174"/>
    </row>
    <row r="17" spans="1:15" ht="13.5" hidden="1" customHeight="1">
      <c r="A17" s="450"/>
      <c r="B17" s="2846" t="s">
        <v>18</v>
      </c>
      <c r="C17" s="2882"/>
      <c r="D17" s="1474"/>
      <c r="E17" s="1474"/>
      <c r="F17" s="1474"/>
      <c r="G17" s="1474"/>
      <c r="H17" s="1474"/>
      <c r="I17" s="1474"/>
      <c r="J17" s="1474"/>
      <c r="K17" s="1474"/>
      <c r="L17" s="1474"/>
      <c r="M17" s="2647"/>
      <c r="N17" s="2954"/>
    </row>
    <row r="18" spans="1:15" ht="14.25" customHeight="1">
      <c r="A18" s="450"/>
      <c r="B18" s="170" t="s">
        <v>20</v>
      </c>
      <c r="C18" s="2118"/>
      <c r="D18" s="1170">
        <f>D22+D19</f>
        <v>87973090</v>
      </c>
      <c r="E18" s="1170">
        <f>E22+E19</f>
        <v>166863</v>
      </c>
      <c r="F18" s="1170">
        <f t="shared" ref="F18:K18" si="13">F22+F19</f>
        <v>48489530</v>
      </c>
      <c r="G18" s="1170">
        <f t="shared" si="13"/>
        <v>25475733</v>
      </c>
      <c r="H18" s="1170">
        <f t="shared" si="13"/>
        <v>10493176</v>
      </c>
      <c r="I18" s="1170">
        <f t="shared" si="13"/>
        <v>3347788</v>
      </c>
      <c r="J18" s="1170">
        <f t="shared" si="13"/>
        <v>0</v>
      </c>
      <c r="K18" s="1170">
        <f t="shared" si="13"/>
        <v>0</v>
      </c>
      <c r="L18" s="1170">
        <f>L22+L19</f>
        <v>0</v>
      </c>
      <c r="M18" s="3429" t="s">
        <v>52</v>
      </c>
      <c r="N18" s="2954"/>
      <c r="O18" s="174"/>
    </row>
    <row r="19" spans="1:15" ht="14.25" customHeight="1">
      <c r="A19" s="450"/>
      <c r="B19" s="2643" t="s">
        <v>10</v>
      </c>
      <c r="C19" s="2646"/>
      <c r="D19" s="2648">
        <f>D20+D21</f>
        <v>3814472</v>
      </c>
      <c r="E19" s="2648">
        <f t="shared" ref="E19:K19" si="14">E20+E21</f>
        <v>165886</v>
      </c>
      <c r="F19" s="2648">
        <f t="shared" si="14"/>
        <v>3648586</v>
      </c>
      <c r="G19" s="2648">
        <f t="shared" si="14"/>
        <v>0</v>
      </c>
      <c r="H19" s="2648">
        <f t="shared" si="14"/>
        <v>0</v>
      </c>
      <c r="I19" s="2648">
        <f t="shared" si="14"/>
        <v>0</v>
      </c>
      <c r="J19" s="2648">
        <f t="shared" si="14"/>
        <v>0</v>
      </c>
      <c r="K19" s="2648">
        <f t="shared" si="14"/>
        <v>0</v>
      </c>
      <c r="L19" s="2648">
        <f>L20+L21</f>
        <v>0</v>
      </c>
      <c r="M19" s="3427"/>
      <c r="N19" s="2954"/>
      <c r="O19" s="174"/>
    </row>
    <row r="20" spans="1:15" ht="14.25" customHeight="1">
      <c r="A20" s="450"/>
      <c r="B20" s="1472" t="s">
        <v>53</v>
      </c>
      <c r="C20" s="2646"/>
      <c r="D20" s="1474">
        <f>D135</f>
        <v>320000</v>
      </c>
      <c r="E20" s="1474">
        <f t="shared" ref="E20:K20" si="15">E135</f>
        <v>0</v>
      </c>
      <c r="F20" s="1474">
        <f t="shared" si="15"/>
        <v>320000</v>
      </c>
      <c r="G20" s="1474">
        <f t="shared" si="15"/>
        <v>0</v>
      </c>
      <c r="H20" s="1474">
        <f t="shared" si="15"/>
        <v>0</v>
      </c>
      <c r="I20" s="1474">
        <f t="shared" si="15"/>
        <v>0</v>
      </c>
      <c r="J20" s="1474">
        <f t="shared" si="15"/>
        <v>0</v>
      </c>
      <c r="K20" s="1474">
        <f t="shared" si="15"/>
        <v>0</v>
      </c>
      <c r="L20" s="1474">
        <f>L135</f>
        <v>0</v>
      </c>
      <c r="M20" s="3427"/>
      <c r="N20" s="2954"/>
      <c r="O20" s="174"/>
    </row>
    <row r="21" spans="1:15" ht="14.25" customHeight="1">
      <c r="A21" s="450"/>
      <c r="B21" s="1472" t="s">
        <v>14</v>
      </c>
      <c r="C21" s="2646"/>
      <c r="D21" s="1474">
        <f>D244+D265+D34+D46+D58</f>
        <v>3494472</v>
      </c>
      <c r="E21" s="1474">
        <f t="shared" ref="E21:K21" si="16">E244+E265+E34+E46+E58</f>
        <v>165886</v>
      </c>
      <c r="F21" s="1474">
        <f t="shared" si="16"/>
        <v>3328586</v>
      </c>
      <c r="G21" s="1474">
        <f t="shared" si="16"/>
        <v>0</v>
      </c>
      <c r="H21" s="1474">
        <f t="shared" si="16"/>
        <v>0</v>
      </c>
      <c r="I21" s="1474">
        <f t="shared" si="16"/>
        <v>0</v>
      </c>
      <c r="J21" s="1474">
        <f t="shared" si="16"/>
        <v>0</v>
      </c>
      <c r="K21" s="1474">
        <f t="shared" si="16"/>
        <v>0</v>
      </c>
      <c r="L21" s="1474">
        <f>L244+L265+L34+L46+L58</f>
        <v>0</v>
      </c>
      <c r="M21" s="3427"/>
      <c r="N21" s="2954"/>
      <c r="O21" s="174"/>
    </row>
    <row r="22" spans="1:15" ht="14.25" customHeight="1">
      <c r="A22" s="450"/>
      <c r="B22" s="2643" t="s">
        <v>17</v>
      </c>
      <c r="C22" s="2646"/>
      <c r="D22" s="2648">
        <f>+D23+D24</f>
        <v>84158618</v>
      </c>
      <c r="E22" s="2648">
        <f t="shared" ref="E22:K22" si="17">+E23+E24</f>
        <v>977</v>
      </c>
      <c r="F22" s="2648">
        <f t="shared" si="17"/>
        <v>44840944</v>
      </c>
      <c r="G22" s="2648">
        <f t="shared" si="17"/>
        <v>25475733</v>
      </c>
      <c r="H22" s="2648">
        <f t="shared" si="17"/>
        <v>10493176</v>
      </c>
      <c r="I22" s="2648">
        <f t="shared" si="17"/>
        <v>3347788</v>
      </c>
      <c r="J22" s="2648">
        <f t="shared" si="17"/>
        <v>0</v>
      </c>
      <c r="K22" s="2648">
        <f t="shared" si="17"/>
        <v>0</v>
      </c>
      <c r="L22" s="2648">
        <f>+L23+L24</f>
        <v>0</v>
      </c>
      <c r="M22" s="3427"/>
      <c r="N22" s="2954"/>
    </row>
    <row r="23" spans="1:15" ht="14.25" customHeight="1" thickBot="1">
      <c r="A23" s="569"/>
      <c r="B23" s="1472" t="s">
        <v>19</v>
      </c>
      <c r="C23" s="2646"/>
      <c r="D23" s="1474">
        <f>+D36+D48+D94+D125+D137+D81+D150+D159+D172+D181+D190+D60+D203+D212+D225+D233+D245+D255+D267+D107+D116+D72</f>
        <v>84158618</v>
      </c>
      <c r="E23" s="1474">
        <f t="shared" ref="E23:K23" si="18">+E36+E48+E94+E125+E137+E81+E150+E159+E172+E181+E190+E60+E203+E212+E225+E233+E245+E255+E267+E107+E116+E72</f>
        <v>977</v>
      </c>
      <c r="F23" s="1474">
        <f t="shared" si="18"/>
        <v>44840944</v>
      </c>
      <c r="G23" s="1474">
        <f>+G36+G48+G94+G125+G137+G81+G150+G159+G172+G181+G190+G60+G203+G212+G225+G233+G245+G255+G267+G107+G116+G72</f>
        <v>25475733</v>
      </c>
      <c r="H23" s="1474">
        <f t="shared" si="18"/>
        <v>10493176</v>
      </c>
      <c r="I23" s="1474">
        <f t="shared" si="18"/>
        <v>3347788</v>
      </c>
      <c r="J23" s="1474">
        <f t="shared" si="18"/>
        <v>0</v>
      </c>
      <c r="K23" s="1474">
        <f t="shared" si="18"/>
        <v>0</v>
      </c>
      <c r="L23" s="1474">
        <f>+L36+L48+L94+L125+L137+L81+L150+L159+L172+L181+L190+L60+L203+L212+L225+L233+L245+L255+L267+L107+L116+L72</f>
        <v>0</v>
      </c>
      <c r="M23" s="3427"/>
      <c r="N23" s="2954"/>
      <c r="O23" s="174">
        <f>D23-D16</f>
        <v>0</v>
      </c>
    </row>
    <row r="24" spans="1:15" ht="13.5" hidden="1" customHeight="1" thickBot="1">
      <c r="A24" s="569"/>
      <c r="B24" s="2649" t="s">
        <v>18</v>
      </c>
      <c r="C24" s="2649"/>
      <c r="D24" s="2649"/>
      <c r="E24" s="2649"/>
      <c r="F24" s="2649"/>
      <c r="G24" s="2649"/>
      <c r="H24" s="2649"/>
      <c r="I24" s="2649"/>
      <c r="J24" s="2649"/>
      <c r="K24" s="2024"/>
      <c r="L24" s="2649"/>
      <c r="M24" s="3428"/>
      <c r="N24" s="2954"/>
    </row>
    <row r="25" spans="1:15" s="201" customFormat="1" ht="27" customHeight="1">
      <c r="A25" s="3769" t="s">
        <v>54</v>
      </c>
      <c r="B25" s="158" t="s">
        <v>559</v>
      </c>
      <c r="C25" s="2237" t="s">
        <v>72</v>
      </c>
      <c r="D25" s="571"/>
      <c r="E25" s="1690"/>
      <c r="F25" s="2238"/>
      <c r="G25" s="2238"/>
      <c r="H25" s="1690"/>
      <c r="I25" s="1690"/>
      <c r="J25" s="1690"/>
      <c r="K25" s="2239"/>
      <c r="L25" s="2238"/>
      <c r="M25" s="573"/>
      <c r="N25" s="3797" t="s">
        <v>77</v>
      </c>
    </row>
    <row r="26" spans="1:15" s="201" customFormat="1" ht="12.75">
      <c r="A26" s="3770"/>
      <c r="B26" s="1168" t="s">
        <v>9</v>
      </c>
      <c r="C26" s="2118"/>
      <c r="D26" s="1170">
        <f>D27+D30</f>
        <v>28373635</v>
      </c>
      <c r="E26" s="1170">
        <f>+E30+E27</f>
        <v>629612</v>
      </c>
      <c r="F26" s="1170">
        <f>+F27+F30</f>
        <v>27744023</v>
      </c>
      <c r="G26" s="1170">
        <f t="shared" ref="G26" si="19">+G30</f>
        <v>0</v>
      </c>
      <c r="H26" s="1170"/>
      <c r="I26" s="1170"/>
      <c r="J26" s="1170"/>
      <c r="K26" s="1170"/>
      <c r="L26" s="1170">
        <f>+L30+L27</f>
        <v>0</v>
      </c>
      <c r="M26" s="1171">
        <f>+M30+M27</f>
        <v>0</v>
      </c>
      <c r="N26" s="3798"/>
    </row>
    <row r="27" spans="1:15" s="201" customFormat="1" ht="14.25" customHeight="1">
      <c r="A27" s="3770"/>
      <c r="B27" s="1172" t="s">
        <v>22</v>
      </c>
      <c r="C27" s="3448" t="s">
        <v>159</v>
      </c>
      <c r="D27" s="1173">
        <f>D28+D29</f>
        <v>4928646</v>
      </c>
      <c r="E27" s="1475">
        <f>E28+E29</f>
        <v>227095</v>
      </c>
      <c r="F27" s="1178">
        <f>F28+F29</f>
        <v>4701551</v>
      </c>
      <c r="G27" s="1178">
        <f t="shared" ref="G27" si="20">G28</f>
        <v>0</v>
      </c>
      <c r="H27" s="1178"/>
      <c r="I27" s="1178"/>
      <c r="J27" s="1178"/>
      <c r="K27" s="1178"/>
      <c r="L27" s="2301">
        <f>L28+L29</f>
        <v>0</v>
      </c>
      <c r="M27" s="1422">
        <f>M28+M29</f>
        <v>0</v>
      </c>
      <c r="N27" s="3798"/>
    </row>
    <row r="28" spans="1:15" s="201" customFormat="1" ht="14.25" customHeight="1">
      <c r="A28" s="3770"/>
      <c r="B28" s="1175" t="s">
        <v>11</v>
      </c>
      <c r="C28" s="3383"/>
      <c r="D28" s="1113">
        <f>E28+L28+F28+G28+H28+I28+J28+K28</f>
        <v>2877095</v>
      </c>
      <c r="E28" s="1113">
        <f>146960+80135</f>
        <v>227095</v>
      </c>
      <c r="F28" s="1176">
        <f>4041376+2664017+80000-171363-909150-1704880-1350000</f>
        <v>2650000</v>
      </c>
      <c r="G28" s="1176">
        <v>0</v>
      </c>
      <c r="H28" s="1176"/>
      <c r="I28" s="1176"/>
      <c r="J28" s="1176"/>
      <c r="K28" s="1176"/>
      <c r="L28" s="1176"/>
      <c r="M28" s="1434">
        <f>SUM(G28:K28)</f>
        <v>0</v>
      </c>
      <c r="N28" s="3798"/>
    </row>
    <row r="29" spans="1:15" s="201" customFormat="1" ht="14.25" customHeight="1">
      <c r="A29" s="3770"/>
      <c r="B29" s="2883" t="s">
        <v>14</v>
      </c>
      <c r="C29" s="3383"/>
      <c r="D29" s="1113">
        <f>E29+L29+F29+G29+H29+I29+J29+K29</f>
        <v>2051551</v>
      </c>
      <c r="E29" s="1113">
        <v>0</v>
      </c>
      <c r="F29" s="1176">
        <f>237308+909150+164430+740663</f>
        <v>2051551</v>
      </c>
      <c r="G29" s="1176"/>
      <c r="H29" s="1176"/>
      <c r="I29" s="1176"/>
      <c r="J29" s="1176"/>
      <c r="K29" s="1176"/>
      <c r="L29" s="1176">
        <v>0</v>
      </c>
      <c r="M29" s="1434">
        <f>SUM(G29:K29)</f>
        <v>0</v>
      </c>
      <c r="N29" s="3798"/>
    </row>
    <row r="30" spans="1:15" s="201" customFormat="1" ht="14.25" customHeight="1">
      <c r="A30" s="3770"/>
      <c r="B30" s="1177" t="s">
        <v>17</v>
      </c>
      <c r="C30" s="3383"/>
      <c r="D30" s="1173">
        <f>D31</f>
        <v>23444989</v>
      </c>
      <c r="E30" s="1178">
        <f>+E31</f>
        <v>402517</v>
      </c>
      <c r="F30" s="1178">
        <f>+F31</f>
        <v>23042472</v>
      </c>
      <c r="G30" s="1178">
        <v>0</v>
      </c>
      <c r="H30" s="1178"/>
      <c r="I30" s="1178"/>
      <c r="J30" s="1178"/>
      <c r="K30" s="1178"/>
      <c r="L30" s="1178">
        <f>+L31</f>
        <v>0</v>
      </c>
      <c r="M30" s="1422">
        <f>+M31</f>
        <v>0</v>
      </c>
      <c r="N30" s="3798"/>
    </row>
    <row r="31" spans="1:15" s="201" customFormat="1" ht="15" customHeight="1">
      <c r="A31" s="3770"/>
      <c r="B31" s="2846" t="s">
        <v>19</v>
      </c>
      <c r="C31" s="3384"/>
      <c r="D31" s="1113">
        <f>E31+L31+F31+G31+H31+I31+J31+K31</f>
        <v>23444989</v>
      </c>
      <c r="E31" s="1176">
        <f>15482849-14416099-255000-409233</f>
        <v>402517</v>
      </c>
      <c r="F31" s="1176">
        <f>22901129+14416099+255000+340272-11112500-3757528</f>
        <v>23042472</v>
      </c>
      <c r="G31" s="1176">
        <v>0</v>
      </c>
      <c r="H31" s="1176"/>
      <c r="I31" s="1176"/>
      <c r="J31" s="1176"/>
      <c r="K31" s="1176"/>
      <c r="L31" s="1176"/>
      <c r="M31" s="1434">
        <f>SUM(G31:K31)</f>
        <v>0</v>
      </c>
      <c r="N31" s="3799"/>
    </row>
    <row r="32" spans="1:15" s="201" customFormat="1" ht="12.75">
      <c r="A32" s="3770"/>
      <c r="B32" s="1785" t="s">
        <v>20</v>
      </c>
      <c r="C32" s="2118"/>
      <c r="D32" s="1170">
        <f>+D35+D33</f>
        <v>25496540</v>
      </c>
      <c r="E32" s="1170">
        <f>+E35</f>
        <v>0</v>
      </c>
      <c r="F32" s="1170">
        <f>F35+F33</f>
        <v>25496540</v>
      </c>
      <c r="G32" s="1170">
        <f>G35+G33</f>
        <v>0</v>
      </c>
      <c r="H32" s="1170"/>
      <c r="I32" s="1170"/>
      <c r="J32" s="1170"/>
      <c r="K32" s="1170"/>
      <c r="L32" s="1170">
        <f>L35</f>
        <v>0</v>
      </c>
      <c r="M32" s="3429" t="s">
        <v>52</v>
      </c>
      <c r="N32" s="3800" t="s">
        <v>92</v>
      </c>
      <c r="O32" s="362"/>
    </row>
    <row r="33" spans="1:16" s="201" customFormat="1" ht="12.75">
      <c r="A33" s="3770"/>
      <c r="B33" s="1806" t="s">
        <v>380</v>
      </c>
      <c r="C33" s="3465" t="s">
        <v>159</v>
      </c>
      <c r="D33" s="1179">
        <f t="shared" ref="D33:K33" si="21">D34</f>
        <v>2051551</v>
      </c>
      <c r="E33" s="1479">
        <f t="shared" ref="E33" si="22">+E34</f>
        <v>0</v>
      </c>
      <c r="F33" s="1178">
        <f t="shared" si="21"/>
        <v>2051551</v>
      </c>
      <c r="G33" s="1479">
        <f t="shared" si="21"/>
        <v>0</v>
      </c>
      <c r="H33" s="1479">
        <f t="shared" si="21"/>
        <v>0</v>
      </c>
      <c r="I33" s="1479">
        <f t="shared" si="21"/>
        <v>0</v>
      </c>
      <c r="J33" s="1479">
        <f t="shared" si="21"/>
        <v>0</v>
      </c>
      <c r="K33" s="1479">
        <f t="shared" si="21"/>
        <v>0</v>
      </c>
      <c r="L33" s="2250">
        <f>L34</f>
        <v>0</v>
      </c>
      <c r="M33" s="3427"/>
      <c r="N33" s="3800"/>
      <c r="O33" s="362"/>
    </row>
    <row r="34" spans="1:16" s="201" customFormat="1" ht="12.75">
      <c r="A34" s="3770"/>
      <c r="B34" s="2883" t="s">
        <v>14</v>
      </c>
      <c r="C34" s="3821"/>
      <c r="D34" s="1147">
        <f>E34+L34+F34+G34+H34+I34+J34+K34</f>
        <v>2051551</v>
      </c>
      <c r="E34" s="1207">
        <v>0</v>
      </c>
      <c r="F34" s="1176">
        <f>237308+909150+164430+740663</f>
        <v>2051551</v>
      </c>
      <c r="G34" s="1207">
        <v>0</v>
      </c>
      <c r="H34" s="1207">
        <v>0</v>
      </c>
      <c r="I34" s="1207">
        <v>0</v>
      </c>
      <c r="J34" s="1207">
        <v>0</v>
      </c>
      <c r="K34" s="1207">
        <v>0</v>
      </c>
      <c r="L34" s="2251">
        <v>0</v>
      </c>
      <c r="M34" s="3427"/>
      <c r="N34" s="3800"/>
      <c r="O34" s="362">
        <f>F34-'[4]Tab. 6H - Kultura fiz. i turyst'!$G$34</f>
        <v>905093</v>
      </c>
    </row>
    <row r="35" spans="1:16" s="201" customFormat="1" ht="14.25" customHeight="1">
      <c r="A35" s="3770"/>
      <c r="B35" s="1806" t="s">
        <v>17</v>
      </c>
      <c r="C35" s="3527" t="s">
        <v>180</v>
      </c>
      <c r="D35" s="1173">
        <f>+D36</f>
        <v>23444989</v>
      </c>
      <c r="E35" s="1179">
        <f t="shared" ref="E35" si="23">+E36</f>
        <v>0</v>
      </c>
      <c r="F35" s="1179">
        <f t="shared" ref="F35:G35" si="24">F36</f>
        <v>23444989</v>
      </c>
      <c r="G35" s="1179">
        <f t="shared" si="24"/>
        <v>0</v>
      </c>
      <c r="H35" s="1179"/>
      <c r="I35" s="1179"/>
      <c r="J35" s="1179"/>
      <c r="K35" s="1179"/>
      <c r="L35" s="1179">
        <f>L36</f>
        <v>0</v>
      </c>
      <c r="M35" s="3427"/>
      <c r="N35" s="3800"/>
    </row>
    <row r="36" spans="1:16" s="201" customFormat="1" ht="14.25" customHeight="1" thickBot="1">
      <c r="A36" s="3771"/>
      <c r="B36" s="2884" t="s">
        <v>19</v>
      </c>
      <c r="C36" s="3765"/>
      <c r="D36" s="1679">
        <f>E36+L36+F36+G36+H36+I36+J36+K36</f>
        <v>23444989</v>
      </c>
      <c r="E36" s="1679">
        <v>0</v>
      </c>
      <c r="F36" s="1423">
        <f>23383978+11175000+825000-63571-10214954-1660464</f>
        <v>23444989</v>
      </c>
      <c r="G36" s="1423">
        <f>1000000+2000000-5390-897546-2097064</f>
        <v>0</v>
      </c>
      <c r="H36" s="1423"/>
      <c r="I36" s="1423"/>
      <c r="J36" s="1423"/>
      <c r="K36" s="1423"/>
      <c r="L36" s="1423">
        <f>14000000-13175000-825000</f>
        <v>0</v>
      </c>
      <c r="M36" s="3428"/>
      <c r="N36" s="3801"/>
    </row>
    <row r="37" spans="1:16" ht="28.5" customHeight="1">
      <c r="A37" s="3769" t="s">
        <v>55</v>
      </c>
      <c r="B37" s="158" t="s">
        <v>554</v>
      </c>
      <c r="C37" s="2237" t="s">
        <v>72</v>
      </c>
      <c r="D37" s="1051"/>
      <c r="E37" s="2252"/>
      <c r="F37" s="2253"/>
      <c r="G37" s="2253"/>
      <c r="H37" s="2242"/>
      <c r="I37" s="2242"/>
      <c r="J37" s="2242"/>
      <c r="K37" s="2243"/>
      <c r="L37" s="2253"/>
      <c r="M37" s="1052"/>
      <c r="N37" s="3797" t="s">
        <v>77</v>
      </c>
    </row>
    <row r="38" spans="1:16" ht="12">
      <c r="A38" s="3777"/>
      <c r="B38" s="1168" t="s">
        <v>9</v>
      </c>
      <c r="C38" s="2471"/>
      <c r="D38" s="1170">
        <f>+D39+D42</f>
        <v>10832115</v>
      </c>
      <c r="E38" s="1170">
        <f t="shared" ref="E38" si="25">+E39+E42</f>
        <v>303455</v>
      </c>
      <c r="F38" s="1170">
        <f>+F39+F42</f>
        <v>10528660</v>
      </c>
      <c r="G38" s="1170"/>
      <c r="H38" s="1170"/>
      <c r="I38" s="1170"/>
      <c r="J38" s="1170"/>
      <c r="K38" s="1170"/>
      <c r="L38" s="1170">
        <f>+L39+L42</f>
        <v>0</v>
      </c>
      <c r="M38" s="1171">
        <f>M39+M42</f>
        <v>0</v>
      </c>
      <c r="N38" s="3798"/>
      <c r="O38" s="174"/>
      <c r="P38" s="174"/>
    </row>
    <row r="39" spans="1:16" s="201" customFormat="1" ht="14.25" customHeight="1">
      <c r="A39" s="3777"/>
      <c r="B39" s="1172" t="s">
        <v>22</v>
      </c>
      <c r="C39" s="3448" t="s">
        <v>159</v>
      </c>
      <c r="D39" s="1173">
        <f>D40+D41</f>
        <v>1706618</v>
      </c>
      <c r="E39" s="1173">
        <f t="shared" ref="E39:F39" si="26">E40+E41</f>
        <v>89978</v>
      </c>
      <c r="F39" s="1173">
        <f t="shared" si="26"/>
        <v>1616640</v>
      </c>
      <c r="G39" s="1178"/>
      <c r="H39" s="1178"/>
      <c r="I39" s="1178"/>
      <c r="J39" s="1178"/>
      <c r="K39" s="1178"/>
      <c r="L39" s="1173">
        <f>L40+L41</f>
        <v>0</v>
      </c>
      <c r="M39" s="1422">
        <f>M40+M41</f>
        <v>0</v>
      </c>
      <c r="N39" s="3798"/>
    </row>
    <row r="40" spans="1:16" s="201" customFormat="1" ht="12.75">
      <c r="A40" s="3777"/>
      <c r="B40" s="1175" t="s">
        <v>11</v>
      </c>
      <c r="C40" s="3383"/>
      <c r="D40" s="1113">
        <f>E40+L40+F40+G40+H40+I40+J40+K40</f>
        <v>913853</v>
      </c>
      <c r="E40" s="1113">
        <f>52306+30547</f>
        <v>82853</v>
      </c>
      <c r="F40" s="1176">
        <f>1500949-14542+942462+60000-14513-508668-765688-369000</f>
        <v>831000</v>
      </c>
      <c r="G40" s="1176"/>
      <c r="H40" s="1176"/>
      <c r="I40" s="1176"/>
      <c r="J40" s="1176"/>
      <c r="K40" s="1176"/>
      <c r="L40" s="1176"/>
      <c r="M40" s="1434">
        <f>SUM(G40:K40)</f>
        <v>0</v>
      </c>
      <c r="N40" s="3798"/>
    </row>
    <row r="41" spans="1:16" s="201" customFormat="1" ht="12.75">
      <c r="A41" s="3777"/>
      <c r="B41" s="2883" t="s">
        <v>14</v>
      </c>
      <c r="C41" s="3383"/>
      <c r="D41" s="1113">
        <f>E41+L41+F41+G41+H41+I41+J41+K41</f>
        <v>792765</v>
      </c>
      <c r="E41" s="1176">
        <v>7125</v>
      </c>
      <c r="F41" s="1176">
        <f>26722+508668+250250</f>
        <v>785640</v>
      </c>
      <c r="G41" s="1176"/>
      <c r="H41" s="1176"/>
      <c r="I41" s="1176"/>
      <c r="J41" s="1176"/>
      <c r="K41" s="1176"/>
      <c r="L41" s="1176"/>
      <c r="M41" s="1434">
        <f>SUM(G41:K41)</f>
        <v>0</v>
      </c>
      <c r="N41" s="3798"/>
    </row>
    <row r="42" spans="1:16" ht="14.25" customHeight="1">
      <c r="A42" s="3777"/>
      <c r="B42" s="1177" t="s">
        <v>17</v>
      </c>
      <c r="C42" s="3383"/>
      <c r="D42" s="1173">
        <f>+D43</f>
        <v>9125497</v>
      </c>
      <c r="E42" s="2301">
        <f>E43</f>
        <v>213477</v>
      </c>
      <c r="F42" s="2301">
        <f>F43</f>
        <v>8912020</v>
      </c>
      <c r="G42" s="1178"/>
      <c r="H42" s="1178"/>
      <c r="I42" s="1178"/>
      <c r="J42" s="1178"/>
      <c r="K42" s="1178"/>
      <c r="L42" s="2301">
        <f>L43</f>
        <v>0</v>
      </c>
      <c r="M42" s="1687">
        <f>+M43</f>
        <v>0</v>
      </c>
      <c r="N42" s="3798"/>
    </row>
    <row r="43" spans="1:16" ht="12.75">
      <c r="A43" s="3777"/>
      <c r="B43" s="2846" t="s">
        <v>19</v>
      </c>
      <c r="C43" s="3384"/>
      <c r="D43" s="1113">
        <f>E43+L43+F43+G43+H43+I43+J43+K43</f>
        <v>9125497</v>
      </c>
      <c r="E43" s="1176">
        <f>5717756-52724-5057282-255000-139273</f>
        <v>213477</v>
      </c>
      <c r="F43" s="1176">
        <f>8505377-82402+5057282+255000+69185-3647919-1244503</f>
        <v>8912020</v>
      </c>
      <c r="G43" s="1176"/>
      <c r="H43" s="1176"/>
      <c r="I43" s="1176"/>
      <c r="J43" s="1176"/>
      <c r="K43" s="1176"/>
      <c r="L43" s="1176"/>
      <c r="M43" s="1434">
        <f>SUM(G43:K43)</f>
        <v>0</v>
      </c>
      <c r="N43" s="3799"/>
    </row>
    <row r="44" spans="1:16" ht="12">
      <c r="A44" s="3777"/>
      <c r="B44" s="1785" t="s">
        <v>20</v>
      </c>
      <c r="C44" s="2118"/>
      <c r="D44" s="1170">
        <f>+D47+D45</f>
        <v>9918262</v>
      </c>
      <c r="E44" s="1170">
        <f>E47+E45</f>
        <v>7125</v>
      </c>
      <c r="F44" s="1170">
        <f t="shared" ref="F44:G44" si="27">F47+F45</f>
        <v>9911137</v>
      </c>
      <c r="G44" s="1170">
        <f t="shared" si="27"/>
        <v>0</v>
      </c>
      <c r="H44" s="1170"/>
      <c r="I44" s="1170"/>
      <c r="J44" s="1170"/>
      <c r="K44" s="1170"/>
      <c r="L44" s="1170">
        <f>L47+L45</f>
        <v>0</v>
      </c>
      <c r="M44" s="3805"/>
      <c r="N44" s="3822" t="s">
        <v>92</v>
      </c>
    </row>
    <row r="45" spans="1:16" ht="12">
      <c r="A45" s="3777"/>
      <c r="B45" s="1806" t="s">
        <v>380</v>
      </c>
      <c r="C45" s="3808" t="s">
        <v>159</v>
      </c>
      <c r="D45" s="1179">
        <f t="shared" ref="D45:K45" si="28">D46</f>
        <v>792765</v>
      </c>
      <c r="E45" s="2250">
        <f t="shared" si="28"/>
        <v>7125</v>
      </c>
      <c r="F45" s="1178">
        <f t="shared" si="28"/>
        <v>785640</v>
      </c>
      <c r="G45" s="1479">
        <f t="shared" si="28"/>
        <v>0</v>
      </c>
      <c r="H45" s="1479">
        <f t="shared" si="28"/>
        <v>0</v>
      </c>
      <c r="I45" s="1479">
        <f t="shared" si="28"/>
        <v>0</v>
      </c>
      <c r="J45" s="1479">
        <f t="shared" si="28"/>
        <v>0</v>
      </c>
      <c r="K45" s="1479">
        <f t="shared" si="28"/>
        <v>0</v>
      </c>
      <c r="L45" s="2250">
        <f>L46</f>
        <v>0</v>
      </c>
      <c r="M45" s="3806"/>
      <c r="N45" s="3800"/>
    </row>
    <row r="46" spans="1:16" ht="12.75">
      <c r="A46" s="3777"/>
      <c r="B46" s="2883" t="s">
        <v>14</v>
      </c>
      <c r="C46" s="3809"/>
      <c r="D46" s="1147">
        <f>E46+L46+F46+G46+H46+I46+J46+K46</f>
        <v>792765</v>
      </c>
      <c r="E46" s="2251">
        <v>7125</v>
      </c>
      <c r="F46" s="1176">
        <f>26722+508668+250250</f>
        <v>785640</v>
      </c>
      <c r="G46" s="1207">
        <v>0</v>
      </c>
      <c r="H46" s="1207">
        <v>0</v>
      </c>
      <c r="I46" s="1207">
        <v>0</v>
      </c>
      <c r="J46" s="1207">
        <v>0</v>
      </c>
      <c r="K46" s="1207">
        <v>0</v>
      </c>
      <c r="L46" s="2251"/>
      <c r="M46" s="3806"/>
      <c r="N46" s="3800"/>
      <c r="O46" s="174">
        <f>F46-'[4]Tab. 6H - Kultura fiz. i turyst'!$G$46</f>
        <v>250250</v>
      </c>
    </row>
    <row r="47" spans="1:16" ht="12.75" customHeight="1">
      <c r="A47" s="3777"/>
      <c r="B47" s="1806" t="s">
        <v>17</v>
      </c>
      <c r="C47" s="3465" t="s">
        <v>180</v>
      </c>
      <c r="D47" s="1173">
        <f>+D48</f>
        <v>9125497</v>
      </c>
      <c r="E47" s="1219">
        <f t="shared" ref="E47" si="29">+E48</f>
        <v>0</v>
      </c>
      <c r="F47" s="1179">
        <f t="shared" ref="F47:G47" si="30">F48</f>
        <v>9125497</v>
      </c>
      <c r="G47" s="1179">
        <f t="shared" si="30"/>
        <v>0</v>
      </c>
      <c r="H47" s="1179"/>
      <c r="I47" s="1179"/>
      <c r="J47" s="1179"/>
      <c r="K47" s="1179"/>
      <c r="L47" s="1219">
        <f>L48</f>
        <v>0</v>
      </c>
      <c r="M47" s="3806"/>
      <c r="N47" s="3800"/>
    </row>
    <row r="48" spans="1:16" ht="13.5" thickBot="1">
      <c r="A48" s="3790"/>
      <c r="B48" s="2980" t="s">
        <v>19</v>
      </c>
      <c r="C48" s="3765"/>
      <c r="D48" s="1679">
        <f>E48+L48+F48+G48+H48+I48+J48+K48</f>
        <v>9125497</v>
      </c>
      <c r="E48" s="2028">
        <v>0</v>
      </c>
      <c r="F48" s="1423">
        <f>8123133+3389874+575000-60138-1657869-1244503</f>
        <v>9125497</v>
      </c>
      <c r="G48" s="1423">
        <f>500000+1500000-9950-1990050</f>
        <v>0</v>
      </c>
      <c r="H48" s="1423"/>
      <c r="I48" s="1423"/>
      <c r="J48" s="1423"/>
      <c r="K48" s="1423"/>
      <c r="L48" s="1424">
        <f>5600000-135126-4889874-575000</f>
        <v>0</v>
      </c>
      <c r="M48" s="3807"/>
      <c r="N48" s="3801"/>
    </row>
    <row r="49" spans="1:16" ht="36" customHeight="1">
      <c r="A49" s="3769" t="s">
        <v>56</v>
      </c>
      <c r="B49" s="158" t="s">
        <v>555</v>
      </c>
      <c r="C49" s="2237" t="s">
        <v>72</v>
      </c>
      <c r="D49" s="1051"/>
      <c r="E49" s="2252"/>
      <c r="F49" s="2253"/>
      <c r="G49" s="2253"/>
      <c r="H49" s="2242"/>
      <c r="I49" s="2242"/>
      <c r="J49" s="2242"/>
      <c r="K49" s="2243"/>
      <c r="L49" s="2253"/>
      <c r="M49" s="1052"/>
      <c r="N49" s="3797" t="s">
        <v>77</v>
      </c>
    </row>
    <row r="50" spans="1:16" ht="12">
      <c r="A50" s="3777"/>
      <c r="B50" s="1168" t="s">
        <v>9</v>
      </c>
      <c r="C50" s="2471"/>
      <c r="D50" s="1170">
        <f>+D51+D54</f>
        <v>5701558</v>
      </c>
      <c r="E50" s="1170">
        <f>+E51+E54</f>
        <v>217780</v>
      </c>
      <c r="F50" s="1170">
        <f>+F51+F54</f>
        <v>5483778</v>
      </c>
      <c r="G50" s="1170"/>
      <c r="H50" s="1170"/>
      <c r="I50" s="1170"/>
      <c r="J50" s="1170"/>
      <c r="K50" s="1170"/>
      <c r="L50" s="1170">
        <f>+L51+L54</f>
        <v>0</v>
      </c>
      <c r="M50" s="1171">
        <f>M51+M54</f>
        <v>0</v>
      </c>
      <c r="N50" s="3798"/>
      <c r="O50" s="174"/>
      <c r="P50" s="174"/>
    </row>
    <row r="51" spans="1:16" s="201" customFormat="1" ht="14.25" customHeight="1">
      <c r="A51" s="3777"/>
      <c r="B51" s="1172" t="s">
        <v>22</v>
      </c>
      <c r="C51" s="3448" t="s">
        <v>159</v>
      </c>
      <c r="D51" s="1173">
        <f>D52+D53</f>
        <v>954677</v>
      </c>
      <c r="E51" s="1173">
        <f t="shared" ref="E51" si="31">E52+E53</f>
        <v>42149</v>
      </c>
      <c r="F51" s="1173">
        <f t="shared" ref="F51" si="32">F52+F53</f>
        <v>912528</v>
      </c>
      <c r="G51" s="1178"/>
      <c r="H51" s="1178"/>
      <c r="I51" s="1178"/>
      <c r="J51" s="1178"/>
      <c r="K51" s="1178"/>
      <c r="L51" s="1173">
        <f>L52+L53</f>
        <v>0</v>
      </c>
      <c r="M51" s="1422">
        <f>M52+M53</f>
        <v>0</v>
      </c>
      <c r="N51" s="3798"/>
    </row>
    <row r="52" spans="1:16" s="201" customFormat="1" ht="12.75">
      <c r="A52" s="3777"/>
      <c r="B52" s="1175" t="s">
        <v>11</v>
      </c>
      <c r="C52" s="3383"/>
      <c r="D52" s="1113">
        <f>E52+L52+F52+G52+H52+I52+J52+K52</f>
        <v>454521</v>
      </c>
      <c r="E52" s="1176">
        <f>610000-360000-72500-105621-38491</f>
        <v>33388</v>
      </c>
      <c r="F52" s="1176">
        <f>495000+360000+72500+105621+19779-403710-139190-88867</f>
        <v>421133</v>
      </c>
      <c r="G52" s="1176"/>
      <c r="H52" s="1176"/>
      <c r="I52" s="1176"/>
      <c r="J52" s="1176"/>
      <c r="K52" s="1176"/>
      <c r="L52" s="1176"/>
      <c r="M52" s="1434">
        <f>SUM(G52:K52)</f>
        <v>0</v>
      </c>
      <c r="N52" s="3798"/>
    </row>
    <row r="53" spans="1:16" s="201" customFormat="1" ht="12.75">
      <c r="A53" s="3777"/>
      <c r="B53" s="2883" t="s">
        <v>14</v>
      </c>
      <c r="C53" s="3383"/>
      <c r="D53" s="1113">
        <f>E53+L53+F53+G53+H53+I53+J53+K53</f>
        <v>500156</v>
      </c>
      <c r="E53" s="1176">
        <v>8761</v>
      </c>
      <c r="F53" s="1176">
        <f>403710+70805+16880</f>
        <v>491395</v>
      </c>
      <c r="G53" s="1176"/>
      <c r="H53" s="1176"/>
      <c r="I53" s="1176"/>
      <c r="J53" s="1176"/>
      <c r="K53" s="1176"/>
      <c r="L53" s="1176"/>
      <c r="M53" s="1434">
        <f>SUM(G53:K53)</f>
        <v>0</v>
      </c>
      <c r="N53" s="3798"/>
    </row>
    <row r="54" spans="1:16" ht="12">
      <c r="A54" s="3777"/>
      <c r="B54" s="1177" t="s">
        <v>17</v>
      </c>
      <c r="C54" s="3383"/>
      <c r="D54" s="1173">
        <f>+D55</f>
        <v>4746881</v>
      </c>
      <c r="E54" s="2301">
        <f>E55</f>
        <v>175631</v>
      </c>
      <c r="F54" s="2301">
        <f>F55</f>
        <v>4571250</v>
      </c>
      <c r="G54" s="1178"/>
      <c r="H54" s="1178"/>
      <c r="I54" s="1178"/>
      <c r="J54" s="1178"/>
      <c r="K54" s="1178"/>
      <c r="L54" s="2301">
        <f>L55</f>
        <v>0</v>
      </c>
      <c r="M54" s="1687">
        <f>+M55</f>
        <v>0</v>
      </c>
      <c r="N54" s="3798"/>
    </row>
    <row r="55" spans="1:16" ht="12.75">
      <c r="A55" s="3777"/>
      <c r="B55" s="2846" t="s">
        <v>19</v>
      </c>
      <c r="C55" s="3384"/>
      <c r="D55" s="1113">
        <f>E55+L55+F55+G55+H55+I55+J55+K55</f>
        <v>4746881</v>
      </c>
      <c r="E55" s="1176">
        <f>2890000-2040000-127500-546585-284</f>
        <v>175631</v>
      </c>
      <c r="F55" s="1176">
        <f>2805000+2040000+127500+546585-56102-443834-447899</f>
        <v>4571250</v>
      </c>
      <c r="G55" s="1176"/>
      <c r="H55" s="1176"/>
      <c r="I55" s="1176"/>
      <c r="J55" s="1176"/>
      <c r="K55" s="1176"/>
      <c r="L55" s="1176"/>
      <c r="M55" s="1434">
        <f>SUM(G55:K55)</f>
        <v>0</v>
      </c>
      <c r="N55" s="3799"/>
    </row>
    <row r="56" spans="1:16" ht="12">
      <c r="A56" s="3777"/>
      <c r="B56" s="1785" t="s">
        <v>20</v>
      </c>
      <c r="C56" s="2118"/>
      <c r="D56" s="1170">
        <f>+D59+D57</f>
        <v>5247037</v>
      </c>
      <c r="E56" s="1170">
        <f t="shared" ref="E56" si="33">+E59+E57</f>
        <v>8761</v>
      </c>
      <c r="F56" s="1170">
        <f t="shared" ref="F56" si="34">+F59+F57</f>
        <v>5238276</v>
      </c>
      <c r="G56" s="1417">
        <f>G59</f>
        <v>0</v>
      </c>
      <c r="H56" s="1170"/>
      <c r="I56" s="1170"/>
      <c r="J56" s="1170"/>
      <c r="K56" s="1170"/>
      <c r="L56" s="1170">
        <f>+L59+L57</f>
        <v>0</v>
      </c>
      <c r="M56" s="3805"/>
      <c r="N56" s="3800" t="s">
        <v>92</v>
      </c>
    </row>
    <row r="57" spans="1:16" ht="12">
      <c r="A57" s="3777"/>
      <c r="B57" s="1806" t="s">
        <v>380</v>
      </c>
      <c r="C57" s="3808" t="s">
        <v>159</v>
      </c>
      <c r="D57" s="1179">
        <f t="shared" ref="D57:K57" si="35">D58</f>
        <v>500156</v>
      </c>
      <c r="E57" s="2250">
        <f t="shared" si="35"/>
        <v>8761</v>
      </c>
      <c r="F57" s="1178">
        <f t="shared" si="35"/>
        <v>491395</v>
      </c>
      <c r="G57" s="1479">
        <f t="shared" si="35"/>
        <v>0</v>
      </c>
      <c r="H57" s="1479">
        <f t="shared" si="35"/>
        <v>0</v>
      </c>
      <c r="I57" s="1479">
        <f t="shared" si="35"/>
        <v>0</v>
      </c>
      <c r="J57" s="1479">
        <f t="shared" si="35"/>
        <v>0</v>
      </c>
      <c r="K57" s="1479">
        <f t="shared" si="35"/>
        <v>0</v>
      </c>
      <c r="L57" s="2250">
        <f>L58</f>
        <v>0</v>
      </c>
      <c r="M57" s="3806"/>
      <c r="N57" s="3800"/>
    </row>
    <row r="58" spans="1:16" ht="12.75">
      <c r="A58" s="3777"/>
      <c r="B58" s="2883" t="s">
        <v>14</v>
      </c>
      <c r="C58" s="3809"/>
      <c r="D58" s="1147">
        <f>E58+L58+F58+G58+H58+I58+J58+K58</f>
        <v>500156</v>
      </c>
      <c r="E58" s="2251">
        <v>8761</v>
      </c>
      <c r="F58" s="1176">
        <f>403710+70805+16880</f>
        <v>491395</v>
      </c>
      <c r="G58" s="1207">
        <v>0</v>
      </c>
      <c r="H58" s="1207">
        <v>0</v>
      </c>
      <c r="I58" s="1207">
        <v>0</v>
      </c>
      <c r="J58" s="1207">
        <v>0</v>
      </c>
      <c r="K58" s="1207">
        <v>0</v>
      </c>
      <c r="L58" s="2251"/>
      <c r="M58" s="3806"/>
      <c r="N58" s="3800"/>
      <c r="O58" s="174">
        <f>F58-'[4]Tab. 6H - Kultura fiz. i turyst'!$G$58</f>
        <v>87685</v>
      </c>
    </row>
    <row r="59" spans="1:16" ht="12.75" customHeight="1">
      <c r="A59" s="3777"/>
      <c r="B59" s="1806" t="s">
        <v>17</v>
      </c>
      <c r="C59" s="3465" t="s">
        <v>180</v>
      </c>
      <c r="D59" s="1173">
        <f>+D60</f>
        <v>4746881</v>
      </c>
      <c r="E59" s="1179">
        <f t="shared" ref="E59:G59" si="36">E60</f>
        <v>0</v>
      </c>
      <c r="F59" s="1179">
        <f t="shared" si="36"/>
        <v>4746881</v>
      </c>
      <c r="G59" s="1219">
        <f t="shared" si="36"/>
        <v>0</v>
      </c>
      <c r="H59" s="1179"/>
      <c r="I59" s="1179"/>
      <c r="J59" s="1179"/>
      <c r="K59" s="1179"/>
      <c r="L59" s="1179">
        <f>L60</f>
        <v>0</v>
      </c>
      <c r="M59" s="3806"/>
      <c r="N59" s="3800"/>
    </row>
    <row r="60" spans="1:16" ht="13.5" thickBot="1">
      <c r="A60" s="3790"/>
      <c r="B60" s="2884" t="s">
        <v>19</v>
      </c>
      <c r="C60" s="3439"/>
      <c r="D60" s="1679">
        <f>E60+L60+F60+G60+H60+I60+J60+K60</f>
        <v>4746881</v>
      </c>
      <c r="E60" s="1423">
        <f>2890000-2040000-850000</f>
        <v>0</v>
      </c>
      <c r="F60" s="1423">
        <f>2805000+2040000+850000-56386-443834-447899</f>
        <v>4746881</v>
      </c>
      <c r="G60" s="1424">
        <v>0</v>
      </c>
      <c r="H60" s="1423"/>
      <c r="I60" s="1423"/>
      <c r="J60" s="1423"/>
      <c r="K60" s="1423"/>
      <c r="L60" s="1423">
        <f>2890000-2040000-850000</f>
        <v>0</v>
      </c>
      <c r="M60" s="3807"/>
      <c r="N60" s="3801"/>
    </row>
    <row r="61" spans="1:16" ht="36.75" customHeight="1">
      <c r="A61" s="3769" t="s">
        <v>57</v>
      </c>
      <c r="B61" s="158" t="s">
        <v>516</v>
      </c>
      <c r="C61" s="2237" t="s">
        <v>72</v>
      </c>
      <c r="D61" s="1051"/>
      <c r="E61" s="2252"/>
      <c r="F61" s="2253"/>
      <c r="G61" s="2253"/>
      <c r="H61" s="2242"/>
      <c r="I61" s="2242"/>
      <c r="J61" s="2242"/>
      <c r="K61" s="2243"/>
      <c r="L61" s="2253"/>
      <c r="M61" s="1052"/>
      <c r="N61" s="3797" t="s">
        <v>77</v>
      </c>
    </row>
    <row r="62" spans="1:16" ht="14.25" customHeight="1">
      <c r="A62" s="3777"/>
      <c r="B62" s="1168" t="s">
        <v>9</v>
      </c>
      <c r="C62" s="2471"/>
      <c r="D62" s="1170">
        <f>+D63+D66</f>
        <v>8223000</v>
      </c>
      <c r="E62" s="1417">
        <f t="shared" ref="E62" si="37">+E63+E66</f>
        <v>0</v>
      </c>
      <c r="F62" s="1170">
        <f>+F63+F66</f>
        <v>123000</v>
      </c>
      <c r="G62" s="1170">
        <f>+G63+G66</f>
        <v>8100000</v>
      </c>
      <c r="H62" s="1170"/>
      <c r="I62" s="1170"/>
      <c r="J62" s="1170"/>
      <c r="K62" s="1170"/>
      <c r="L62" s="1170">
        <f>+L63+L66</f>
        <v>0</v>
      </c>
      <c r="M62" s="1171">
        <f>M63+M66</f>
        <v>8100000</v>
      </c>
      <c r="N62" s="3798"/>
    </row>
    <row r="63" spans="1:16" ht="14.25" customHeight="1">
      <c r="A63" s="3777"/>
      <c r="B63" s="1172" t="s">
        <v>22</v>
      </c>
      <c r="C63" s="3448" t="s">
        <v>159</v>
      </c>
      <c r="D63" s="1173">
        <f>D64+D65</f>
        <v>1233450</v>
      </c>
      <c r="E63" s="1415">
        <f t="shared" ref="E63:G63" si="38">E64+E65</f>
        <v>0</v>
      </c>
      <c r="F63" s="1173">
        <f t="shared" si="38"/>
        <v>18450</v>
      </c>
      <c r="G63" s="1173">
        <f t="shared" si="38"/>
        <v>1215000</v>
      </c>
      <c r="H63" s="1178"/>
      <c r="I63" s="1178"/>
      <c r="J63" s="1178"/>
      <c r="K63" s="1178"/>
      <c r="L63" s="1173">
        <f>L64+L65</f>
        <v>0</v>
      </c>
      <c r="M63" s="1422">
        <f>M64+M65</f>
        <v>1215000</v>
      </c>
      <c r="N63" s="3798"/>
    </row>
    <row r="64" spans="1:16" ht="14.25" customHeight="1">
      <c r="A64" s="3777"/>
      <c r="B64" s="1175" t="s">
        <v>11</v>
      </c>
      <c r="C64" s="3383"/>
      <c r="D64" s="1113">
        <f>E64+L64+F64+G64+H64+I64+J64+K64</f>
        <v>1233450</v>
      </c>
      <c r="E64" s="2300">
        <v>0</v>
      </c>
      <c r="F64" s="1176">
        <v>18450</v>
      </c>
      <c r="G64" s="1176">
        <v>1215000</v>
      </c>
      <c r="H64" s="1176"/>
      <c r="I64" s="1176"/>
      <c r="J64" s="1176"/>
      <c r="K64" s="1176"/>
      <c r="L64" s="1176"/>
      <c r="M64" s="1434">
        <f>SUM(G64:K64)</f>
        <v>1215000</v>
      </c>
      <c r="N64" s="3798"/>
    </row>
    <row r="65" spans="1:16" ht="12.75" hidden="1">
      <c r="A65" s="3777"/>
      <c r="B65" s="2883" t="s">
        <v>14</v>
      </c>
      <c r="C65" s="3383"/>
      <c r="D65" s="1113">
        <f>E65+L65+F65+G65+H65+I65+J65+K65</f>
        <v>0</v>
      </c>
      <c r="E65" s="2300">
        <v>0</v>
      </c>
      <c r="F65" s="1176">
        <v>0</v>
      </c>
      <c r="G65" s="1176">
        <v>0</v>
      </c>
      <c r="H65" s="1176"/>
      <c r="I65" s="1176"/>
      <c r="J65" s="1176"/>
      <c r="K65" s="1176"/>
      <c r="L65" s="1176"/>
      <c r="M65" s="1434">
        <f>SUM(F65:K65)</f>
        <v>0</v>
      </c>
      <c r="N65" s="3798"/>
    </row>
    <row r="66" spans="1:16" ht="12">
      <c r="A66" s="3777"/>
      <c r="B66" s="1177" t="s">
        <v>17</v>
      </c>
      <c r="C66" s="3383"/>
      <c r="D66" s="1173">
        <f>+D67</f>
        <v>6989550</v>
      </c>
      <c r="E66" s="1693">
        <f t="shared" ref="E66" si="39">+E67</f>
        <v>0</v>
      </c>
      <c r="F66" s="2301">
        <f>F67</f>
        <v>104550</v>
      </c>
      <c r="G66" s="2301">
        <f>G67</f>
        <v>6885000</v>
      </c>
      <c r="H66" s="1178"/>
      <c r="I66" s="1178"/>
      <c r="J66" s="1178"/>
      <c r="K66" s="1178"/>
      <c r="L66" s="2301">
        <f>L67</f>
        <v>0</v>
      </c>
      <c r="M66" s="1687">
        <f>+M67</f>
        <v>6885000</v>
      </c>
      <c r="N66" s="3798"/>
    </row>
    <row r="67" spans="1:16" ht="12.75">
      <c r="A67" s="3777"/>
      <c r="B67" s="2846" t="s">
        <v>19</v>
      </c>
      <c r="C67" s="3384"/>
      <c r="D67" s="1113">
        <f>E67+L67+F67+G67+H67+I67+J67+K67</f>
        <v>6989550</v>
      </c>
      <c r="E67" s="2300">
        <v>0</v>
      </c>
      <c r="F67" s="1176">
        <v>104550</v>
      </c>
      <c r="G67" s="1176">
        <v>6885000</v>
      </c>
      <c r="H67" s="1176"/>
      <c r="I67" s="1176"/>
      <c r="J67" s="1176"/>
      <c r="K67" s="1176"/>
      <c r="L67" s="1176"/>
      <c r="M67" s="1434">
        <f>SUM(G67:K67)</f>
        <v>6885000</v>
      </c>
      <c r="N67" s="3799"/>
    </row>
    <row r="68" spans="1:16" ht="14.25" customHeight="1">
      <c r="A68" s="3777"/>
      <c r="B68" s="1785" t="s">
        <v>20</v>
      </c>
      <c r="C68" s="2118"/>
      <c r="D68" s="1170">
        <f>+D71+D69</f>
        <v>6989550</v>
      </c>
      <c r="E68" s="1417">
        <f t="shared" ref="E68:F68" si="40">+E71+E69</f>
        <v>0</v>
      </c>
      <c r="F68" s="1170">
        <f t="shared" si="40"/>
        <v>0</v>
      </c>
      <c r="G68" s="1170">
        <f>G71</f>
        <v>6989550</v>
      </c>
      <c r="H68" s="1170"/>
      <c r="I68" s="1170"/>
      <c r="J68" s="1170"/>
      <c r="K68" s="1170"/>
      <c r="L68" s="1170">
        <f>+L71+L69</f>
        <v>0</v>
      </c>
      <c r="M68" s="3805"/>
      <c r="N68" s="3800" t="s">
        <v>92</v>
      </c>
    </row>
    <row r="69" spans="1:16" ht="12" hidden="1" customHeight="1">
      <c r="A69" s="3777"/>
      <c r="B69" s="1806" t="s">
        <v>380</v>
      </c>
      <c r="C69" s="3808" t="s">
        <v>159</v>
      </c>
      <c r="D69" s="1179">
        <f t="shared" ref="D69:K69" si="41">D70</f>
        <v>0</v>
      </c>
      <c r="E69" s="1479">
        <f t="shared" ref="E69" si="42">+E70</f>
        <v>0</v>
      </c>
      <c r="F69" s="1178">
        <f t="shared" si="41"/>
        <v>0</v>
      </c>
      <c r="G69" s="1479">
        <f t="shared" si="41"/>
        <v>0</v>
      </c>
      <c r="H69" s="1479">
        <f t="shared" si="41"/>
        <v>0</v>
      </c>
      <c r="I69" s="1479">
        <f t="shared" si="41"/>
        <v>0</v>
      </c>
      <c r="J69" s="1479">
        <f t="shared" si="41"/>
        <v>0</v>
      </c>
      <c r="K69" s="1479">
        <f t="shared" si="41"/>
        <v>0</v>
      </c>
      <c r="L69" s="2250">
        <f>L70</f>
        <v>0</v>
      </c>
      <c r="M69" s="3806"/>
      <c r="N69" s="3800"/>
    </row>
    <row r="70" spans="1:16" ht="12.75" hidden="1" customHeight="1">
      <c r="A70" s="3777"/>
      <c r="B70" s="2883" t="s">
        <v>14</v>
      </c>
      <c r="C70" s="3809"/>
      <c r="D70" s="1147">
        <f>E70+L70+F70+G70+H70+I70+J70+K70</f>
        <v>0</v>
      </c>
      <c r="E70" s="1207">
        <v>0</v>
      </c>
      <c r="F70" s="1176">
        <v>0</v>
      </c>
      <c r="G70" s="1207">
        <v>0</v>
      </c>
      <c r="H70" s="1207">
        <v>0</v>
      </c>
      <c r="I70" s="1207">
        <v>0</v>
      </c>
      <c r="J70" s="1207">
        <v>0</v>
      </c>
      <c r="K70" s="1207">
        <v>0</v>
      </c>
      <c r="L70" s="2251"/>
      <c r="M70" s="3806"/>
      <c r="N70" s="3800"/>
    </row>
    <row r="71" spans="1:16" ht="12">
      <c r="A71" s="3777"/>
      <c r="B71" s="1806" t="s">
        <v>17</v>
      </c>
      <c r="C71" s="3465" t="s">
        <v>180</v>
      </c>
      <c r="D71" s="1173">
        <f>+D72</f>
        <v>6989550</v>
      </c>
      <c r="E71" s="1219">
        <f t="shared" ref="E71" si="43">+E72</f>
        <v>0</v>
      </c>
      <c r="F71" s="1179">
        <f t="shared" ref="F71:G71" si="44">F72</f>
        <v>0</v>
      </c>
      <c r="G71" s="1179">
        <f t="shared" si="44"/>
        <v>6989550</v>
      </c>
      <c r="H71" s="1179"/>
      <c r="I71" s="1179"/>
      <c r="J71" s="1179"/>
      <c r="K71" s="1179"/>
      <c r="L71" s="1179">
        <f>L72</f>
        <v>0</v>
      </c>
      <c r="M71" s="3806"/>
      <c r="N71" s="3800"/>
    </row>
    <row r="72" spans="1:16" ht="13.5" thickBot="1">
      <c r="A72" s="3790"/>
      <c r="B72" s="2884" t="s">
        <v>19</v>
      </c>
      <c r="C72" s="3439"/>
      <c r="D72" s="1679">
        <f>E72+L72+F72+G72+H72+I72+J72+K72</f>
        <v>6989550</v>
      </c>
      <c r="E72" s="2028">
        <v>0</v>
      </c>
      <c r="F72" s="1423">
        <v>0</v>
      </c>
      <c r="G72" s="2671">
        <v>6989550</v>
      </c>
      <c r="H72" s="1423"/>
      <c r="I72" s="1423"/>
      <c r="J72" s="1423"/>
      <c r="K72" s="1423"/>
      <c r="L72" s="1423">
        <f>2890000-2040000-850000</f>
        <v>0</v>
      </c>
      <c r="M72" s="3807"/>
      <c r="N72" s="3801"/>
    </row>
    <row r="73" spans="1:16" ht="27" customHeight="1">
      <c r="A73" s="3769" t="s">
        <v>58</v>
      </c>
      <c r="B73" s="158" t="s">
        <v>534</v>
      </c>
      <c r="C73" s="2237" t="s">
        <v>72</v>
      </c>
      <c r="D73" s="1051"/>
      <c r="E73" s="2252"/>
      <c r="F73" s="2253"/>
      <c r="G73" s="2253"/>
      <c r="H73" s="2242"/>
      <c r="I73" s="2242"/>
      <c r="J73" s="2242"/>
      <c r="K73" s="2243"/>
      <c r="L73" s="2253"/>
      <c r="M73" s="1052"/>
      <c r="N73" s="3797" t="s">
        <v>77</v>
      </c>
    </row>
    <row r="74" spans="1:16" ht="16.5" customHeight="1">
      <c r="A74" s="3777"/>
      <c r="B74" s="1168" t="s">
        <v>9</v>
      </c>
      <c r="C74" s="2471"/>
      <c r="D74" s="1170">
        <f>+D75+D77</f>
        <v>7500000</v>
      </c>
      <c r="E74" s="1170">
        <f t="shared" ref="E74" si="45">+E75+E77</f>
        <v>0</v>
      </c>
      <c r="F74" s="1170">
        <f>+F75+F77</f>
        <v>2100000</v>
      </c>
      <c r="G74" s="1170">
        <f>+G75+G77</f>
        <v>5050000</v>
      </c>
      <c r="H74" s="1170">
        <f>+H75+H77</f>
        <v>350000</v>
      </c>
      <c r="I74" s="1170"/>
      <c r="J74" s="1170"/>
      <c r="K74" s="1170"/>
      <c r="L74" s="1417">
        <f>+L75+L77</f>
        <v>0</v>
      </c>
      <c r="M74" s="1171">
        <f>M75+M77</f>
        <v>5400000</v>
      </c>
      <c r="N74" s="3798"/>
      <c r="O74" s="174"/>
      <c r="P74" s="174"/>
    </row>
    <row r="75" spans="1:16" s="201" customFormat="1" ht="14.25" customHeight="1">
      <c r="A75" s="3777"/>
      <c r="B75" s="1172" t="s">
        <v>22</v>
      </c>
      <c r="C75" s="3448" t="s">
        <v>159</v>
      </c>
      <c r="D75" s="1173">
        <f>D76</f>
        <v>1125000</v>
      </c>
      <c r="E75" s="1475">
        <f t="shared" ref="E75:H75" si="46">E76</f>
        <v>0</v>
      </c>
      <c r="F75" s="2301">
        <f t="shared" si="46"/>
        <v>315000</v>
      </c>
      <c r="G75" s="2301">
        <f t="shared" si="46"/>
        <v>757500</v>
      </c>
      <c r="H75" s="2301">
        <f t="shared" si="46"/>
        <v>52500</v>
      </c>
      <c r="I75" s="1178"/>
      <c r="J75" s="1178"/>
      <c r="K75" s="1178"/>
      <c r="L75" s="2472">
        <f>L76</f>
        <v>0</v>
      </c>
      <c r="M75" s="1422">
        <f>M76</f>
        <v>810000</v>
      </c>
      <c r="N75" s="3798"/>
    </row>
    <row r="76" spans="1:16" s="201" customFormat="1" ht="14.25" customHeight="1">
      <c r="A76" s="3777"/>
      <c r="B76" s="1175" t="s">
        <v>11</v>
      </c>
      <c r="C76" s="3383"/>
      <c r="D76" s="1113">
        <f>E76+L76+F76+G76+H76+I76+J76+K76</f>
        <v>1125000</v>
      </c>
      <c r="E76" s="1113">
        <v>0</v>
      </c>
      <c r="F76" s="1176">
        <f>900000-375000-210000</f>
        <v>315000</v>
      </c>
      <c r="G76" s="1176">
        <f>600000+157500</f>
        <v>757500</v>
      </c>
      <c r="H76" s="1176">
        <v>52500</v>
      </c>
      <c r="I76" s="1176"/>
      <c r="J76" s="1176"/>
      <c r="K76" s="1176"/>
      <c r="L76" s="1476">
        <f>225000-225000</f>
        <v>0</v>
      </c>
      <c r="M76" s="1434">
        <f>SUM(G76:K76)</f>
        <v>810000</v>
      </c>
      <c r="N76" s="3798"/>
    </row>
    <row r="77" spans="1:16" ht="14.25" customHeight="1">
      <c r="A77" s="3777"/>
      <c r="B77" s="1177" t="s">
        <v>17</v>
      </c>
      <c r="C77" s="3383"/>
      <c r="D77" s="1173">
        <f>+D78</f>
        <v>6375000</v>
      </c>
      <c r="E77" s="1475">
        <f t="shared" ref="E77" si="47">+E78</f>
        <v>0</v>
      </c>
      <c r="F77" s="2301">
        <f>F78</f>
        <v>1785000</v>
      </c>
      <c r="G77" s="2301">
        <f>G78</f>
        <v>4292500</v>
      </c>
      <c r="H77" s="2301">
        <f>H78</f>
        <v>297500</v>
      </c>
      <c r="I77" s="1178"/>
      <c r="J77" s="1178"/>
      <c r="K77" s="1178"/>
      <c r="L77" s="2472">
        <f>L78</f>
        <v>0</v>
      </c>
      <c r="M77" s="1687">
        <f>+M78</f>
        <v>4590000</v>
      </c>
      <c r="N77" s="3798"/>
    </row>
    <row r="78" spans="1:16" ht="13.5" customHeight="1">
      <c r="A78" s="3777"/>
      <c r="B78" s="2846" t="s">
        <v>19</v>
      </c>
      <c r="C78" s="3384"/>
      <c r="D78" s="1113">
        <f>E78+L78+F78+G78+H78+I78+J78+K78</f>
        <v>6375000</v>
      </c>
      <c r="E78" s="1113">
        <v>0</v>
      </c>
      <c r="F78" s="1176">
        <f>5100000-2125000-1190000</f>
        <v>1785000</v>
      </c>
      <c r="G78" s="1176">
        <f>3400000+892500</f>
        <v>4292500</v>
      </c>
      <c r="H78" s="1176">
        <v>297500</v>
      </c>
      <c r="I78" s="1176"/>
      <c r="J78" s="1176"/>
      <c r="K78" s="1176"/>
      <c r="L78" s="1476">
        <f>1275000-1275000</f>
        <v>0</v>
      </c>
      <c r="M78" s="1434">
        <f>SUM(G78:K78)</f>
        <v>4590000</v>
      </c>
      <c r="N78" s="3799"/>
    </row>
    <row r="79" spans="1:16" ht="15.75" customHeight="1">
      <c r="A79" s="3777"/>
      <c r="B79" s="1785" t="s">
        <v>20</v>
      </c>
      <c r="C79" s="2118"/>
      <c r="D79" s="1170">
        <f>+D80</f>
        <v>6375000</v>
      </c>
      <c r="E79" s="1170">
        <f t="shared" ref="E79:E80" si="48">+E80</f>
        <v>0</v>
      </c>
      <c r="F79" s="1170">
        <f t="shared" ref="F79:H80" si="49">F80</f>
        <v>0</v>
      </c>
      <c r="G79" s="1170">
        <f t="shared" si="49"/>
        <v>3100000</v>
      </c>
      <c r="H79" s="1170">
        <f t="shared" si="49"/>
        <v>3275000</v>
      </c>
      <c r="I79" s="1170"/>
      <c r="J79" s="1170"/>
      <c r="K79" s="1170"/>
      <c r="L79" s="1417">
        <f>L80</f>
        <v>0</v>
      </c>
      <c r="M79" s="3805"/>
      <c r="N79" s="3800" t="s">
        <v>92</v>
      </c>
    </row>
    <row r="80" spans="1:16" ht="17.25" customHeight="1">
      <c r="A80" s="3777"/>
      <c r="B80" s="1806" t="s">
        <v>17</v>
      </c>
      <c r="C80" s="3465" t="s">
        <v>180</v>
      </c>
      <c r="D80" s="1173">
        <f>+D81</f>
        <v>6375000</v>
      </c>
      <c r="E80" s="1179">
        <f t="shared" si="48"/>
        <v>0</v>
      </c>
      <c r="F80" s="1179">
        <f t="shared" si="49"/>
        <v>0</v>
      </c>
      <c r="G80" s="1179">
        <f t="shared" si="49"/>
        <v>3100000</v>
      </c>
      <c r="H80" s="1179">
        <f t="shared" si="49"/>
        <v>3275000</v>
      </c>
      <c r="I80" s="1179"/>
      <c r="J80" s="1179"/>
      <c r="K80" s="1179"/>
      <c r="L80" s="1219">
        <f>L81</f>
        <v>0</v>
      </c>
      <c r="M80" s="3806"/>
      <c r="N80" s="3800"/>
    </row>
    <row r="81" spans="1:14" ht="17.25" customHeight="1" thickBot="1">
      <c r="A81" s="3790"/>
      <c r="B81" s="2884" t="s">
        <v>19</v>
      </c>
      <c r="C81" s="3439"/>
      <c r="D81" s="1113">
        <f>E81+L81+F81+G81+H81+I81+J81+K81</f>
        <v>6375000</v>
      </c>
      <c r="E81" s="1113">
        <v>0</v>
      </c>
      <c r="F81" s="1423">
        <f>1800000-1800000</f>
        <v>0</v>
      </c>
      <c r="G81" s="1423">
        <f>4575000+1800000-3275000</f>
        <v>3100000</v>
      </c>
      <c r="H81" s="1423">
        <v>3275000</v>
      </c>
      <c r="I81" s="1423"/>
      <c r="J81" s="1423"/>
      <c r="K81" s="1423"/>
      <c r="L81" s="1424">
        <v>0</v>
      </c>
      <c r="M81" s="3807"/>
      <c r="N81" s="3801"/>
    </row>
    <row r="82" spans="1:14" s="201" customFormat="1" ht="41.25" customHeight="1">
      <c r="A82" s="3769" t="s">
        <v>105</v>
      </c>
      <c r="B82" s="158" t="s">
        <v>501</v>
      </c>
      <c r="C82" s="2237" t="s">
        <v>72</v>
      </c>
      <c r="D82" s="572"/>
      <c r="E82" s="572"/>
      <c r="F82" s="572"/>
      <c r="G82" s="572"/>
      <c r="H82" s="572"/>
      <c r="I82" s="572"/>
      <c r="J82" s="572"/>
      <c r="K82" s="572"/>
      <c r="L82" s="572"/>
      <c r="M82" s="3024"/>
      <c r="N82" s="627"/>
    </row>
    <row r="83" spans="1:14" s="201" customFormat="1" ht="14.25" customHeight="1">
      <c r="A83" s="3770"/>
      <c r="B83" s="1168" t="s">
        <v>9</v>
      </c>
      <c r="C83" s="2118"/>
      <c r="D83" s="1170">
        <f t="shared" ref="D83" si="50">+D88+D84</f>
        <v>6938348</v>
      </c>
      <c r="E83" s="1170">
        <f t="shared" ref="E83" si="51">+E88+E84</f>
        <v>0</v>
      </c>
      <c r="F83" s="1170">
        <f t="shared" ref="F83:K83" si="52">+F88+F84</f>
        <v>2200125</v>
      </c>
      <c r="G83" s="1170">
        <f t="shared" si="52"/>
        <v>4738223</v>
      </c>
      <c r="H83" s="1170">
        <f t="shared" si="52"/>
        <v>0</v>
      </c>
      <c r="I83" s="1170">
        <f t="shared" si="52"/>
        <v>0</v>
      </c>
      <c r="J83" s="1170">
        <f t="shared" si="52"/>
        <v>0</v>
      </c>
      <c r="K83" s="1170">
        <f t="shared" si="52"/>
        <v>0</v>
      </c>
      <c r="L83" s="1170">
        <f>+L88+L84</f>
        <v>0</v>
      </c>
      <c r="M83" s="1171">
        <f>+M88+M84</f>
        <v>4738223</v>
      </c>
      <c r="N83" s="3798" t="s">
        <v>557</v>
      </c>
    </row>
    <row r="84" spans="1:14" s="201" customFormat="1" ht="14.25" customHeight="1">
      <c r="A84" s="3770"/>
      <c r="B84" s="1172" t="s">
        <v>22</v>
      </c>
      <c r="C84" s="3448" t="s">
        <v>159</v>
      </c>
      <c r="D84" s="1173">
        <f>D85</f>
        <v>1888653</v>
      </c>
      <c r="E84" s="1475">
        <f t="shared" ref="E84:K84" si="53">E85</f>
        <v>0</v>
      </c>
      <c r="F84" s="1178">
        <f t="shared" si="53"/>
        <v>330020</v>
      </c>
      <c r="G84" s="1178">
        <f t="shared" si="53"/>
        <v>1558633</v>
      </c>
      <c r="H84" s="1178">
        <f t="shared" si="53"/>
        <v>0</v>
      </c>
      <c r="I84" s="1178">
        <f t="shared" si="53"/>
        <v>0</v>
      </c>
      <c r="J84" s="1178">
        <f t="shared" si="53"/>
        <v>0</v>
      </c>
      <c r="K84" s="1178">
        <f t="shared" si="53"/>
        <v>0</v>
      </c>
      <c r="L84" s="1178">
        <f>L85</f>
        <v>0</v>
      </c>
      <c r="M84" s="1422">
        <f>M85</f>
        <v>1558633</v>
      </c>
      <c r="N84" s="3798"/>
    </row>
    <row r="85" spans="1:14" s="201" customFormat="1" ht="14.25" customHeight="1">
      <c r="A85" s="3770"/>
      <c r="B85" s="1175" t="s">
        <v>11</v>
      </c>
      <c r="C85" s="3383"/>
      <c r="D85" s="2461">
        <f t="shared" ref="D85:E85" si="54">D86+D87</f>
        <v>1888653</v>
      </c>
      <c r="E85" s="2461">
        <f t="shared" si="54"/>
        <v>0</v>
      </c>
      <c r="F85" s="2461">
        <f>F86+F87</f>
        <v>330020</v>
      </c>
      <c r="G85" s="2461">
        <f t="shared" ref="G85:K85" si="55">G86+G87</f>
        <v>1558633</v>
      </c>
      <c r="H85" s="2461">
        <f t="shared" si="55"/>
        <v>0</v>
      </c>
      <c r="I85" s="2461">
        <f t="shared" si="55"/>
        <v>0</v>
      </c>
      <c r="J85" s="2461">
        <f t="shared" si="55"/>
        <v>0</v>
      </c>
      <c r="K85" s="2461">
        <f t="shared" si="55"/>
        <v>0</v>
      </c>
      <c r="L85" s="2461">
        <f>L86+L87</f>
        <v>0</v>
      </c>
      <c r="M85" s="1434">
        <f>SUM(G85:K85)</f>
        <v>1558633</v>
      </c>
      <c r="N85" s="3798"/>
    </row>
    <row r="86" spans="1:14" s="201" customFormat="1" ht="14.25" hidden="1" customHeight="1">
      <c r="A86" s="3770"/>
      <c r="B86" s="2462" t="s">
        <v>474</v>
      </c>
      <c r="C86" s="3383"/>
      <c r="D86" s="2463">
        <f>E86+L86+F86+G86+H86+I86+J86+K86</f>
        <v>324805</v>
      </c>
      <c r="E86" s="2464"/>
      <c r="F86" s="2465">
        <v>324805</v>
      </c>
      <c r="G86" s="2465">
        <v>0</v>
      </c>
      <c r="H86" s="2465">
        <v>0</v>
      </c>
      <c r="I86" s="2465">
        <v>0</v>
      </c>
      <c r="J86" s="2465">
        <v>0</v>
      </c>
      <c r="K86" s="2465">
        <v>0</v>
      </c>
      <c r="L86" s="2465"/>
      <c r="M86" s="1434">
        <f>SUM(F86:K86)</f>
        <v>324805</v>
      </c>
      <c r="N86" s="3798"/>
    </row>
    <row r="87" spans="1:14" s="201" customFormat="1" ht="14.25" hidden="1" customHeight="1">
      <c r="A87" s="3770"/>
      <c r="B87" s="2466" t="s">
        <v>183</v>
      </c>
      <c r="C87" s="3383"/>
      <c r="D87" s="2467">
        <f>E87+L87+F87+G87+H87+I87+J87+K87</f>
        <v>1563848</v>
      </c>
      <c r="E87" s="2468"/>
      <c r="F87" s="2469">
        <v>5215</v>
      </c>
      <c r="G87" s="2469">
        <f>576876-15773+997530</f>
        <v>1558633</v>
      </c>
      <c r="H87" s="2469"/>
      <c r="I87" s="2469"/>
      <c r="J87" s="2469"/>
      <c r="K87" s="2469"/>
      <c r="L87" s="2469"/>
      <c r="M87" s="1434">
        <f>SUM(F87:K87)</f>
        <v>1563848</v>
      </c>
      <c r="N87" s="3798"/>
    </row>
    <row r="88" spans="1:14" s="201" customFormat="1" ht="14.25" customHeight="1">
      <c r="A88" s="3770"/>
      <c r="B88" s="1177" t="s">
        <v>17</v>
      </c>
      <c r="C88" s="3383"/>
      <c r="D88" s="1173">
        <f>D89</f>
        <v>5049695</v>
      </c>
      <c r="E88" s="1173">
        <f t="shared" ref="E88:K88" si="56">E89</f>
        <v>0</v>
      </c>
      <c r="F88" s="1173">
        <f t="shared" si="56"/>
        <v>1870105</v>
      </c>
      <c r="G88" s="1173">
        <f t="shared" si="56"/>
        <v>3179590</v>
      </c>
      <c r="H88" s="1173">
        <f t="shared" si="56"/>
        <v>0</v>
      </c>
      <c r="I88" s="1173">
        <f t="shared" si="56"/>
        <v>0</v>
      </c>
      <c r="J88" s="1173">
        <f t="shared" si="56"/>
        <v>0</v>
      </c>
      <c r="K88" s="1173">
        <f t="shared" si="56"/>
        <v>0</v>
      </c>
      <c r="L88" s="1173">
        <f>L89</f>
        <v>0</v>
      </c>
      <c r="M88" s="1422">
        <f>+M89</f>
        <v>3179590</v>
      </c>
      <c r="N88" s="3798"/>
    </row>
    <row r="89" spans="1:14" s="201" customFormat="1" ht="15" customHeight="1">
      <c r="A89" s="3770"/>
      <c r="B89" s="2846" t="s">
        <v>19</v>
      </c>
      <c r="C89" s="3384"/>
      <c r="D89" s="2461">
        <f t="shared" ref="D89" si="57">D90+D91</f>
        <v>5049695</v>
      </c>
      <c r="E89" s="2461">
        <f t="shared" ref="E89" si="58">E90+E91</f>
        <v>0</v>
      </c>
      <c r="F89" s="2461">
        <f>F90+F91</f>
        <v>1870105</v>
      </c>
      <c r="G89" s="2461">
        <f t="shared" ref="G89" si="59">G90+G91</f>
        <v>3179590</v>
      </c>
      <c r="H89" s="2461">
        <f t="shared" ref="H89" si="60">H90+H91</f>
        <v>0</v>
      </c>
      <c r="I89" s="2461">
        <f t="shared" ref="I89" si="61">I90+I91</f>
        <v>0</v>
      </c>
      <c r="J89" s="2461">
        <f t="shared" ref="J89" si="62">J90+J91</f>
        <v>0</v>
      </c>
      <c r="K89" s="2461">
        <f t="shared" ref="K89" si="63">K90+K91</f>
        <v>0</v>
      </c>
      <c r="L89" s="2461">
        <f t="shared" ref="L89" si="64">L90+L91</f>
        <v>0</v>
      </c>
      <c r="M89" s="1434">
        <f>SUM(G89:K89)</f>
        <v>3179590</v>
      </c>
      <c r="N89" s="3799"/>
    </row>
    <row r="90" spans="1:14" s="201" customFormat="1" ht="15" hidden="1" customHeight="1">
      <c r="A90" s="3770"/>
      <c r="B90" s="2462" t="s">
        <v>474</v>
      </c>
      <c r="C90" s="2978"/>
      <c r="D90" s="2463">
        <f>E90+L90+F90+G90+H90+I90+J90+K90</f>
        <v>1840559</v>
      </c>
      <c r="E90" s="2464"/>
      <c r="F90" s="2465">
        <v>1840559</v>
      </c>
      <c r="G90" s="2465">
        <v>0</v>
      </c>
      <c r="H90" s="2465">
        <v>0</v>
      </c>
      <c r="I90" s="2465">
        <v>0</v>
      </c>
      <c r="J90" s="2465">
        <v>0</v>
      </c>
      <c r="K90" s="2465">
        <v>0</v>
      </c>
      <c r="L90" s="2465"/>
      <c r="M90" s="1434">
        <f>SUM(F90:K90)</f>
        <v>1840559</v>
      </c>
      <c r="N90" s="2991"/>
    </row>
    <row r="91" spans="1:14" s="201" customFormat="1" ht="15" hidden="1" customHeight="1">
      <c r="A91" s="3770"/>
      <c r="B91" s="2466" t="s">
        <v>183</v>
      </c>
      <c r="C91" s="2978"/>
      <c r="D91" s="2467">
        <f>E91+L91+F91+G91+H91+I91+J91+K91</f>
        <v>3209136</v>
      </c>
      <c r="E91" s="2468"/>
      <c r="F91" s="2469">
        <v>29546</v>
      </c>
      <c r="G91" s="2469">
        <f>3268970-89380</f>
        <v>3179590</v>
      </c>
      <c r="H91" s="2469">
        <v>0</v>
      </c>
      <c r="I91" s="2469">
        <v>0</v>
      </c>
      <c r="J91" s="2469">
        <v>0</v>
      </c>
      <c r="K91" s="2469">
        <v>0</v>
      </c>
      <c r="L91" s="2469"/>
      <c r="M91" s="1434">
        <f>SUM(F91:K91)</f>
        <v>3209136</v>
      </c>
      <c r="N91" s="2991"/>
    </row>
    <row r="92" spans="1:14" s="201" customFormat="1" ht="15.75" customHeight="1">
      <c r="A92" s="3770"/>
      <c r="B92" s="1785" t="s">
        <v>20</v>
      </c>
      <c r="C92" s="2118"/>
      <c r="D92" s="1170">
        <f t="shared" ref="D92:K93" si="65">D93</f>
        <v>5049695</v>
      </c>
      <c r="E92" s="1170">
        <f t="shared" ref="E92:E93" si="66">+E93</f>
        <v>0</v>
      </c>
      <c r="F92" s="1170">
        <f t="shared" si="65"/>
        <v>0</v>
      </c>
      <c r="G92" s="1170">
        <f t="shared" si="65"/>
        <v>5049695</v>
      </c>
      <c r="H92" s="1170">
        <f t="shared" si="65"/>
        <v>0</v>
      </c>
      <c r="I92" s="1170">
        <f t="shared" si="65"/>
        <v>0</v>
      </c>
      <c r="J92" s="1170">
        <f t="shared" si="65"/>
        <v>0</v>
      </c>
      <c r="K92" s="1170">
        <f t="shared" si="65"/>
        <v>0</v>
      </c>
      <c r="L92" s="1170">
        <f>L93</f>
        <v>0</v>
      </c>
      <c r="M92" s="3429" t="s">
        <v>52</v>
      </c>
      <c r="N92" s="3802" t="s">
        <v>183</v>
      </c>
    </row>
    <row r="93" spans="1:14" s="201" customFormat="1" ht="15" customHeight="1">
      <c r="A93" s="3770"/>
      <c r="B93" s="1806" t="s">
        <v>17</v>
      </c>
      <c r="C93" s="3465" t="s">
        <v>180</v>
      </c>
      <c r="D93" s="1179">
        <f t="shared" si="65"/>
        <v>5049695</v>
      </c>
      <c r="E93" s="1179">
        <f t="shared" si="66"/>
        <v>0</v>
      </c>
      <c r="F93" s="1179">
        <f t="shared" si="65"/>
        <v>0</v>
      </c>
      <c r="G93" s="1179">
        <f t="shared" si="65"/>
        <v>5049695</v>
      </c>
      <c r="H93" s="1179">
        <f t="shared" si="65"/>
        <v>0</v>
      </c>
      <c r="I93" s="1179">
        <f t="shared" si="65"/>
        <v>0</v>
      </c>
      <c r="J93" s="1179">
        <f t="shared" si="65"/>
        <v>0</v>
      </c>
      <c r="K93" s="1179">
        <f t="shared" si="65"/>
        <v>0</v>
      </c>
      <c r="L93" s="1179">
        <f>L94</f>
        <v>0</v>
      </c>
      <c r="M93" s="3427"/>
      <c r="N93" s="3803"/>
    </row>
    <row r="94" spans="1:14" s="201" customFormat="1" ht="15" customHeight="1" thickBot="1">
      <c r="A94" s="3771"/>
      <c r="B94" s="2884" t="s">
        <v>19</v>
      </c>
      <c r="C94" s="3439"/>
      <c r="D94" s="1679">
        <f>E94+L94+F94+G94+H94+I94+J94+K94</f>
        <v>5049695</v>
      </c>
      <c r="E94" s="1679">
        <v>0</v>
      </c>
      <c r="F94" s="1423">
        <v>0</v>
      </c>
      <c r="G94" s="1423">
        <f>5139075-89380</f>
        <v>5049695</v>
      </c>
      <c r="H94" s="1423">
        <v>0</v>
      </c>
      <c r="I94" s="1423">
        <v>0</v>
      </c>
      <c r="J94" s="1423">
        <v>0</v>
      </c>
      <c r="K94" s="1423">
        <v>0</v>
      </c>
      <c r="L94" s="1423">
        <f>6462083-2818040-3644043</f>
        <v>0</v>
      </c>
      <c r="M94" s="3428"/>
      <c r="N94" s="3804"/>
    </row>
    <row r="95" spans="1:14" s="201" customFormat="1" ht="43.5" customHeight="1">
      <c r="A95" s="3769" t="s">
        <v>78</v>
      </c>
      <c r="B95" s="158" t="s">
        <v>500</v>
      </c>
      <c r="C95" s="2237" t="s">
        <v>72</v>
      </c>
      <c r="D95" s="572"/>
      <c r="E95" s="572"/>
      <c r="F95" s="572"/>
      <c r="G95" s="572"/>
      <c r="H95" s="572"/>
      <c r="I95" s="572"/>
      <c r="J95" s="572"/>
      <c r="K95" s="572"/>
      <c r="L95" s="572"/>
      <c r="M95" s="3024"/>
      <c r="N95" s="627"/>
    </row>
    <row r="96" spans="1:14" s="201" customFormat="1" ht="18" customHeight="1">
      <c r="A96" s="3777"/>
      <c r="B96" s="1168" t="s">
        <v>9</v>
      </c>
      <c r="C96" s="2118"/>
      <c r="D96" s="1170">
        <f t="shared" ref="D96:E96" si="67">+D101+D97</f>
        <v>4768906</v>
      </c>
      <c r="E96" s="1170">
        <f t="shared" si="67"/>
        <v>0</v>
      </c>
      <c r="F96" s="1170">
        <f t="shared" ref="F96:K96" si="68">+F101+F97</f>
        <v>2049234</v>
      </c>
      <c r="G96" s="1170">
        <f t="shared" si="68"/>
        <v>2719672</v>
      </c>
      <c r="H96" s="1170">
        <f t="shared" si="68"/>
        <v>0</v>
      </c>
      <c r="I96" s="1170">
        <f t="shared" si="68"/>
        <v>0</v>
      </c>
      <c r="J96" s="1170">
        <f t="shared" si="68"/>
        <v>0</v>
      </c>
      <c r="K96" s="1170">
        <f t="shared" si="68"/>
        <v>0</v>
      </c>
      <c r="L96" s="1170">
        <f>+L101+L97</f>
        <v>0</v>
      </c>
      <c r="M96" s="1171">
        <f>+M101+M97</f>
        <v>2719672</v>
      </c>
      <c r="N96" s="3798" t="s">
        <v>557</v>
      </c>
    </row>
    <row r="97" spans="1:14" s="201" customFormat="1" ht="15" customHeight="1">
      <c r="A97" s="3777"/>
      <c r="B97" s="1172" t="s">
        <v>22</v>
      </c>
      <c r="C97" s="3448" t="s">
        <v>159</v>
      </c>
      <c r="D97" s="1173">
        <f>D98</f>
        <v>715336</v>
      </c>
      <c r="E97" s="1475">
        <f t="shared" ref="E97:H97" si="69">E98</f>
        <v>0</v>
      </c>
      <c r="F97" s="1178">
        <f t="shared" si="69"/>
        <v>307386</v>
      </c>
      <c r="G97" s="1178">
        <f t="shared" si="69"/>
        <v>407950</v>
      </c>
      <c r="H97" s="1178">
        <f t="shared" si="69"/>
        <v>0</v>
      </c>
      <c r="I97" s="1178"/>
      <c r="J97" s="1178"/>
      <c r="K97" s="1178"/>
      <c r="L97" s="1178">
        <f>L98</f>
        <v>0</v>
      </c>
      <c r="M97" s="1422">
        <f>M98</f>
        <v>407950</v>
      </c>
      <c r="N97" s="3798"/>
    </row>
    <row r="98" spans="1:14" s="201" customFormat="1" ht="16.5" customHeight="1">
      <c r="A98" s="3777"/>
      <c r="B98" s="1175" t="s">
        <v>11</v>
      </c>
      <c r="C98" s="3383"/>
      <c r="D98" s="2461">
        <f t="shared" ref="D98" si="70">D99+D100</f>
        <v>715336</v>
      </c>
      <c r="E98" s="2461">
        <f t="shared" ref="E98" si="71">E99+E100</f>
        <v>0</v>
      </c>
      <c r="F98" s="2461">
        <f>F99+F100</f>
        <v>307386</v>
      </c>
      <c r="G98" s="2461">
        <f t="shared" ref="G98" si="72">G99+G100</f>
        <v>407950</v>
      </c>
      <c r="H98" s="2461">
        <f t="shared" ref="H98" si="73">H99+H100</f>
        <v>0</v>
      </c>
      <c r="I98" s="2461">
        <f t="shared" ref="I98" si="74">I99+I100</f>
        <v>0</v>
      </c>
      <c r="J98" s="2461">
        <f t="shared" ref="J98" si="75">J99+J100</f>
        <v>0</v>
      </c>
      <c r="K98" s="2461">
        <f t="shared" ref="K98" si="76">K99+K100</f>
        <v>0</v>
      </c>
      <c r="L98" s="2461">
        <f t="shared" ref="L98" si="77">L99+L100</f>
        <v>0</v>
      </c>
      <c r="M98" s="1434">
        <f>SUM(G98:K98)</f>
        <v>407950</v>
      </c>
      <c r="N98" s="3798"/>
    </row>
    <row r="99" spans="1:14" s="201" customFormat="1" ht="15" hidden="1" customHeight="1">
      <c r="A99" s="3777"/>
      <c r="B99" s="2462" t="s">
        <v>474</v>
      </c>
      <c r="C99" s="3383"/>
      <c r="D99" s="2463">
        <f>E99+L99+F99+G99+H99+I99+J99+K99</f>
        <v>302171</v>
      </c>
      <c r="E99" s="2464"/>
      <c r="F99" s="2465">
        <v>302171</v>
      </c>
      <c r="G99" s="2465">
        <v>0</v>
      </c>
      <c r="H99" s="2465">
        <v>0</v>
      </c>
      <c r="I99" s="2465">
        <v>0</v>
      </c>
      <c r="J99" s="2465">
        <v>0</v>
      </c>
      <c r="K99" s="2465">
        <v>0</v>
      </c>
      <c r="L99" s="2465"/>
      <c r="M99" s="1434">
        <f>SUM(F99:K99)</f>
        <v>302171</v>
      </c>
      <c r="N99" s="3798"/>
    </row>
    <row r="100" spans="1:14" s="201" customFormat="1" ht="15" hidden="1" customHeight="1">
      <c r="A100" s="3777"/>
      <c r="B100" s="2466" t="s">
        <v>183</v>
      </c>
      <c r="C100" s="3383"/>
      <c r="D100" s="2467">
        <f>E100+L100+F100+G100+H100+I100+J100+K100</f>
        <v>413165</v>
      </c>
      <c r="E100" s="2468"/>
      <c r="F100" s="2469">
        <v>5215</v>
      </c>
      <c r="G100" s="2469">
        <f>421828-13878</f>
        <v>407950</v>
      </c>
      <c r="H100" s="2469">
        <v>0</v>
      </c>
      <c r="I100" s="2469">
        <v>0</v>
      </c>
      <c r="J100" s="2469">
        <v>0</v>
      </c>
      <c r="K100" s="2469">
        <v>0</v>
      </c>
      <c r="L100" s="2469"/>
      <c r="M100" s="1434">
        <f>SUM(F100:K100)</f>
        <v>413165</v>
      </c>
      <c r="N100" s="3798"/>
    </row>
    <row r="101" spans="1:14" s="201" customFormat="1" ht="15" customHeight="1">
      <c r="A101" s="3810"/>
      <c r="B101" s="1177" t="s">
        <v>17</v>
      </c>
      <c r="C101" s="3383"/>
      <c r="D101" s="1173">
        <f>D102</f>
        <v>4053570</v>
      </c>
      <c r="E101" s="1173">
        <f t="shared" ref="E101:K101" si="78">E102</f>
        <v>0</v>
      </c>
      <c r="F101" s="1173">
        <f t="shared" si="78"/>
        <v>1741848</v>
      </c>
      <c r="G101" s="1173">
        <f t="shared" si="78"/>
        <v>2311722</v>
      </c>
      <c r="H101" s="1173">
        <f t="shared" si="78"/>
        <v>0</v>
      </c>
      <c r="I101" s="1173">
        <f t="shared" si="78"/>
        <v>0</v>
      </c>
      <c r="J101" s="1173">
        <f t="shared" si="78"/>
        <v>0</v>
      </c>
      <c r="K101" s="1173">
        <f t="shared" si="78"/>
        <v>0</v>
      </c>
      <c r="L101" s="1173">
        <f>L102</f>
        <v>0</v>
      </c>
      <c r="M101" s="1422">
        <f>+M102</f>
        <v>2311722</v>
      </c>
      <c r="N101" s="3798"/>
    </row>
    <row r="102" spans="1:14" s="201" customFormat="1" ht="18" customHeight="1">
      <c r="A102" s="3770"/>
      <c r="B102" s="2846" t="s">
        <v>19</v>
      </c>
      <c r="C102" s="3384"/>
      <c r="D102" s="2461">
        <f t="shared" ref="D102" si="79">D103+D104</f>
        <v>4053570</v>
      </c>
      <c r="E102" s="2461">
        <f t="shared" ref="E102" si="80">E103+E104</f>
        <v>0</v>
      </c>
      <c r="F102" s="2461">
        <f>F103+F104</f>
        <v>1741848</v>
      </c>
      <c r="G102" s="2461">
        <f t="shared" ref="G102" si="81">G103+G104</f>
        <v>2311722</v>
      </c>
      <c r="H102" s="2461">
        <f t="shared" ref="H102" si="82">H103+H104</f>
        <v>0</v>
      </c>
      <c r="I102" s="2461">
        <f t="shared" ref="I102" si="83">I103+I104</f>
        <v>0</v>
      </c>
      <c r="J102" s="2461">
        <f t="shared" ref="J102" si="84">J103+J104</f>
        <v>0</v>
      </c>
      <c r="K102" s="2461">
        <f t="shared" ref="K102" si="85">K103+K104</f>
        <v>0</v>
      </c>
      <c r="L102" s="2461">
        <f t="shared" ref="L102" si="86">L103+L104</f>
        <v>0</v>
      </c>
      <c r="M102" s="1434">
        <f>SUM(G102:K102)</f>
        <v>2311722</v>
      </c>
      <c r="N102" s="3799"/>
    </row>
    <row r="103" spans="1:14" s="201" customFormat="1" ht="15" hidden="1" customHeight="1">
      <c r="A103" s="3770"/>
      <c r="B103" s="2462" t="s">
        <v>474</v>
      </c>
      <c r="C103" s="2978"/>
      <c r="D103" s="2463">
        <f>E103+L103+F103+G103+H103+I103+J103+K103</f>
        <v>1712302</v>
      </c>
      <c r="E103" s="2464"/>
      <c r="F103" s="2465">
        <v>1712302</v>
      </c>
      <c r="G103" s="2465">
        <v>0</v>
      </c>
      <c r="H103" s="2465">
        <v>0</v>
      </c>
      <c r="I103" s="2465">
        <v>0</v>
      </c>
      <c r="J103" s="2465">
        <v>0</v>
      </c>
      <c r="K103" s="2465">
        <v>0</v>
      </c>
      <c r="L103" s="2465"/>
      <c r="M103" s="1434">
        <f>SUM(F103:K103)</f>
        <v>1712302</v>
      </c>
      <c r="N103" s="2955"/>
    </row>
    <row r="104" spans="1:14" s="201" customFormat="1" ht="15" hidden="1" customHeight="1">
      <c r="A104" s="3770"/>
      <c r="B104" s="2466" t="s">
        <v>183</v>
      </c>
      <c r="C104" s="2978"/>
      <c r="D104" s="2467">
        <f>E104+L104+F104+G104+H104+I104+J104+K104</f>
        <v>2341268</v>
      </c>
      <c r="E104" s="2468"/>
      <c r="F104" s="2469">
        <v>29546</v>
      </c>
      <c r="G104" s="2469">
        <f>2390362-78640</f>
        <v>2311722</v>
      </c>
      <c r="H104" s="2469">
        <v>0</v>
      </c>
      <c r="I104" s="2469">
        <v>0</v>
      </c>
      <c r="J104" s="2469">
        <v>0</v>
      </c>
      <c r="K104" s="2469">
        <v>0</v>
      </c>
      <c r="L104" s="2469"/>
      <c r="M104" s="1434">
        <f>SUM(F104:K104)</f>
        <v>2341268</v>
      </c>
      <c r="N104" s="2956"/>
    </row>
    <row r="105" spans="1:14" s="201" customFormat="1" ht="15" customHeight="1">
      <c r="A105" s="3777"/>
      <c r="B105" s="1785" t="s">
        <v>20</v>
      </c>
      <c r="C105" s="2118"/>
      <c r="D105" s="1170">
        <f t="shared" ref="D105:K106" si="87">D106</f>
        <v>4053570</v>
      </c>
      <c r="E105" s="1170">
        <f t="shared" ref="E105:E106" si="88">+E106</f>
        <v>0</v>
      </c>
      <c r="F105" s="1170">
        <f t="shared" si="87"/>
        <v>0</v>
      </c>
      <c r="G105" s="1170">
        <f t="shared" si="87"/>
        <v>4053570</v>
      </c>
      <c r="H105" s="1170">
        <f t="shared" si="87"/>
        <v>0</v>
      </c>
      <c r="I105" s="1170">
        <f t="shared" si="87"/>
        <v>0</v>
      </c>
      <c r="J105" s="1170">
        <f t="shared" si="87"/>
        <v>0</v>
      </c>
      <c r="K105" s="1170">
        <f t="shared" si="87"/>
        <v>0</v>
      </c>
      <c r="L105" s="1170">
        <f>L106</f>
        <v>0</v>
      </c>
      <c r="M105" s="3793" t="s">
        <v>52</v>
      </c>
      <c r="N105" s="3415" t="s">
        <v>183</v>
      </c>
    </row>
    <row r="106" spans="1:14" s="201" customFormat="1" ht="15" customHeight="1">
      <c r="A106" s="3777"/>
      <c r="B106" s="1806" t="s">
        <v>17</v>
      </c>
      <c r="C106" s="3787" t="s">
        <v>180</v>
      </c>
      <c r="D106" s="1179">
        <f t="shared" si="87"/>
        <v>4053570</v>
      </c>
      <c r="E106" s="1179">
        <f t="shared" si="88"/>
        <v>0</v>
      </c>
      <c r="F106" s="1179">
        <f t="shared" si="87"/>
        <v>0</v>
      </c>
      <c r="G106" s="1179">
        <f t="shared" si="87"/>
        <v>4053570</v>
      </c>
      <c r="H106" s="1179">
        <f t="shared" si="87"/>
        <v>0</v>
      </c>
      <c r="I106" s="1179">
        <f t="shared" si="87"/>
        <v>0</v>
      </c>
      <c r="J106" s="1179">
        <f t="shared" si="87"/>
        <v>0</v>
      </c>
      <c r="K106" s="1179">
        <f t="shared" si="87"/>
        <v>0</v>
      </c>
      <c r="L106" s="1179">
        <f>L107</f>
        <v>0</v>
      </c>
      <c r="M106" s="3823"/>
      <c r="N106" s="3415"/>
    </row>
    <row r="107" spans="1:14" s="201" customFormat="1" ht="15" customHeight="1" thickBot="1">
      <c r="A107" s="3790"/>
      <c r="B107" s="2885" t="s">
        <v>19</v>
      </c>
      <c r="C107" s="3580"/>
      <c r="D107" s="1405">
        <f>E107+L107+F107+G107+H107+I107+J107+K107</f>
        <v>4053570</v>
      </c>
      <c r="E107" s="1679">
        <v>0</v>
      </c>
      <c r="F107" s="1423">
        <v>0</v>
      </c>
      <c r="G107" s="1423">
        <f>4132210-78640</f>
        <v>4053570</v>
      </c>
      <c r="H107" s="1423">
        <v>0</v>
      </c>
      <c r="I107" s="1423">
        <v>0</v>
      </c>
      <c r="J107" s="1423">
        <v>0</v>
      </c>
      <c r="K107" s="1423">
        <v>0</v>
      </c>
      <c r="L107" s="1423">
        <f>6462083-2818040-3644043</f>
        <v>0</v>
      </c>
      <c r="M107" s="3824"/>
      <c r="N107" s="3416"/>
    </row>
    <row r="108" spans="1:14" s="201" customFormat="1" ht="31.5" customHeight="1">
      <c r="A108" s="3777" t="s">
        <v>79</v>
      </c>
      <c r="B108" s="1688" t="s">
        <v>509</v>
      </c>
      <c r="C108" s="2470" t="s">
        <v>99</v>
      </c>
      <c r="D108" s="3054"/>
      <c r="E108" s="3055"/>
      <c r="F108" s="3056"/>
      <c r="G108" s="3056"/>
      <c r="H108" s="3057"/>
      <c r="I108" s="3057"/>
      <c r="J108" s="3057"/>
      <c r="K108" s="3058"/>
      <c r="L108" s="3056"/>
      <c r="M108" s="3059"/>
      <c r="N108" s="3415" t="s">
        <v>245</v>
      </c>
    </row>
    <row r="109" spans="1:14" s="201" customFormat="1" ht="15" customHeight="1">
      <c r="A109" s="3777"/>
      <c r="B109" s="1168" t="s">
        <v>9</v>
      </c>
      <c r="C109" s="2471"/>
      <c r="D109" s="1170">
        <f>+D110+D112</f>
        <v>197671</v>
      </c>
      <c r="E109" s="1170">
        <f t="shared" ref="E109" si="89">+E110+E112</f>
        <v>0</v>
      </c>
      <c r="F109" s="1170">
        <f>+F110+F112</f>
        <v>77408</v>
      </c>
      <c r="G109" s="1170">
        <f>+G110+G112</f>
        <v>120263</v>
      </c>
      <c r="H109" s="1170"/>
      <c r="I109" s="1170"/>
      <c r="J109" s="1170"/>
      <c r="K109" s="1170"/>
      <c r="L109" s="1417">
        <f>+L110+L112</f>
        <v>0</v>
      </c>
      <c r="M109" s="1171">
        <f>M110+M112</f>
        <v>120263</v>
      </c>
      <c r="N109" s="3415"/>
    </row>
    <row r="110" spans="1:14" s="201" customFormat="1" ht="15" customHeight="1">
      <c r="A110" s="3777"/>
      <c r="B110" s="1172" t="s">
        <v>22</v>
      </c>
      <c r="C110" s="3448" t="s">
        <v>138</v>
      </c>
      <c r="D110" s="1173">
        <f>D111</f>
        <v>29651</v>
      </c>
      <c r="E110" s="1475">
        <f t="shared" ref="E110:G110" si="90">E111</f>
        <v>0</v>
      </c>
      <c r="F110" s="2301">
        <f t="shared" si="90"/>
        <v>11611</v>
      </c>
      <c r="G110" s="2301">
        <f t="shared" si="90"/>
        <v>18040</v>
      </c>
      <c r="H110" s="1178"/>
      <c r="I110" s="1178"/>
      <c r="J110" s="1178"/>
      <c r="K110" s="1178"/>
      <c r="L110" s="2472">
        <f>L111</f>
        <v>0</v>
      </c>
      <c r="M110" s="1174">
        <f>M111</f>
        <v>18040</v>
      </c>
      <c r="N110" s="3415"/>
    </row>
    <row r="111" spans="1:14" s="201" customFormat="1" ht="15" customHeight="1">
      <c r="A111" s="3777"/>
      <c r="B111" s="1175" t="s">
        <v>11</v>
      </c>
      <c r="C111" s="3383"/>
      <c r="D111" s="1113">
        <f>E111+L111+F111+G111+H111+I111+J111+K111</f>
        <v>29651</v>
      </c>
      <c r="E111" s="1113">
        <v>0</v>
      </c>
      <c r="F111" s="1176">
        <v>11611</v>
      </c>
      <c r="G111" s="1176">
        <v>18040</v>
      </c>
      <c r="H111" s="1176"/>
      <c r="I111" s="1176"/>
      <c r="J111" s="1176"/>
      <c r="K111" s="1176"/>
      <c r="L111" s="1476">
        <f>225000-225000</f>
        <v>0</v>
      </c>
      <c r="M111" s="1434">
        <f>SUM(G111:K111)</f>
        <v>18040</v>
      </c>
      <c r="N111" s="3415"/>
    </row>
    <row r="112" spans="1:14" s="201" customFormat="1" ht="15" customHeight="1">
      <c r="A112" s="3777"/>
      <c r="B112" s="1177" t="s">
        <v>17</v>
      </c>
      <c r="C112" s="3383"/>
      <c r="D112" s="1173">
        <f>+D113</f>
        <v>168020</v>
      </c>
      <c r="E112" s="1475">
        <f t="shared" ref="E112" si="91">+E113</f>
        <v>0</v>
      </c>
      <c r="F112" s="2301">
        <f>F113</f>
        <v>65797</v>
      </c>
      <c r="G112" s="2301">
        <f>G113</f>
        <v>102223</v>
      </c>
      <c r="H112" s="1178"/>
      <c r="I112" s="1178"/>
      <c r="J112" s="1178"/>
      <c r="K112" s="1178"/>
      <c r="L112" s="2472">
        <f>L113</f>
        <v>0</v>
      </c>
      <c r="M112" s="1687">
        <f>+M113</f>
        <v>102223</v>
      </c>
      <c r="N112" s="3415"/>
    </row>
    <row r="113" spans="1:14" s="201" customFormat="1" ht="15" customHeight="1">
      <c r="A113" s="3777"/>
      <c r="B113" s="2846" t="s">
        <v>19</v>
      </c>
      <c r="C113" s="3384"/>
      <c r="D113" s="1113">
        <f>E113+L113+F113+G113+H113+I113+J113+K113</f>
        <v>168020</v>
      </c>
      <c r="E113" s="1113">
        <v>0</v>
      </c>
      <c r="F113" s="1176">
        <v>65797</v>
      </c>
      <c r="G113" s="1176">
        <v>102223</v>
      </c>
      <c r="H113" s="1176"/>
      <c r="I113" s="1176"/>
      <c r="J113" s="1176"/>
      <c r="K113" s="1176"/>
      <c r="L113" s="1476">
        <f>1275000-1275000</f>
        <v>0</v>
      </c>
      <c r="M113" s="1434">
        <f>SUM(G113:K113)</f>
        <v>102223</v>
      </c>
      <c r="N113" s="3444"/>
    </row>
    <row r="114" spans="1:14" s="201" customFormat="1" ht="15" customHeight="1">
      <c r="A114" s="3777"/>
      <c r="B114" s="1785" t="s">
        <v>20</v>
      </c>
      <c r="C114" s="2118"/>
      <c r="D114" s="1170">
        <f>+D115</f>
        <v>168020</v>
      </c>
      <c r="E114" s="1170">
        <f t="shared" ref="E114:E115" si="92">+E115</f>
        <v>0</v>
      </c>
      <c r="F114" s="1170">
        <f t="shared" ref="F114:G115" si="93">F115</f>
        <v>0</v>
      </c>
      <c r="G114" s="1170">
        <f t="shared" si="93"/>
        <v>168020</v>
      </c>
      <c r="H114" s="1170"/>
      <c r="I114" s="1170"/>
      <c r="J114" s="1170"/>
      <c r="K114" s="1170"/>
      <c r="L114" s="1417">
        <f>L115</f>
        <v>0</v>
      </c>
      <c r="M114" s="3805"/>
      <c r="N114" s="3415" t="s">
        <v>183</v>
      </c>
    </row>
    <row r="115" spans="1:14" s="201" customFormat="1" ht="15" customHeight="1">
      <c r="A115" s="3777"/>
      <c r="B115" s="1806" t="s">
        <v>17</v>
      </c>
      <c r="C115" s="3465" t="s">
        <v>180</v>
      </c>
      <c r="D115" s="1173">
        <f>+D116</f>
        <v>168020</v>
      </c>
      <c r="E115" s="1179">
        <f t="shared" si="92"/>
        <v>0</v>
      </c>
      <c r="F115" s="1179">
        <f t="shared" si="93"/>
        <v>0</v>
      </c>
      <c r="G115" s="1179">
        <f t="shared" si="93"/>
        <v>168020</v>
      </c>
      <c r="H115" s="1179"/>
      <c r="I115" s="1179"/>
      <c r="J115" s="1179"/>
      <c r="K115" s="1179"/>
      <c r="L115" s="1219">
        <f>L116</f>
        <v>0</v>
      </c>
      <c r="M115" s="3806"/>
      <c r="N115" s="3415"/>
    </row>
    <row r="116" spans="1:14" s="201" customFormat="1" ht="15" customHeight="1" thickBot="1">
      <c r="A116" s="3790"/>
      <c r="B116" s="2884" t="s">
        <v>19</v>
      </c>
      <c r="C116" s="3439"/>
      <c r="D116" s="1405">
        <f>E116+L116+F116+G116+H116+I116+J116+K116</f>
        <v>168020</v>
      </c>
      <c r="E116" s="1679">
        <v>0</v>
      </c>
      <c r="F116" s="1423">
        <f>1800000-1800000</f>
        <v>0</v>
      </c>
      <c r="G116" s="1423">
        <v>168020</v>
      </c>
      <c r="H116" s="1423"/>
      <c r="I116" s="1423"/>
      <c r="J116" s="1423"/>
      <c r="K116" s="1423"/>
      <c r="L116" s="1424">
        <v>0</v>
      </c>
      <c r="M116" s="3807"/>
      <c r="N116" s="3416"/>
    </row>
    <row r="117" spans="1:14" s="201" customFormat="1" ht="36.75" thickBot="1">
      <c r="A117" s="3790" t="s">
        <v>80</v>
      </c>
      <c r="B117" s="1688" t="s">
        <v>561</v>
      </c>
      <c r="C117" s="3025" t="s">
        <v>160</v>
      </c>
      <c r="D117" s="584"/>
      <c r="E117" s="3026"/>
      <c r="F117" s="3027"/>
      <c r="G117" s="3027"/>
      <c r="H117" s="3028"/>
      <c r="I117" s="3028"/>
      <c r="J117" s="3028"/>
      <c r="K117" s="3029"/>
      <c r="L117" s="3027"/>
      <c r="M117" s="3030"/>
      <c r="N117" s="3764" t="s">
        <v>558</v>
      </c>
    </row>
    <row r="118" spans="1:14" s="201" customFormat="1" ht="15" customHeight="1" thickBot="1">
      <c r="A118" s="3768"/>
      <c r="B118" s="1168" t="s">
        <v>9</v>
      </c>
      <c r="C118" s="2118"/>
      <c r="D118" s="1170">
        <f>D119+D121</f>
        <v>119600</v>
      </c>
      <c r="E118" s="1170">
        <f t="shared" ref="E118" si="94">E119+E121</f>
        <v>0</v>
      </c>
      <c r="F118" s="1170">
        <f>F119+F123</f>
        <v>57309</v>
      </c>
      <c r="G118" s="1170">
        <f>G119+G123</f>
        <v>62291</v>
      </c>
      <c r="H118" s="1170">
        <f t="shared" ref="H118:K118" si="95">+H121</f>
        <v>0</v>
      </c>
      <c r="I118" s="1170">
        <f t="shared" si="95"/>
        <v>0</v>
      </c>
      <c r="J118" s="1170">
        <f t="shared" si="95"/>
        <v>0</v>
      </c>
      <c r="K118" s="1170">
        <f t="shared" si="95"/>
        <v>0</v>
      </c>
      <c r="L118" s="1417">
        <f>+L121</f>
        <v>0</v>
      </c>
      <c r="M118" s="2156">
        <f>+M121+M119</f>
        <v>62291</v>
      </c>
      <c r="N118" s="3826"/>
    </row>
    <row r="119" spans="1:14" s="201" customFormat="1" ht="15" customHeight="1">
      <c r="A119" s="3791"/>
      <c r="B119" s="1226" t="s">
        <v>22</v>
      </c>
      <c r="C119" s="3448" t="s">
        <v>177</v>
      </c>
      <c r="D119" s="1173">
        <f>D120</f>
        <v>17940</v>
      </c>
      <c r="E119" s="1475">
        <f t="shared" ref="E119" si="96">E120</f>
        <v>0</v>
      </c>
      <c r="F119" s="1178">
        <f>F120</f>
        <v>8596</v>
      </c>
      <c r="G119" s="1178">
        <f>G120</f>
        <v>9344</v>
      </c>
      <c r="H119" s="1178">
        <v>0</v>
      </c>
      <c r="I119" s="1178">
        <v>0</v>
      </c>
      <c r="J119" s="1178">
        <v>0</v>
      </c>
      <c r="K119" s="1178">
        <v>0</v>
      </c>
      <c r="L119" s="1479">
        <f>L120</f>
        <v>0</v>
      </c>
      <c r="M119" s="56">
        <f>M120</f>
        <v>9344</v>
      </c>
      <c r="N119" s="3569"/>
    </row>
    <row r="120" spans="1:14" s="201" customFormat="1" ht="15" customHeight="1" thickBot="1">
      <c r="A120" s="3771"/>
      <c r="B120" s="3031" t="s">
        <v>11</v>
      </c>
      <c r="C120" s="3383"/>
      <c r="D120" s="1113">
        <f>E120+L120+F120+G120+H120+I120+J120+K120</f>
        <v>17940</v>
      </c>
      <c r="E120" s="1113">
        <v>0</v>
      </c>
      <c r="F120" s="1176">
        <f>17940-9344</f>
        <v>8596</v>
      </c>
      <c r="G120" s="1176">
        <f>9344</f>
        <v>9344</v>
      </c>
      <c r="H120" s="1176">
        <v>0</v>
      </c>
      <c r="I120" s="1176">
        <v>0</v>
      </c>
      <c r="J120" s="1176">
        <v>0</v>
      </c>
      <c r="K120" s="1176">
        <v>0</v>
      </c>
      <c r="L120" s="1476">
        <v>0</v>
      </c>
      <c r="M120" s="1434">
        <f>SUM(G120:K120)</f>
        <v>9344</v>
      </c>
      <c r="N120" s="3571"/>
    </row>
    <row r="121" spans="1:14" s="201" customFormat="1" ht="15" customHeight="1" thickBot="1">
      <c r="A121" s="3768"/>
      <c r="B121" s="1806" t="s">
        <v>17</v>
      </c>
      <c r="C121" s="3449"/>
      <c r="D121" s="1173">
        <f>D122</f>
        <v>101660</v>
      </c>
      <c r="E121" s="1412">
        <f t="shared" ref="E121:M121" si="97">+E122</f>
        <v>0</v>
      </c>
      <c r="F121" s="1184">
        <f>F122</f>
        <v>48713</v>
      </c>
      <c r="G121" s="1184">
        <f>G122</f>
        <v>52947</v>
      </c>
      <c r="H121" s="1184">
        <v>0</v>
      </c>
      <c r="I121" s="1184">
        <v>0</v>
      </c>
      <c r="J121" s="1184">
        <v>0</v>
      </c>
      <c r="K121" s="1184">
        <v>0</v>
      </c>
      <c r="L121" s="1414">
        <v>0</v>
      </c>
      <c r="M121" s="2157">
        <f t="shared" si="97"/>
        <v>52947</v>
      </c>
      <c r="N121" s="3776"/>
    </row>
    <row r="122" spans="1:14" s="201" customFormat="1" ht="15" customHeight="1" thickBot="1">
      <c r="A122" s="3768"/>
      <c r="B122" s="2883" t="s">
        <v>19</v>
      </c>
      <c r="C122" s="3792"/>
      <c r="D122" s="760">
        <f>E122+L122+F122+G122+H122+I122+J122+K122</f>
        <v>101660</v>
      </c>
      <c r="E122" s="760">
        <v>0</v>
      </c>
      <c r="F122" s="748">
        <f>101660-52947</f>
        <v>48713</v>
      </c>
      <c r="G122" s="748">
        <f>52947</f>
        <v>52947</v>
      </c>
      <c r="H122" s="748">
        <v>0</v>
      </c>
      <c r="I122" s="748">
        <v>0</v>
      </c>
      <c r="J122" s="748">
        <v>0</v>
      </c>
      <c r="K122" s="748">
        <v>0</v>
      </c>
      <c r="L122" s="3032">
        <v>0</v>
      </c>
      <c r="M122" s="1434">
        <f>SUM(G122:K122)</f>
        <v>52947</v>
      </c>
      <c r="N122" s="3764"/>
    </row>
    <row r="123" spans="1:14" s="201" customFormat="1" ht="15" customHeight="1">
      <c r="A123" s="3770"/>
      <c r="B123" s="3033" t="s">
        <v>20</v>
      </c>
      <c r="C123" s="3034"/>
      <c r="D123" s="3035">
        <f t="shared" ref="D123:K124" si="98">D124</f>
        <v>101660</v>
      </c>
      <c r="E123" s="3036">
        <f t="shared" ref="E123:E124" si="99">+E124</f>
        <v>0</v>
      </c>
      <c r="F123" s="1021">
        <f t="shared" si="98"/>
        <v>48713</v>
      </c>
      <c r="G123" s="1021">
        <f t="shared" si="98"/>
        <v>52947</v>
      </c>
      <c r="H123" s="3036">
        <f t="shared" si="98"/>
        <v>0</v>
      </c>
      <c r="I123" s="1021">
        <f t="shared" si="98"/>
        <v>0</v>
      </c>
      <c r="J123" s="1021">
        <f t="shared" si="98"/>
        <v>0</v>
      </c>
      <c r="K123" s="1021">
        <f t="shared" si="98"/>
        <v>0</v>
      </c>
      <c r="L123" s="1678">
        <v>0</v>
      </c>
      <c r="M123" s="3793" t="s">
        <v>52</v>
      </c>
      <c r="N123" s="3766" t="s">
        <v>183</v>
      </c>
    </row>
    <row r="124" spans="1:14" s="201" customFormat="1" ht="15" customHeight="1">
      <c r="A124" s="3770"/>
      <c r="B124" s="2210" t="s">
        <v>17</v>
      </c>
      <c r="C124" s="3795" t="s">
        <v>180</v>
      </c>
      <c r="D124" s="3037">
        <f t="shared" si="98"/>
        <v>101660</v>
      </c>
      <c r="E124" s="1480">
        <f t="shared" si="99"/>
        <v>0</v>
      </c>
      <c r="F124" s="1480">
        <f t="shared" si="98"/>
        <v>48713</v>
      </c>
      <c r="G124" s="1480">
        <f t="shared" si="98"/>
        <v>52947</v>
      </c>
      <c r="H124" s="1480">
        <f t="shared" si="98"/>
        <v>0</v>
      </c>
      <c r="I124" s="1480">
        <f t="shared" si="98"/>
        <v>0</v>
      </c>
      <c r="J124" s="1480">
        <f t="shared" si="98"/>
        <v>0</v>
      </c>
      <c r="K124" s="1480">
        <f t="shared" si="98"/>
        <v>0</v>
      </c>
      <c r="L124" s="2211">
        <f>L125</f>
        <v>0</v>
      </c>
      <c r="M124" s="3672"/>
      <c r="N124" s="3570"/>
    </row>
    <row r="125" spans="1:14" s="201" customFormat="1" ht="15" customHeight="1" thickBot="1">
      <c r="A125" s="3770"/>
      <c r="B125" s="2885" t="s">
        <v>19</v>
      </c>
      <c r="C125" s="3796"/>
      <c r="D125" s="3038">
        <f>E125+L125+F125+G125+H125+I125+J125+K125</f>
        <v>101660</v>
      </c>
      <c r="E125" s="1405">
        <v>0</v>
      </c>
      <c r="F125" s="1423">
        <f>101660-52947</f>
        <v>48713</v>
      </c>
      <c r="G125" s="1423">
        <f>52947</f>
        <v>52947</v>
      </c>
      <c r="H125" s="1423">
        <v>0</v>
      </c>
      <c r="I125" s="1423">
        <v>0</v>
      </c>
      <c r="J125" s="1423">
        <v>0</v>
      </c>
      <c r="K125" s="1423">
        <v>0</v>
      </c>
      <c r="L125" s="1424">
        <v>0</v>
      </c>
      <c r="M125" s="3794"/>
      <c r="N125" s="3571"/>
    </row>
    <row r="126" spans="1:14" s="201" customFormat="1" ht="39.75" customHeight="1">
      <c r="A126" s="3777" t="s">
        <v>81</v>
      </c>
      <c r="B126" s="158" t="s">
        <v>562</v>
      </c>
      <c r="C126" s="3039" t="s">
        <v>72</v>
      </c>
      <c r="D126" s="571"/>
      <c r="E126" s="2244"/>
      <c r="F126" s="2238"/>
      <c r="G126" s="2238"/>
      <c r="H126" s="1690"/>
      <c r="I126" s="1690"/>
      <c r="J126" s="1690"/>
      <c r="K126" s="1690"/>
      <c r="L126" s="2238"/>
      <c r="M126" s="3040"/>
      <c r="N126" s="3570" t="s">
        <v>558</v>
      </c>
    </row>
    <row r="127" spans="1:14" s="201" customFormat="1" ht="15" customHeight="1" thickBot="1">
      <c r="A127" s="3771"/>
      <c r="B127" s="68" t="s">
        <v>9</v>
      </c>
      <c r="C127" s="162"/>
      <c r="D127" s="82">
        <f t="shared" ref="D127" si="100">D128+D131</f>
        <v>11493367</v>
      </c>
      <c r="E127" s="82">
        <f t="shared" ref="E127" si="101">E128+E131</f>
        <v>364624</v>
      </c>
      <c r="F127" s="82">
        <f>F128+F131</f>
        <v>6854831</v>
      </c>
      <c r="G127" s="82">
        <f>G128+G131</f>
        <v>4273912</v>
      </c>
      <c r="H127" s="82">
        <f>+H131</f>
        <v>0</v>
      </c>
      <c r="I127" s="82">
        <f>+I131</f>
        <v>0</v>
      </c>
      <c r="J127" s="82">
        <f>+J131</f>
        <v>0</v>
      </c>
      <c r="K127" s="82">
        <f>+K131</f>
        <v>0</v>
      </c>
      <c r="L127" s="82">
        <f>L128+L131</f>
        <v>0</v>
      </c>
      <c r="M127" s="3041">
        <f>M128+M131</f>
        <v>4273912</v>
      </c>
      <c r="N127" s="3571"/>
    </row>
    <row r="128" spans="1:14" s="201" customFormat="1" ht="15" customHeight="1" thickBot="1">
      <c r="A128" s="3768"/>
      <c r="B128" s="1806" t="s">
        <v>22</v>
      </c>
      <c r="C128" s="3825" t="s">
        <v>177</v>
      </c>
      <c r="D128" s="1173">
        <f>D129+D130</f>
        <v>1724005</v>
      </c>
      <c r="E128" s="1173">
        <f t="shared" ref="E128" si="102">E129+E130</f>
        <v>54694</v>
      </c>
      <c r="F128" s="1173">
        <f t="shared" ref="F128:K128" si="103">F129+F130</f>
        <v>1248909</v>
      </c>
      <c r="G128" s="1173">
        <f t="shared" si="103"/>
        <v>420402</v>
      </c>
      <c r="H128" s="1173">
        <f t="shared" si="103"/>
        <v>0</v>
      </c>
      <c r="I128" s="1173">
        <f t="shared" si="103"/>
        <v>0</v>
      </c>
      <c r="J128" s="1173">
        <f t="shared" si="103"/>
        <v>0</v>
      </c>
      <c r="K128" s="1173">
        <f t="shared" si="103"/>
        <v>0</v>
      </c>
      <c r="L128" s="1173">
        <f>L129+L130</f>
        <v>0</v>
      </c>
      <c r="M128" s="2155">
        <f>M129+M130</f>
        <v>420402</v>
      </c>
      <c r="N128" s="3774"/>
    </row>
    <row r="129" spans="1:15" s="201" customFormat="1" ht="15" customHeight="1" thickBot="1">
      <c r="A129" s="3768"/>
      <c r="B129" s="2295" t="s">
        <v>11</v>
      </c>
      <c r="C129" s="3772"/>
      <c r="D129" s="1113">
        <f>E129+L129+F129+G129+H129+I129+J129+K129</f>
        <v>1404005</v>
      </c>
      <c r="E129" s="1113">
        <f>250844-213217+17067</f>
        <v>54694</v>
      </c>
      <c r="F129" s="1176">
        <f>728299+623079-422469</f>
        <v>928909</v>
      </c>
      <c r="G129" s="1176">
        <f>420402</f>
        <v>420402</v>
      </c>
      <c r="H129" s="1176">
        <v>0</v>
      </c>
      <c r="I129" s="1176">
        <v>0</v>
      </c>
      <c r="J129" s="1176">
        <v>0</v>
      </c>
      <c r="K129" s="1176">
        <v>0</v>
      </c>
      <c r="L129" s="1176"/>
      <c r="M129" s="1434">
        <f>SUM(G129:K129)</f>
        <v>420402</v>
      </c>
      <c r="N129" s="3774"/>
      <c r="O129" s="1027"/>
    </row>
    <row r="130" spans="1:15" s="201" customFormat="1" ht="15" customHeight="1" thickBot="1">
      <c r="A130" s="3768"/>
      <c r="B130" s="2295" t="s">
        <v>53</v>
      </c>
      <c r="C130" s="3772"/>
      <c r="D130" s="1113">
        <f>E130+L130+F130+G130+H130+I130+J130+K130</f>
        <v>320000</v>
      </c>
      <c r="E130" s="1113">
        <v>0</v>
      </c>
      <c r="F130" s="1176">
        <f>900000-580000</f>
        <v>320000</v>
      </c>
      <c r="G130" s="1176">
        <v>0</v>
      </c>
      <c r="H130" s="1176">
        <v>0</v>
      </c>
      <c r="I130" s="1176">
        <v>0</v>
      </c>
      <c r="J130" s="1176">
        <v>0</v>
      </c>
      <c r="K130" s="1176">
        <v>0</v>
      </c>
      <c r="L130" s="1176">
        <f>100000-100000</f>
        <v>0</v>
      </c>
      <c r="M130" s="1434">
        <f>SUM(G130:K130)</f>
        <v>0</v>
      </c>
      <c r="N130" s="3774"/>
      <c r="O130" s="1027"/>
    </row>
    <row r="131" spans="1:15" s="201" customFormat="1" ht="15" customHeight="1" thickBot="1">
      <c r="A131" s="3768"/>
      <c r="B131" s="1806" t="s">
        <v>17</v>
      </c>
      <c r="C131" s="3772"/>
      <c r="D131" s="1173">
        <f>D132</f>
        <v>9769362</v>
      </c>
      <c r="E131" s="1475">
        <f t="shared" ref="E131:M131" si="104">+E132</f>
        <v>309930</v>
      </c>
      <c r="F131" s="1178">
        <f>F132</f>
        <v>5605922</v>
      </c>
      <c r="G131" s="1178">
        <f>G132</f>
        <v>3853510</v>
      </c>
      <c r="H131" s="1178">
        <v>0</v>
      </c>
      <c r="I131" s="1178">
        <v>0</v>
      </c>
      <c r="J131" s="1178">
        <v>0</v>
      </c>
      <c r="K131" s="1178">
        <v>0</v>
      </c>
      <c r="L131" s="1178">
        <f>L132</f>
        <v>0</v>
      </c>
      <c r="M131" s="2155">
        <f t="shared" si="104"/>
        <v>3853510</v>
      </c>
      <c r="N131" s="3774"/>
    </row>
    <row r="132" spans="1:15" s="201" customFormat="1" ht="15" customHeight="1" thickBot="1">
      <c r="A132" s="3768"/>
      <c r="B132" s="2859" t="s">
        <v>19</v>
      </c>
      <c r="C132" s="3773"/>
      <c r="D132" s="1113">
        <f>E132+L132+F132+G132+H132+I132+J132+K132</f>
        <v>9769362</v>
      </c>
      <c r="E132" s="1113">
        <f>213217+96713</f>
        <v>309930</v>
      </c>
      <c r="F132" s="1176">
        <f>11862203-2391058-3865223</f>
        <v>5605922</v>
      </c>
      <c r="G132" s="1176">
        <f>3853510</f>
        <v>3853510</v>
      </c>
      <c r="H132" s="1176">
        <v>0</v>
      </c>
      <c r="I132" s="1176">
        <v>0</v>
      </c>
      <c r="J132" s="1176">
        <v>0</v>
      </c>
      <c r="K132" s="1176">
        <v>0</v>
      </c>
      <c r="L132" s="1176"/>
      <c r="M132" s="1434">
        <f>SUM(G132:K132)</f>
        <v>3853510</v>
      </c>
      <c r="N132" s="3776"/>
    </row>
    <row r="133" spans="1:15" s="201" customFormat="1" ht="15" customHeight="1" thickBot="1">
      <c r="A133" s="3768"/>
      <c r="B133" s="1785" t="s">
        <v>20</v>
      </c>
      <c r="C133" s="3042"/>
      <c r="D133" s="1170">
        <f>D136+D134</f>
        <v>10089362</v>
      </c>
      <c r="E133" s="1170">
        <f>E136+E134</f>
        <v>0</v>
      </c>
      <c r="F133" s="1170">
        <f>F136+F134</f>
        <v>7262781</v>
      </c>
      <c r="G133" s="1170">
        <f>G136+G134</f>
        <v>2826581</v>
      </c>
      <c r="H133" s="1170">
        <f>H136</f>
        <v>0</v>
      </c>
      <c r="I133" s="1170">
        <f>I136</f>
        <v>0</v>
      </c>
      <c r="J133" s="1170">
        <f>J136</f>
        <v>0</v>
      </c>
      <c r="K133" s="1170">
        <f>K136</f>
        <v>0</v>
      </c>
      <c r="L133" s="1170">
        <f>L136+L134</f>
        <v>0</v>
      </c>
      <c r="M133" s="3793" t="s">
        <v>52</v>
      </c>
      <c r="N133" s="3571" t="s">
        <v>183</v>
      </c>
    </row>
    <row r="134" spans="1:15" s="201" customFormat="1" ht="15" customHeight="1" thickBot="1">
      <c r="A134" s="3768"/>
      <c r="B134" s="1806" t="s">
        <v>10</v>
      </c>
      <c r="C134" s="3827" t="s">
        <v>177</v>
      </c>
      <c r="D134" s="3043">
        <f>SUM(E134:K134)</f>
        <v>320000</v>
      </c>
      <c r="E134" s="3043">
        <f>E135</f>
        <v>0</v>
      </c>
      <c r="F134" s="3043">
        <f>F135</f>
        <v>320000</v>
      </c>
      <c r="G134" s="3043">
        <f>G135</f>
        <v>0</v>
      </c>
      <c r="H134" s="3043">
        <f t="shared" ref="H134:K134" si="105">H135</f>
        <v>0</v>
      </c>
      <c r="I134" s="3043">
        <f t="shared" si="105"/>
        <v>0</v>
      </c>
      <c r="J134" s="3043">
        <f t="shared" si="105"/>
        <v>0</v>
      </c>
      <c r="K134" s="3043">
        <f t="shared" si="105"/>
        <v>0</v>
      </c>
      <c r="L134" s="3043">
        <f>L135</f>
        <v>0</v>
      </c>
      <c r="M134" s="3823"/>
      <c r="N134" s="3774"/>
    </row>
    <row r="135" spans="1:15" s="201" customFormat="1" ht="15" customHeight="1">
      <c r="A135" s="3791"/>
      <c r="B135" s="3044" t="s">
        <v>53</v>
      </c>
      <c r="C135" s="3828"/>
      <c r="D135" s="1113">
        <f>E135+L135+F135+G135+H135+I135+J135+K135</f>
        <v>320000</v>
      </c>
      <c r="E135" s="1113">
        <v>0</v>
      </c>
      <c r="F135" s="3045">
        <f>900000-580000</f>
        <v>320000</v>
      </c>
      <c r="G135" s="3043">
        <v>0</v>
      </c>
      <c r="H135" s="3043">
        <v>0</v>
      </c>
      <c r="I135" s="3043">
        <v>0</v>
      </c>
      <c r="J135" s="3043">
        <v>0</v>
      </c>
      <c r="K135" s="3043">
        <v>0</v>
      </c>
      <c r="L135" s="3045">
        <f>100000-100000</f>
        <v>0</v>
      </c>
      <c r="M135" s="3823"/>
      <c r="N135" s="3569"/>
    </row>
    <row r="136" spans="1:15" s="201" customFormat="1" ht="15" customHeight="1">
      <c r="A136" s="3770"/>
      <c r="B136" s="1806" t="s">
        <v>17</v>
      </c>
      <c r="C136" s="3829" t="s">
        <v>180</v>
      </c>
      <c r="D136" s="1179">
        <f t="shared" ref="D136:K136" si="106">D137</f>
        <v>9769362</v>
      </c>
      <c r="E136" s="1179">
        <f t="shared" ref="E136" si="107">+E137</f>
        <v>0</v>
      </c>
      <c r="F136" s="1179">
        <f t="shared" si="106"/>
        <v>6942781</v>
      </c>
      <c r="G136" s="1179">
        <f t="shared" si="106"/>
        <v>2826581</v>
      </c>
      <c r="H136" s="1179">
        <f t="shared" si="106"/>
        <v>0</v>
      </c>
      <c r="I136" s="1179">
        <f t="shared" si="106"/>
        <v>0</v>
      </c>
      <c r="J136" s="1179">
        <f t="shared" si="106"/>
        <v>0</v>
      </c>
      <c r="K136" s="1179">
        <f t="shared" si="106"/>
        <v>0</v>
      </c>
      <c r="L136" s="1179">
        <f>L137</f>
        <v>0</v>
      </c>
      <c r="M136" s="3823"/>
      <c r="N136" s="3570"/>
    </row>
    <row r="137" spans="1:15" s="201" customFormat="1" ht="15" customHeight="1" thickBot="1">
      <c r="A137" s="3771"/>
      <c r="B137" s="2885" t="s">
        <v>19</v>
      </c>
      <c r="C137" s="3830"/>
      <c r="D137" s="1679">
        <f>E137+L137+F137+G137+H137+I137+J137+K137</f>
        <v>9769362</v>
      </c>
      <c r="E137" s="1679">
        <v>0</v>
      </c>
      <c r="F137" s="1423">
        <f>8889087+212812+2760304-2081128-2838294</f>
        <v>6942781</v>
      </c>
      <c r="G137" s="1423">
        <v>2826581</v>
      </c>
      <c r="H137" s="1423">
        <v>0</v>
      </c>
      <c r="I137" s="1423">
        <v>0</v>
      </c>
      <c r="J137" s="1423">
        <v>0</v>
      </c>
      <c r="K137" s="1423">
        <v>0</v>
      </c>
      <c r="L137" s="1423">
        <f>2437304+323000-2760304</f>
        <v>0</v>
      </c>
      <c r="M137" s="3824"/>
      <c r="N137" s="3571"/>
    </row>
    <row r="138" spans="1:15" s="201" customFormat="1" ht="40.5" customHeight="1">
      <c r="A138" s="3777" t="s">
        <v>82</v>
      </c>
      <c r="B138" s="1688" t="s">
        <v>462</v>
      </c>
      <c r="C138" s="220" t="s">
        <v>160</v>
      </c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3570" t="s">
        <v>307</v>
      </c>
    </row>
    <row r="139" spans="1:15" s="201" customFormat="1" ht="15" customHeight="1">
      <c r="A139" s="3770"/>
      <c r="B139" s="1168" t="s">
        <v>9</v>
      </c>
      <c r="C139" s="2118"/>
      <c r="D139" s="1170">
        <f>D140+D144</f>
        <v>318209</v>
      </c>
      <c r="E139" s="1170">
        <f>E140+E144</f>
        <v>21322</v>
      </c>
      <c r="F139" s="1170">
        <f>F140+F144</f>
        <v>92948</v>
      </c>
      <c r="G139" s="1170">
        <f>G140+G144</f>
        <v>203939</v>
      </c>
      <c r="H139" s="1170">
        <f>+H144</f>
        <v>0</v>
      </c>
      <c r="I139" s="1170">
        <f>+I144</f>
        <v>0</v>
      </c>
      <c r="J139" s="1170">
        <f>+J144</f>
        <v>0</v>
      </c>
      <c r="K139" s="1170">
        <f>+K144</f>
        <v>0</v>
      </c>
      <c r="L139" s="1170">
        <f>L140+L144</f>
        <v>0</v>
      </c>
      <c r="M139" s="1171">
        <f>M140+M144</f>
        <v>203939</v>
      </c>
      <c r="N139" s="3570"/>
    </row>
    <row r="140" spans="1:15" s="201" customFormat="1" ht="15" customHeight="1">
      <c r="A140" s="3770"/>
      <c r="B140" s="1172" t="s">
        <v>22</v>
      </c>
      <c r="C140" s="3448" t="s">
        <v>302</v>
      </c>
      <c r="D140" s="1173">
        <f>D141</f>
        <v>47732</v>
      </c>
      <c r="E140" s="1178">
        <f t="shared" ref="E140:G140" si="108">E141</f>
        <v>3199</v>
      </c>
      <c r="F140" s="1178">
        <f t="shared" si="108"/>
        <v>13942</v>
      </c>
      <c r="G140" s="1178">
        <f t="shared" si="108"/>
        <v>30591</v>
      </c>
      <c r="H140" s="1178">
        <v>0</v>
      </c>
      <c r="I140" s="1178">
        <v>0</v>
      </c>
      <c r="J140" s="1178">
        <v>0</v>
      </c>
      <c r="K140" s="1178">
        <v>0</v>
      </c>
      <c r="L140" s="1178">
        <f>L141</f>
        <v>0</v>
      </c>
      <c r="M140" s="1174">
        <f>M141</f>
        <v>30591</v>
      </c>
      <c r="N140" s="3570"/>
    </row>
    <row r="141" spans="1:15" s="201" customFormat="1" ht="15" customHeight="1">
      <c r="A141" s="3770"/>
      <c r="B141" s="1175" t="s">
        <v>11</v>
      </c>
      <c r="C141" s="3383"/>
      <c r="D141" s="1113">
        <f>E141+L141+F141+G141+H141+I141+J141+K141</f>
        <v>47732</v>
      </c>
      <c r="E141" s="1176">
        <f>SUM(E142:E143)</f>
        <v>3199</v>
      </c>
      <c r="F141" s="1176">
        <f t="shared" ref="F141:G141" si="109">SUM(F142:F143)</f>
        <v>13942</v>
      </c>
      <c r="G141" s="1176">
        <f t="shared" si="109"/>
        <v>30591</v>
      </c>
      <c r="H141" s="1176">
        <v>0</v>
      </c>
      <c r="I141" s="1176">
        <v>0</v>
      </c>
      <c r="J141" s="1176">
        <v>0</v>
      </c>
      <c r="K141" s="1176">
        <v>0</v>
      </c>
      <c r="L141" s="1176">
        <f>SUM(L142:L143)</f>
        <v>0</v>
      </c>
      <c r="M141" s="1434">
        <f>SUM(G141:K141)</f>
        <v>30591</v>
      </c>
      <c r="N141" s="3570"/>
    </row>
    <row r="142" spans="1:15" s="201" customFormat="1" ht="15" hidden="1" customHeight="1">
      <c r="A142" s="3770"/>
      <c r="B142" s="2473" t="s">
        <v>308</v>
      </c>
      <c r="C142" s="3383"/>
      <c r="D142" s="2467">
        <f>E142+L142+F142+G142+H142+I142+J142+K142</f>
        <v>42592</v>
      </c>
      <c r="E142" s="2469">
        <f>3347-1656</f>
        <v>1691</v>
      </c>
      <c r="F142" s="2469">
        <f>8073+12063-8010</f>
        <v>12126</v>
      </c>
      <c r="G142" s="2469">
        <f>34839-10400+4336</f>
        <v>28775</v>
      </c>
      <c r="H142" s="2650"/>
      <c r="I142" s="2650"/>
      <c r="J142" s="2650"/>
      <c r="K142" s="2650"/>
      <c r="L142" s="2469"/>
      <c r="M142" s="1434">
        <f>SUM(F142:K142)</f>
        <v>40901</v>
      </c>
      <c r="N142" s="3570"/>
    </row>
    <row r="143" spans="1:15" s="201" customFormat="1" ht="15" hidden="1" customHeight="1">
      <c r="A143" s="3770"/>
      <c r="B143" s="2474" t="s">
        <v>309</v>
      </c>
      <c r="C143" s="3383"/>
      <c r="D143" s="2651">
        <f>E143+L143+F143+G143+H143+I143+J143+K143</f>
        <v>5140</v>
      </c>
      <c r="E143" s="2652">
        <f>1514-6</f>
        <v>1508</v>
      </c>
      <c r="F143" s="2652">
        <v>1816</v>
      </c>
      <c r="G143" s="2652">
        <v>1816</v>
      </c>
      <c r="H143" s="2653"/>
      <c r="I143" s="2653"/>
      <c r="J143" s="2653"/>
      <c r="K143" s="2653"/>
      <c r="L143" s="2652"/>
      <c r="M143" s="1434">
        <f>SUM(F143:K143)</f>
        <v>3632</v>
      </c>
      <c r="N143" s="3570"/>
    </row>
    <row r="144" spans="1:15" s="201" customFormat="1" ht="15" customHeight="1">
      <c r="A144" s="3770"/>
      <c r="B144" s="1177" t="s">
        <v>17</v>
      </c>
      <c r="C144" s="3383"/>
      <c r="D144" s="1173">
        <f>D145</f>
        <v>270477</v>
      </c>
      <c r="E144" s="1178">
        <f t="shared" ref="E144:G144" si="110">E145</f>
        <v>18123</v>
      </c>
      <c r="F144" s="1178">
        <f t="shared" si="110"/>
        <v>79006</v>
      </c>
      <c r="G144" s="1178">
        <f t="shared" si="110"/>
        <v>173348</v>
      </c>
      <c r="H144" s="1178">
        <v>0</v>
      </c>
      <c r="I144" s="1178">
        <v>0</v>
      </c>
      <c r="J144" s="1178">
        <v>0</v>
      </c>
      <c r="K144" s="1178">
        <v>0</v>
      </c>
      <c r="L144" s="1178">
        <f>L145</f>
        <v>0</v>
      </c>
      <c r="M144" s="1174">
        <f t="shared" ref="M144" si="111">+M145</f>
        <v>173348</v>
      </c>
      <c r="N144" s="3570"/>
    </row>
    <row r="145" spans="1:14" s="201" customFormat="1" ht="15" customHeight="1">
      <c r="A145" s="3770"/>
      <c r="B145" s="2846" t="s">
        <v>19</v>
      </c>
      <c r="C145" s="3383"/>
      <c r="D145" s="1113">
        <f>E145+L145+F145+G145+H145+I145+J145+K145</f>
        <v>270477</v>
      </c>
      <c r="E145" s="1176">
        <f>SUM(E146:E147)</f>
        <v>18123</v>
      </c>
      <c r="F145" s="1176">
        <f t="shared" ref="F145:G145" si="112">SUM(F146:F147)</f>
        <v>79006</v>
      </c>
      <c r="G145" s="1176">
        <f t="shared" si="112"/>
        <v>173348</v>
      </c>
      <c r="H145" s="1176">
        <v>0</v>
      </c>
      <c r="I145" s="1176">
        <v>0</v>
      </c>
      <c r="J145" s="1176">
        <v>0</v>
      </c>
      <c r="K145" s="1176">
        <v>0</v>
      </c>
      <c r="L145" s="1176">
        <f>SUM(L146:L147)</f>
        <v>0</v>
      </c>
      <c r="M145" s="1434">
        <f>SUM(G145:K145)</f>
        <v>173348</v>
      </c>
      <c r="N145" s="3570"/>
    </row>
    <row r="146" spans="1:14" s="201" customFormat="1" ht="15" hidden="1" customHeight="1">
      <c r="A146" s="3770"/>
      <c r="B146" s="2473" t="s">
        <v>311</v>
      </c>
      <c r="C146" s="3383"/>
      <c r="D146" s="2467">
        <f>E146+L146+F146+G146+H146+I146+J146+K146</f>
        <v>241352</v>
      </c>
      <c r="E146" s="2469">
        <f>18973-9391</f>
        <v>9582</v>
      </c>
      <c r="F146" s="2469">
        <f>45747+68360-45393</f>
        <v>68714</v>
      </c>
      <c r="G146" s="2469">
        <f>197415-58934+24575</f>
        <v>163056</v>
      </c>
      <c r="H146" s="2650"/>
      <c r="I146" s="2650"/>
      <c r="J146" s="2650"/>
      <c r="K146" s="2650"/>
      <c r="L146" s="2469"/>
      <c r="M146" s="1434">
        <f>SUM(F146:K146)</f>
        <v>231770</v>
      </c>
      <c r="N146" s="3570"/>
    </row>
    <row r="147" spans="1:14" s="201" customFormat="1" ht="15" hidden="1" customHeight="1">
      <c r="A147" s="3770"/>
      <c r="B147" s="2474" t="s">
        <v>310</v>
      </c>
      <c r="C147" s="3384"/>
      <c r="D147" s="2651">
        <f>E147+L147+F147+G147+H147+I147+J147+K147</f>
        <v>29125</v>
      </c>
      <c r="E147" s="2652">
        <f>8576-35</f>
        <v>8541</v>
      </c>
      <c r="F147" s="2652">
        <v>10292</v>
      </c>
      <c r="G147" s="2652">
        <v>10292</v>
      </c>
      <c r="H147" s="2653"/>
      <c r="I147" s="2653"/>
      <c r="J147" s="2653"/>
      <c r="K147" s="2653"/>
      <c r="L147" s="2652"/>
      <c r="M147" s="1434">
        <f>SUM(F147:K147)</f>
        <v>20584</v>
      </c>
      <c r="N147" s="3570"/>
    </row>
    <row r="148" spans="1:14" s="201" customFormat="1" ht="12.75">
      <c r="A148" s="3770"/>
      <c r="B148" s="1785" t="s">
        <v>20</v>
      </c>
      <c r="C148" s="2118"/>
      <c r="D148" s="1170">
        <f t="shared" ref="D148:K149" si="113">D149</f>
        <v>270477</v>
      </c>
      <c r="E148" s="1170">
        <f t="shared" si="113"/>
        <v>977</v>
      </c>
      <c r="F148" s="1170">
        <f t="shared" si="113"/>
        <v>20069</v>
      </c>
      <c r="G148" s="1170">
        <f t="shared" si="113"/>
        <v>23937</v>
      </c>
      <c r="H148" s="1170">
        <f t="shared" si="113"/>
        <v>225494</v>
      </c>
      <c r="I148" s="1170">
        <f t="shared" si="113"/>
        <v>0</v>
      </c>
      <c r="J148" s="1170">
        <f t="shared" si="113"/>
        <v>0</v>
      </c>
      <c r="K148" s="1170">
        <f t="shared" si="113"/>
        <v>0</v>
      </c>
      <c r="L148" s="1170">
        <f>L149</f>
        <v>0</v>
      </c>
      <c r="M148" s="3429" t="s">
        <v>52</v>
      </c>
      <c r="N148" s="3570"/>
    </row>
    <row r="149" spans="1:14" s="201" customFormat="1" ht="12.75">
      <c r="A149" s="3770"/>
      <c r="B149" s="1806" t="s">
        <v>17</v>
      </c>
      <c r="C149" s="3465" t="s">
        <v>159</v>
      </c>
      <c r="D149" s="1179">
        <f t="shared" si="113"/>
        <v>270477</v>
      </c>
      <c r="E149" s="1179">
        <f t="shared" si="113"/>
        <v>977</v>
      </c>
      <c r="F149" s="1179">
        <f t="shared" si="113"/>
        <v>20069</v>
      </c>
      <c r="G149" s="1179">
        <f t="shared" si="113"/>
        <v>23937</v>
      </c>
      <c r="H149" s="1179">
        <f t="shared" si="113"/>
        <v>225494</v>
      </c>
      <c r="I149" s="1179">
        <f t="shared" si="113"/>
        <v>0</v>
      </c>
      <c r="J149" s="1179">
        <f t="shared" si="113"/>
        <v>0</v>
      </c>
      <c r="K149" s="1179">
        <f t="shared" si="113"/>
        <v>0</v>
      </c>
      <c r="L149" s="1179">
        <f>L150</f>
        <v>0</v>
      </c>
      <c r="M149" s="3427"/>
      <c r="N149" s="3570"/>
    </row>
    <row r="150" spans="1:14" s="201" customFormat="1" ht="13.5" thickBot="1">
      <c r="A150" s="3771"/>
      <c r="B150" s="2884" t="s">
        <v>19</v>
      </c>
      <c r="C150" s="3439"/>
      <c r="D150" s="1113">
        <f>E150+L150+F150+G150+H150+I150+J150+K150</f>
        <v>270477</v>
      </c>
      <c r="E150" s="1423">
        <f>2133-1156</f>
        <v>977</v>
      </c>
      <c r="F150" s="1423">
        <f>39145-24239+5163</f>
        <v>20069</v>
      </c>
      <c r="G150" s="1423">
        <f>148930-34993-90000</f>
        <v>23937</v>
      </c>
      <c r="H150" s="1423">
        <f>101087+60388+64019</f>
        <v>225494</v>
      </c>
      <c r="I150" s="1423">
        <v>0</v>
      </c>
      <c r="J150" s="1423">
        <v>0</v>
      </c>
      <c r="K150" s="1423">
        <v>0</v>
      </c>
      <c r="L150" s="1423"/>
      <c r="M150" s="3428"/>
      <c r="N150" s="3571"/>
    </row>
    <row r="151" spans="1:14" s="201" customFormat="1" ht="48.75" customHeight="1" thickBot="1">
      <c r="A151" s="3767" t="s">
        <v>83</v>
      </c>
      <c r="B151" s="158" t="s">
        <v>461</v>
      </c>
      <c r="C151" s="1199" t="s">
        <v>72</v>
      </c>
      <c r="D151" s="571"/>
      <c r="E151" s="2244"/>
      <c r="F151" s="2238"/>
      <c r="G151" s="2238"/>
      <c r="H151" s="1690"/>
      <c r="I151" s="1690"/>
      <c r="J151" s="1690"/>
      <c r="K151" s="2239"/>
      <c r="L151" s="2238"/>
      <c r="M151" s="573"/>
      <c r="N151" s="3774" t="s">
        <v>183</v>
      </c>
    </row>
    <row r="152" spans="1:14" s="201" customFormat="1" ht="13.5" thickBot="1">
      <c r="A152" s="3768"/>
      <c r="B152" s="1168" t="s">
        <v>9</v>
      </c>
      <c r="C152" s="2118"/>
      <c r="D152" s="1170">
        <f>D153+D155</f>
        <v>353792</v>
      </c>
      <c r="E152" s="1170">
        <f>E153+E155</f>
        <v>52792</v>
      </c>
      <c r="F152" s="1170">
        <f>F153+F155</f>
        <v>81774</v>
      </c>
      <c r="G152" s="1170">
        <f>G153+G155</f>
        <v>219226</v>
      </c>
      <c r="H152" s="1170">
        <f>+H155</f>
        <v>0</v>
      </c>
      <c r="I152" s="1170">
        <f>+I155</f>
        <v>0</v>
      </c>
      <c r="J152" s="1170">
        <f>+J155</f>
        <v>0</v>
      </c>
      <c r="K152" s="1170">
        <f>+K155</f>
        <v>0</v>
      </c>
      <c r="L152" s="1170">
        <f>L153+L155</f>
        <v>0</v>
      </c>
      <c r="M152" s="1171">
        <f>M153+M155</f>
        <v>219226</v>
      </c>
      <c r="N152" s="3774"/>
    </row>
    <row r="153" spans="1:14" s="201" customFormat="1" ht="13.5" thickBot="1">
      <c r="A153" s="3768"/>
      <c r="B153" s="1172" t="s">
        <v>22</v>
      </c>
      <c r="C153" s="3448" t="s">
        <v>159</v>
      </c>
      <c r="D153" s="1173">
        <f>D154</f>
        <v>53069</v>
      </c>
      <c r="E153" s="1178">
        <f t="shared" ref="E153:K153" si="114">E154</f>
        <v>7919</v>
      </c>
      <c r="F153" s="1178">
        <f t="shared" si="114"/>
        <v>12266</v>
      </c>
      <c r="G153" s="1178">
        <f t="shared" si="114"/>
        <v>32884</v>
      </c>
      <c r="H153" s="1178">
        <f t="shared" si="114"/>
        <v>0</v>
      </c>
      <c r="I153" s="1178">
        <f t="shared" si="114"/>
        <v>0</v>
      </c>
      <c r="J153" s="1178">
        <f t="shared" si="114"/>
        <v>0</v>
      </c>
      <c r="K153" s="1178">
        <f t="shared" si="114"/>
        <v>0</v>
      </c>
      <c r="L153" s="1178">
        <f>L154</f>
        <v>0</v>
      </c>
      <c r="M153" s="1174">
        <f>M154</f>
        <v>32884</v>
      </c>
      <c r="N153" s="3774"/>
    </row>
    <row r="154" spans="1:14" s="201" customFormat="1" ht="13.5" thickBot="1">
      <c r="A154" s="3768"/>
      <c r="B154" s="1175" t="s">
        <v>11</v>
      </c>
      <c r="C154" s="3383"/>
      <c r="D154" s="1113">
        <f>E154+L154+F154+G154+H154+I154+J154+K154</f>
        <v>53069</v>
      </c>
      <c r="E154" s="1176">
        <f>8310-391</f>
        <v>7919</v>
      </c>
      <c r="F154" s="1176">
        <f>37035+4441-29210</f>
        <v>12266</v>
      </c>
      <c r="G154" s="1176">
        <f>4050-4050+32884</f>
        <v>32884</v>
      </c>
      <c r="H154" s="1176">
        <v>0</v>
      </c>
      <c r="I154" s="1176">
        <v>0</v>
      </c>
      <c r="J154" s="1176">
        <v>0</v>
      </c>
      <c r="K154" s="1176">
        <v>0</v>
      </c>
      <c r="L154" s="1176"/>
      <c r="M154" s="1434">
        <f>SUM(G154:K154)</f>
        <v>32884</v>
      </c>
      <c r="N154" s="3774"/>
    </row>
    <row r="155" spans="1:14" s="201" customFormat="1" ht="13.5" thickBot="1">
      <c r="A155" s="3768"/>
      <c r="B155" s="1177" t="s">
        <v>17</v>
      </c>
      <c r="C155" s="3383"/>
      <c r="D155" s="1173">
        <f>D156</f>
        <v>300723</v>
      </c>
      <c r="E155" s="1178">
        <f t="shared" ref="E155:G155" si="115">E156</f>
        <v>44873</v>
      </c>
      <c r="F155" s="1178">
        <f t="shared" si="115"/>
        <v>69508</v>
      </c>
      <c r="G155" s="1178">
        <f t="shared" si="115"/>
        <v>186342</v>
      </c>
      <c r="H155" s="1178">
        <f t="shared" ref="H155:K155" si="116">H156</f>
        <v>0</v>
      </c>
      <c r="I155" s="1178">
        <f t="shared" si="116"/>
        <v>0</v>
      </c>
      <c r="J155" s="1178">
        <f t="shared" si="116"/>
        <v>0</v>
      </c>
      <c r="K155" s="1178">
        <f t="shared" si="116"/>
        <v>0</v>
      </c>
      <c r="L155" s="1178">
        <f>L156</f>
        <v>0</v>
      </c>
      <c r="M155" s="1174">
        <f t="shared" ref="M155" si="117">+M156</f>
        <v>186342</v>
      </c>
      <c r="N155" s="3774"/>
    </row>
    <row r="156" spans="1:14" s="201" customFormat="1" ht="13.5" thickBot="1">
      <c r="A156" s="3768"/>
      <c r="B156" s="2846" t="s">
        <v>19</v>
      </c>
      <c r="C156" s="3384"/>
      <c r="D156" s="1113">
        <f>E156+L156+F156+G156+H156+I156+J156+K156</f>
        <v>300723</v>
      </c>
      <c r="E156" s="1176">
        <f>47090-2217</f>
        <v>44873</v>
      </c>
      <c r="F156" s="1176">
        <f>209865+25167-165524</f>
        <v>69508</v>
      </c>
      <c r="G156" s="1176">
        <f>22950-22950+186342</f>
        <v>186342</v>
      </c>
      <c r="H156" s="1176">
        <v>0</v>
      </c>
      <c r="I156" s="1176">
        <v>0</v>
      </c>
      <c r="J156" s="1176">
        <v>0</v>
      </c>
      <c r="K156" s="1176">
        <v>0</v>
      </c>
      <c r="L156" s="1176"/>
      <c r="M156" s="1434">
        <f>SUM(G156:K156)</f>
        <v>186342</v>
      </c>
      <c r="N156" s="3774"/>
    </row>
    <row r="157" spans="1:14" s="201" customFormat="1" ht="13.5" thickBot="1">
      <c r="A157" s="3768"/>
      <c r="B157" s="1785" t="s">
        <v>20</v>
      </c>
      <c r="C157" s="2118"/>
      <c r="D157" s="1170">
        <f t="shared" ref="D157:K158" si="118">D158</f>
        <v>300723</v>
      </c>
      <c r="E157" s="1170">
        <f t="shared" ref="E157:E158" si="119">+E158</f>
        <v>0</v>
      </c>
      <c r="F157" s="1170">
        <f t="shared" si="118"/>
        <v>42826</v>
      </c>
      <c r="G157" s="1170">
        <f t="shared" si="118"/>
        <v>0</v>
      </c>
      <c r="H157" s="1170">
        <f t="shared" si="118"/>
        <v>257897</v>
      </c>
      <c r="I157" s="1170">
        <f t="shared" si="118"/>
        <v>0</v>
      </c>
      <c r="J157" s="1170">
        <f t="shared" si="118"/>
        <v>0</v>
      </c>
      <c r="K157" s="1170">
        <f t="shared" si="118"/>
        <v>0</v>
      </c>
      <c r="L157" s="1170">
        <f>L158</f>
        <v>0</v>
      </c>
      <c r="M157" s="3548" t="s">
        <v>52</v>
      </c>
      <c r="N157" s="3774"/>
    </row>
    <row r="158" spans="1:14" s="201" customFormat="1" ht="13.5" thickBot="1">
      <c r="A158" s="3768"/>
      <c r="B158" s="1806" t="s">
        <v>17</v>
      </c>
      <c r="C158" s="3775" t="s">
        <v>159</v>
      </c>
      <c r="D158" s="1179">
        <f t="shared" si="118"/>
        <v>300723</v>
      </c>
      <c r="E158" s="1179">
        <f t="shared" si="119"/>
        <v>0</v>
      </c>
      <c r="F158" s="1179">
        <f t="shared" si="118"/>
        <v>42826</v>
      </c>
      <c r="G158" s="1179">
        <f t="shared" si="118"/>
        <v>0</v>
      </c>
      <c r="H158" s="1179">
        <f t="shared" si="118"/>
        <v>257897</v>
      </c>
      <c r="I158" s="1179">
        <f t="shared" si="118"/>
        <v>0</v>
      </c>
      <c r="J158" s="1179">
        <f t="shared" si="118"/>
        <v>0</v>
      </c>
      <c r="K158" s="1179">
        <f t="shared" si="118"/>
        <v>0</v>
      </c>
      <c r="L158" s="1179">
        <f>L159</f>
        <v>0</v>
      </c>
      <c r="M158" s="3532"/>
      <c r="N158" s="3774"/>
    </row>
    <row r="159" spans="1:14" s="201" customFormat="1" ht="13.5" thickBot="1">
      <c r="A159" s="3768"/>
      <c r="B159" s="2884" t="s">
        <v>19</v>
      </c>
      <c r="C159" s="3438"/>
      <c r="D159" s="1405">
        <f>E159+L159+F159+G159+H159+I159+J159+K159</f>
        <v>300723</v>
      </c>
      <c r="E159" s="1679">
        <v>0</v>
      </c>
      <c r="F159" s="1423">
        <f>73100-26460-3814</f>
        <v>42826</v>
      </c>
      <c r="G159" s="1423">
        <f>183855-5285-178570</f>
        <v>0</v>
      </c>
      <c r="H159" s="1423">
        <f>22950+31745+203202</f>
        <v>257897</v>
      </c>
      <c r="I159" s="1423">
        <v>0</v>
      </c>
      <c r="J159" s="1423">
        <v>0</v>
      </c>
      <c r="K159" s="1423">
        <v>0</v>
      </c>
      <c r="L159" s="1423"/>
      <c r="M159" s="3532"/>
      <c r="N159" s="3774"/>
    </row>
    <row r="160" spans="1:14" s="201" customFormat="1" ht="34.5" customHeight="1" thickBot="1">
      <c r="A160" s="3767" t="s">
        <v>84</v>
      </c>
      <c r="B160" s="158" t="s">
        <v>460</v>
      </c>
      <c r="C160" s="1689" t="s">
        <v>160</v>
      </c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3774" t="s">
        <v>307</v>
      </c>
    </row>
    <row r="161" spans="1:14" s="201" customFormat="1" ht="13.5" thickBot="1">
      <c r="A161" s="3768"/>
      <c r="B161" s="1168" t="s">
        <v>9</v>
      </c>
      <c r="C161" s="2118"/>
      <c r="D161" s="1170">
        <f>D162+D166</f>
        <v>693012</v>
      </c>
      <c r="E161" s="1170">
        <f>E162+E166</f>
        <v>32378</v>
      </c>
      <c r="F161" s="1170">
        <f>F162+F166</f>
        <v>385401</v>
      </c>
      <c r="G161" s="1170">
        <f>G162+G166</f>
        <v>275233</v>
      </c>
      <c r="H161" s="1170">
        <f>+H166</f>
        <v>0</v>
      </c>
      <c r="I161" s="1170">
        <f>+I166</f>
        <v>0</v>
      </c>
      <c r="J161" s="1170">
        <f>+J166</f>
        <v>0</v>
      </c>
      <c r="K161" s="1170">
        <f>+K166</f>
        <v>0</v>
      </c>
      <c r="L161" s="1170">
        <f>L162+L166</f>
        <v>0</v>
      </c>
      <c r="M161" s="1171">
        <f>M162+M166</f>
        <v>275233</v>
      </c>
      <c r="N161" s="3774"/>
    </row>
    <row r="162" spans="1:14" s="201" customFormat="1" ht="13.5" thickBot="1">
      <c r="A162" s="3768"/>
      <c r="B162" s="1806" t="s">
        <v>22</v>
      </c>
      <c r="C162" s="3437" t="s">
        <v>302</v>
      </c>
      <c r="D162" s="1179">
        <f>D163</f>
        <v>119262</v>
      </c>
      <c r="E162" s="1184">
        <f t="shared" ref="E162:G162" si="120">E163</f>
        <v>4857</v>
      </c>
      <c r="F162" s="1184">
        <f t="shared" si="120"/>
        <v>73120</v>
      </c>
      <c r="G162" s="1184">
        <f t="shared" si="120"/>
        <v>41285</v>
      </c>
      <c r="H162" s="1184">
        <v>0</v>
      </c>
      <c r="I162" s="1184">
        <v>0</v>
      </c>
      <c r="J162" s="1184">
        <v>0</v>
      </c>
      <c r="K162" s="1184">
        <v>0</v>
      </c>
      <c r="L162" s="1184">
        <f>L163</f>
        <v>0</v>
      </c>
      <c r="M162" s="1174">
        <f>M163</f>
        <v>41285</v>
      </c>
      <c r="N162" s="3774"/>
    </row>
    <row r="163" spans="1:14" s="201" customFormat="1" ht="13.5" thickBot="1">
      <c r="A163" s="3768"/>
      <c r="B163" s="2475" t="s">
        <v>11</v>
      </c>
      <c r="C163" s="3383"/>
      <c r="D163" s="759">
        <f>E163+L163+F163+G163+H163+I163+J163+K163</f>
        <v>119262</v>
      </c>
      <c r="E163" s="2476">
        <f>E164+E165</f>
        <v>4857</v>
      </c>
      <c r="F163" s="2476">
        <f>F164+F165</f>
        <v>73120</v>
      </c>
      <c r="G163" s="2476">
        <f>G164+G165</f>
        <v>41285</v>
      </c>
      <c r="H163" s="2476">
        <v>0</v>
      </c>
      <c r="I163" s="2476">
        <v>0</v>
      </c>
      <c r="J163" s="2476">
        <v>0</v>
      </c>
      <c r="K163" s="2476">
        <v>0</v>
      </c>
      <c r="L163" s="2476">
        <f>L164+L165</f>
        <v>0</v>
      </c>
      <c r="M163" s="1434">
        <f>SUM(G163:K163)</f>
        <v>41285</v>
      </c>
      <c r="N163" s="3774"/>
    </row>
    <row r="164" spans="1:14" s="201" customFormat="1" ht="15" hidden="1" customHeight="1" thickBot="1">
      <c r="A164" s="3768"/>
      <c r="B164" s="2474" t="s">
        <v>309</v>
      </c>
      <c r="C164" s="3383"/>
      <c r="D164" s="2651">
        <f>E164+L164+F164+G164+H164+I164+J164+K164</f>
        <v>5597</v>
      </c>
      <c r="E164" s="2652">
        <f>1500+258+37-148</f>
        <v>1647</v>
      </c>
      <c r="F164" s="2652">
        <f>1500+258+37+360+115</f>
        <v>2270</v>
      </c>
      <c r="G164" s="2652">
        <f>1500+258+37-115</f>
        <v>1680</v>
      </c>
      <c r="H164" s="2653"/>
      <c r="I164" s="2653"/>
      <c r="J164" s="2653"/>
      <c r="K164" s="2653"/>
      <c r="L164" s="2652"/>
      <c r="M164" s="1478">
        <f>SUM(F164:K164)</f>
        <v>3950</v>
      </c>
      <c r="N164" s="3774"/>
    </row>
    <row r="165" spans="1:14" s="201" customFormat="1" ht="15" hidden="1" customHeight="1" thickBot="1">
      <c r="A165" s="3768"/>
      <c r="B165" s="2473" t="s">
        <v>308</v>
      </c>
      <c r="C165" s="3383"/>
      <c r="D165" s="2467">
        <f>E165+L165+F165+G165+H165+I165+J165+K165</f>
        <v>113665</v>
      </c>
      <c r="E165" s="2469">
        <f>29862+1010+900-17345-750-10467</f>
        <v>3210</v>
      </c>
      <c r="F165" s="2469">
        <f>37887+3262+1350+17345+750+10256</f>
        <v>70850</v>
      </c>
      <c r="G165" s="2469">
        <f>36006+900+2700-1</f>
        <v>39605</v>
      </c>
      <c r="H165" s="2650"/>
      <c r="I165" s="2650"/>
      <c r="J165" s="2650"/>
      <c r="K165" s="2650"/>
      <c r="L165" s="2469"/>
      <c r="M165" s="1478">
        <f>SUM(F165:K165)</f>
        <v>110455</v>
      </c>
      <c r="N165" s="3774"/>
    </row>
    <row r="166" spans="1:14" s="201" customFormat="1" ht="13.5" thickBot="1">
      <c r="A166" s="3768"/>
      <c r="B166" s="1177" t="s">
        <v>17</v>
      </c>
      <c r="C166" s="3383"/>
      <c r="D166" s="1173">
        <f>D167</f>
        <v>573750</v>
      </c>
      <c r="E166" s="1178">
        <f t="shared" ref="E166:G166" si="121">E167</f>
        <v>27521</v>
      </c>
      <c r="F166" s="1178">
        <f t="shared" si="121"/>
        <v>312281</v>
      </c>
      <c r="G166" s="1178">
        <f t="shared" si="121"/>
        <v>233948</v>
      </c>
      <c r="H166" s="1178">
        <v>0</v>
      </c>
      <c r="I166" s="1178">
        <v>0</v>
      </c>
      <c r="J166" s="1178">
        <v>0</v>
      </c>
      <c r="K166" s="1178">
        <v>0</v>
      </c>
      <c r="L166" s="1178">
        <f>L167</f>
        <v>0</v>
      </c>
      <c r="M166" s="1174">
        <f t="shared" ref="M166" si="122">+M167</f>
        <v>233948</v>
      </c>
      <c r="N166" s="3774"/>
    </row>
    <row r="167" spans="1:14" s="201" customFormat="1" ht="13.5" thickBot="1">
      <c r="A167" s="3768"/>
      <c r="B167" s="2846" t="s">
        <v>19</v>
      </c>
      <c r="C167" s="3384"/>
      <c r="D167" s="1113">
        <f>E167+L167+F167+G167+H167+I167+J167+K167</f>
        <v>573750</v>
      </c>
      <c r="E167" s="1176">
        <f>E168+E169</f>
        <v>27521</v>
      </c>
      <c r="F167" s="1176">
        <f>F168+F169</f>
        <v>312281</v>
      </c>
      <c r="G167" s="1176">
        <f>G168+G169</f>
        <v>233948</v>
      </c>
      <c r="H167" s="1176">
        <v>0</v>
      </c>
      <c r="I167" s="1176">
        <v>0</v>
      </c>
      <c r="J167" s="1176">
        <v>0</v>
      </c>
      <c r="K167" s="1176">
        <v>0</v>
      </c>
      <c r="L167" s="1176"/>
      <c r="M167" s="1434">
        <f>SUM(G167:K167)</f>
        <v>233948</v>
      </c>
      <c r="N167" s="3774"/>
    </row>
    <row r="168" spans="1:14" s="201" customFormat="1" ht="15" hidden="1" customHeight="1" thickBot="1">
      <c r="A168" s="3768"/>
      <c r="B168" s="2474" t="s">
        <v>310</v>
      </c>
      <c r="C168" s="2978"/>
      <c r="D168" s="2651">
        <f>E168+L168+F168+G168+H168+I168+J168+K168</f>
        <v>31701</v>
      </c>
      <c r="E168" s="2652">
        <f>8496+1459+208-829</f>
        <v>9334</v>
      </c>
      <c r="F168" s="2652">
        <f>8496+1459+208+2041+652</f>
        <v>12856</v>
      </c>
      <c r="G168" s="2652">
        <f>8496+1459+208-652</f>
        <v>9511</v>
      </c>
      <c r="H168" s="2653"/>
      <c r="I168" s="2653"/>
      <c r="J168" s="2653"/>
      <c r="K168" s="2653"/>
      <c r="L168" s="2652"/>
      <c r="M168" s="1478">
        <f>SUM(F168:K168)</f>
        <v>22367</v>
      </c>
      <c r="N168" s="3774"/>
    </row>
    <row r="169" spans="1:14" s="201" customFormat="1" ht="15" hidden="1" customHeight="1" thickBot="1">
      <c r="A169" s="3768"/>
      <c r="B169" s="2473" t="s">
        <v>311</v>
      </c>
      <c r="C169" s="2978"/>
      <c r="D169" s="2467">
        <f>E169+L169+F169+G169+H169+I169+J169+K169</f>
        <v>542049</v>
      </c>
      <c r="E169" s="2469">
        <f>129026-98286-4250-8303</f>
        <v>18187</v>
      </c>
      <c r="F169" s="2469">
        <f>163661+18488+7650+98286+4250+7090</f>
        <v>299425</v>
      </c>
      <c r="G169" s="2469">
        <f>204036+5100+15300+1</f>
        <v>224437</v>
      </c>
      <c r="H169" s="2650"/>
      <c r="I169" s="2650"/>
      <c r="J169" s="2650"/>
      <c r="K169" s="2650"/>
      <c r="L169" s="2469"/>
      <c r="M169" s="1478">
        <f>SUM(F169:K169)</f>
        <v>523862</v>
      </c>
      <c r="N169" s="3774"/>
    </row>
    <row r="170" spans="1:14" s="201" customFormat="1" ht="13.5" thickBot="1">
      <c r="A170" s="3768"/>
      <c r="B170" s="1785" t="s">
        <v>20</v>
      </c>
      <c r="C170" s="2118"/>
      <c r="D170" s="1170">
        <f t="shared" ref="D170:K171" si="123">D171</f>
        <v>573750</v>
      </c>
      <c r="E170" s="1170">
        <f t="shared" si="123"/>
        <v>0</v>
      </c>
      <c r="F170" s="1170">
        <f t="shared" si="123"/>
        <v>178482</v>
      </c>
      <c r="G170" s="1170">
        <f t="shared" si="123"/>
        <v>308586</v>
      </c>
      <c r="H170" s="1170">
        <f t="shared" si="123"/>
        <v>86682</v>
      </c>
      <c r="I170" s="1170">
        <f t="shared" si="123"/>
        <v>0</v>
      </c>
      <c r="J170" s="1170">
        <f t="shared" si="123"/>
        <v>0</v>
      </c>
      <c r="K170" s="1170">
        <f t="shared" si="123"/>
        <v>0</v>
      </c>
      <c r="L170" s="1170">
        <f>L171</f>
        <v>0</v>
      </c>
      <c r="M170" s="3429" t="s">
        <v>52</v>
      </c>
      <c r="N170" s="3774"/>
    </row>
    <row r="171" spans="1:14" s="201" customFormat="1" ht="13.5" thickBot="1">
      <c r="A171" s="3768"/>
      <c r="B171" s="1806" t="s">
        <v>17</v>
      </c>
      <c r="C171" s="3465" t="s">
        <v>159</v>
      </c>
      <c r="D171" s="1179">
        <f t="shared" si="123"/>
        <v>573750</v>
      </c>
      <c r="E171" s="1179">
        <f t="shared" si="123"/>
        <v>0</v>
      </c>
      <c r="F171" s="1179">
        <f t="shared" si="123"/>
        <v>178482</v>
      </c>
      <c r="G171" s="1179">
        <f t="shared" si="123"/>
        <v>308586</v>
      </c>
      <c r="H171" s="1179">
        <f t="shared" si="123"/>
        <v>86682</v>
      </c>
      <c r="I171" s="1179">
        <f t="shared" si="123"/>
        <v>0</v>
      </c>
      <c r="J171" s="1179">
        <f t="shared" si="123"/>
        <v>0</v>
      </c>
      <c r="K171" s="1179">
        <f t="shared" si="123"/>
        <v>0</v>
      </c>
      <c r="L171" s="1179">
        <f>L172</f>
        <v>0</v>
      </c>
      <c r="M171" s="3427"/>
      <c r="N171" s="3774"/>
    </row>
    <row r="172" spans="1:14" s="201" customFormat="1" ht="13.5" thickBot="1">
      <c r="A172" s="3768"/>
      <c r="B172" s="2884" t="s">
        <v>19</v>
      </c>
      <c r="C172" s="3439"/>
      <c r="D172" s="1679">
        <f>E172+L172+F172+G172+H172+I172+J172+K172</f>
        <v>573750</v>
      </c>
      <c r="E172" s="1423">
        <f>48432-48432</f>
        <v>0</v>
      </c>
      <c r="F172" s="1423">
        <f>130050+48432</f>
        <v>178482</v>
      </c>
      <c r="G172" s="1423">
        <v>308586</v>
      </c>
      <c r="H172" s="1423">
        <v>86682</v>
      </c>
      <c r="I172" s="1423">
        <v>0</v>
      </c>
      <c r="J172" s="1423">
        <v>0</v>
      </c>
      <c r="K172" s="1423">
        <v>0</v>
      </c>
      <c r="L172" s="1423">
        <f>48432-48432</f>
        <v>0</v>
      </c>
      <c r="M172" s="3428"/>
      <c r="N172" s="3774"/>
    </row>
    <row r="173" spans="1:14" s="201" customFormat="1" ht="13.5" hidden="1" thickBot="1">
      <c r="A173" s="3769" t="s">
        <v>82</v>
      </c>
      <c r="B173" s="158"/>
      <c r="C173" s="1199" t="s">
        <v>160</v>
      </c>
      <c r="D173" s="570"/>
      <c r="E173" s="571"/>
      <c r="F173" s="572"/>
      <c r="G173" s="572"/>
      <c r="H173" s="571"/>
      <c r="I173" s="571"/>
      <c r="J173" s="571"/>
      <c r="K173" s="571"/>
      <c r="L173" s="572"/>
      <c r="M173" s="573"/>
      <c r="N173" s="3569"/>
    </row>
    <row r="174" spans="1:14" s="201" customFormat="1" ht="15" hidden="1" customHeight="1">
      <c r="A174" s="3770"/>
      <c r="B174" s="1168" t="s">
        <v>9</v>
      </c>
      <c r="C174" s="2118"/>
      <c r="D174" s="1170">
        <f>+D175+D177</f>
        <v>0</v>
      </c>
      <c r="E174" s="1170">
        <f>+E175+E177</f>
        <v>0</v>
      </c>
      <c r="F174" s="1170">
        <f t="shared" ref="F174:G174" si="124">+F175+F177</f>
        <v>0</v>
      </c>
      <c r="G174" s="1170">
        <f t="shared" si="124"/>
        <v>0</v>
      </c>
      <c r="H174" s="1170">
        <v>0</v>
      </c>
      <c r="I174" s="1170">
        <v>0</v>
      </c>
      <c r="J174" s="1170">
        <v>0</v>
      </c>
      <c r="K174" s="1170">
        <v>0</v>
      </c>
      <c r="L174" s="1170">
        <f>+L175+L177</f>
        <v>0</v>
      </c>
      <c r="M174" s="1171">
        <f>+M175+M177</f>
        <v>0</v>
      </c>
      <c r="N174" s="3570"/>
    </row>
    <row r="175" spans="1:14" s="201" customFormat="1" ht="15" hidden="1" customHeight="1">
      <c r="A175" s="3770"/>
      <c r="B175" s="1172" t="s">
        <v>22</v>
      </c>
      <c r="C175" s="3448" t="s">
        <v>177</v>
      </c>
      <c r="D175" s="1173">
        <f>+D176</f>
        <v>0</v>
      </c>
      <c r="E175" s="1178">
        <f>+E176</f>
        <v>0</v>
      </c>
      <c r="F175" s="1178">
        <f t="shared" ref="F175:G175" si="125">+F176</f>
        <v>0</v>
      </c>
      <c r="G175" s="1178">
        <f t="shared" si="125"/>
        <v>0</v>
      </c>
      <c r="H175" s="1179">
        <v>0</v>
      </c>
      <c r="I175" s="1179">
        <v>0</v>
      </c>
      <c r="J175" s="1179">
        <v>0</v>
      </c>
      <c r="K175" s="1179">
        <v>0</v>
      </c>
      <c r="L175" s="1178">
        <f>+L176</f>
        <v>0</v>
      </c>
      <c r="M175" s="1174">
        <f>+M176</f>
        <v>0</v>
      </c>
      <c r="N175" s="3570"/>
    </row>
    <row r="176" spans="1:14" s="201" customFormat="1" ht="15" hidden="1" customHeight="1">
      <c r="A176" s="3770"/>
      <c r="B176" s="1175" t="s">
        <v>11</v>
      </c>
      <c r="C176" s="3383"/>
      <c r="D176" s="1113"/>
      <c r="E176" s="1113">
        <v>0</v>
      </c>
      <c r="F176" s="1176"/>
      <c r="G176" s="1176"/>
      <c r="H176" s="1179">
        <v>0</v>
      </c>
      <c r="I176" s="1179">
        <v>0</v>
      </c>
      <c r="J176" s="1179">
        <v>0</v>
      </c>
      <c r="K176" s="1179">
        <v>0</v>
      </c>
      <c r="L176" s="1176"/>
      <c r="M176" s="1434">
        <f>SUM(F176:K176)</f>
        <v>0</v>
      </c>
      <c r="N176" s="3570"/>
    </row>
    <row r="177" spans="1:15" s="201" customFormat="1" ht="15" hidden="1" customHeight="1">
      <c r="A177" s="3770"/>
      <c r="B177" s="1177" t="s">
        <v>17</v>
      </c>
      <c r="C177" s="3383"/>
      <c r="D177" s="1173">
        <f>+D178</f>
        <v>0</v>
      </c>
      <c r="E177" s="1178">
        <f>+E178</f>
        <v>0</v>
      </c>
      <c r="F177" s="1178">
        <f t="shared" ref="F177:G177" si="126">+F178</f>
        <v>0</v>
      </c>
      <c r="G177" s="1178">
        <f t="shared" si="126"/>
        <v>0</v>
      </c>
      <c r="H177" s="1179">
        <v>0</v>
      </c>
      <c r="I177" s="1179">
        <v>0</v>
      </c>
      <c r="J177" s="1179">
        <v>0</v>
      </c>
      <c r="K177" s="1179">
        <v>0</v>
      </c>
      <c r="L177" s="1178">
        <f>+L178</f>
        <v>0</v>
      </c>
      <c r="M177" s="1174">
        <f>+M178</f>
        <v>0</v>
      </c>
      <c r="N177" s="3570"/>
    </row>
    <row r="178" spans="1:15" s="201" customFormat="1" ht="15" hidden="1" customHeight="1">
      <c r="A178" s="3770"/>
      <c r="B178" s="2846" t="s">
        <v>19</v>
      </c>
      <c r="C178" s="3384"/>
      <c r="D178" s="1113"/>
      <c r="E178" s="1113">
        <v>0</v>
      </c>
      <c r="F178" s="1176"/>
      <c r="G178" s="1176"/>
      <c r="H178" s="1179">
        <v>0</v>
      </c>
      <c r="I178" s="1179">
        <v>0</v>
      </c>
      <c r="J178" s="1179">
        <v>0</v>
      </c>
      <c r="K178" s="1179">
        <v>0</v>
      </c>
      <c r="L178" s="1176"/>
      <c r="M178" s="1434">
        <f>SUM(F178:K178)</f>
        <v>0</v>
      </c>
      <c r="N178" s="3764"/>
    </row>
    <row r="179" spans="1:15" s="201" customFormat="1" ht="15" hidden="1" customHeight="1">
      <c r="A179" s="3770"/>
      <c r="B179" s="1785" t="s">
        <v>20</v>
      </c>
      <c r="C179" s="2118"/>
      <c r="D179" s="1170">
        <f t="shared" ref="D179:E180" si="127">+D180</f>
        <v>0</v>
      </c>
      <c r="E179" s="1170">
        <f t="shared" si="127"/>
        <v>0</v>
      </c>
      <c r="F179" s="1170">
        <f t="shared" ref="F179:G179" si="128">+F180</f>
        <v>0</v>
      </c>
      <c r="G179" s="1170">
        <f t="shared" si="128"/>
        <v>0</v>
      </c>
      <c r="H179" s="1170">
        <v>0</v>
      </c>
      <c r="I179" s="1170">
        <v>0</v>
      </c>
      <c r="J179" s="1170">
        <v>0</v>
      </c>
      <c r="K179" s="1170">
        <v>0</v>
      </c>
      <c r="L179" s="1170">
        <f>+L180</f>
        <v>0</v>
      </c>
      <c r="M179" s="3429"/>
      <c r="N179" s="3570"/>
    </row>
    <row r="180" spans="1:15" s="201" customFormat="1" ht="15" hidden="1" customHeight="1">
      <c r="A180" s="3770"/>
      <c r="B180" s="1806" t="s">
        <v>17</v>
      </c>
      <c r="C180" s="3465" t="s">
        <v>180</v>
      </c>
      <c r="D180" s="1173">
        <f t="shared" si="127"/>
        <v>0</v>
      </c>
      <c r="E180" s="1179">
        <f t="shared" si="127"/>
        <v>0</v>
      </c>
      <c r="F180" s="1179">
        <f t="shared" ref="F180:G180" si="129">+F181</f>
        <v>0</v>
      </c>
      <c r="G180" s="1179">
        <f t="shared" si="129"/>
        <v>0</v>
      </c>
      <c r="H180" s="1179">
        <v>0</v>
      </c>
      <c r="I180" s="1179">
        <v>0</v>
      </c>
      <c r="J180" s="1179">
        <v>0</v>
      </c>
      <c r="K180" s="1179">
        <v>0</v>
      </c>
      <c r="L180" s="1179">
        <f>+L181</f>
        <v>0</v>
      </c>
      <c r="M180" s="3427"/>
      <c r="N180" s="3570"/>
    </row>
    <row r="181" spans="1:15" s="201" customFormat="1" ht="15" hidden="1" customHeight="1" thickBot="1">
      <c r="A181" s="3771"/>
      <c r="B181" s="2884" t="s">
        <v>19</v>
      </c>
      <c r="C181" s="3439"/>
      <c r="D181" s="1679">
        <f>E181+L181+F181+G181+H181+I181+J181+K181</f>
        <v>0</v>
      </c>
      <c r="E181" s="1679">
        <v>0</v>
      </c>
      <c r="F181" s="1423"/>
      <c r="G181" s="1423"/>
      <c r="H181" s="1423">
        <v>0</v>
      </c>
      <c r="I181" s="1423">
        <v>0</v>
      </c>
      <c r="J181" s="1423">
        <v>0</v>
      </c>
      <c r="K181" s="1423">
        <v>0</v>
      </c>
      <c r="L181" s="1423"/>
      <c r="M181" s="3428"/>
      <c r="N181" s="3571"/>
    </row>
    <row r="182" spans="1:15" s="201" customFormat="1" ht="13.5" hidden="1" thickBot="1">
      <c r="A182" s="3777" t="s">
        <v>83</v>
      </c>
      <c r="B182" s="158"/>
      <c r="C182" s="1199" t="s">
        <v>72</v>
      </c>
      <c r="D182" s="570"/>
      <c r="E182" s="1111"/>
      <c r="F182" s="572"/>
      <c r="G182" s="572"/>
      <c r="H182" s="571"/>
      <c r="I182" s="571"/>
      <c r="J182" s="571"/>
      <c r="K182" s="571"/>
      <c r="L182" s="572"/>
      <c r="M182" s="573"/>
      <c r="N182" s="3569"/>
    </row>
    <row r="183" spans="1:15" s="201" customFormat="1" ht="15" hidden="1" customHeight="1">
      <c r="A183" s="3770"/>
      <c r="B183" s="1168" t="s">
        <v>9</v>
      </c>
      <c r="C183" s="2118"/>
      <c r="D183" s="1170">
        <f>+D184+D186</f>
        <v>0</v>
      </c>
      <c r="E183" s="1170">
        <f>+E184+E186</f>
        <v>0</v>
      </c>
      <c r="F183" s="1170">
        <f t="shared" ref="F183:H183" si="130">+F184+F186</f>
        <v>0</v>
      </c>
      <c r="G183" s="1170">
        <f t="shared" si="130"/>
        <v>0</v>
      </c>
      <c r="H183" s="1170">
        <f t="shared" si="130"/>
        <v>0</v>
      </c>
      <c r="I183" s="1170">
        <v>0</v>
      </c>
      <c r="J183" s="1170">
        <v>0</v>
      </c>
      <c r="K183" s="1170">
        <v>0</v>
      </c>
      <c r="L183" s="1170">
        <f>+L184+L186</f>
        <v>0</v>
      </c>
      <c r="M183" s="1171">
        <f>+M184+M186</f>
        <v>0</v>
      </c>
      <c r="N183" s="3570"/>
    </row>
    <row r="184" spans="1:15" s="201" customFormat="1" ht="15" hidden="1" customHeight="1">
      <c r="A184" s="3770"/>
      <c r="B184" s="1172" t="s">
        <v>22</v>
      </c>
      <c r="C184" s="3448" t="s">
        <v>177</v>
      </c>
      <c r="D184" s="1173">
        <f>+D185</f>
        <v>0</v>
      </c>
      <c r="E184" s="1178">
        <f>+E185</f>
        <v>0</v>
      </c>
      <c r="F184" s="1178">
        <f>+F185</f>
        <v>0</v>
      </c>
      <c r="G184" s="1178">
        <f t="shared" ref="G184:H184" si="131">+G185</f>
        <v>0</v>
      </c>
      <c r="H184" s="1178">
        <f t="shared" si="131"/>
        <v>0</v>
      </c>
      <c r="I184" s="1179">
        <v>0</v>
      </c>
      <c r="J184" s="1179">
        <v>0</v>
      </c>
      <c r="K184" s="1179">
        <v>0</v>
      </c>
      <c r="L184" s="1178">
        <f>+L185</f>
        <v>0</v>
      </c>
      <c r="M184" s="1174">
        <f>+M185</f>
        <v>0</v>
      </c>
      <c r="N184" s="3570"/>
    </row>
    <row r="185" spans="1:15" s="201" customFormat="1" ht="15" hidden="1" customHeight="1">
      <c r="A185" s="3770"/>
      <c r="B185" s="1175" t="s">
        <v>11</v>
      </c>
      <c r="C185" s="3383"/>
      <c r="D185" s="1113"/>
      <c r="E185" s="1113">
        <v>0</v>
      </c>
      <c r="F185" s="1176"/>
      <c r="G185" s="1176"/>
      <c r="H185" s="1176"/>
      <c r="I185" s="1179">
        <v>0</v>
      </c>
      <c r="J185" s="1179">
        <v>0</v>
      </c>
      <c r="K185" s="1179">
        <v>0</v>
      </c>
      <c r="L185" s="1176"/>
      <c r="M185" s="1434">
        <f>SUM(F185:K185)</f>
        <v>0</v>
      </c>
      <c r="N185" s="3570"/>
    </row>
    <row r="186" spans="1:15" s="201" customFormat="1" ht="15" hidden="1" customHeight="1">
      <c r="A186" s="3770"/>
      <c r="B186" s="1177" t="s">
        <v>17</v>
      </c>
      <c r="C186" s="3383"/>
      <c r="D186" s="1173">
        <f>+D187</f>
        <v>0</v>
      </c>
      <c r="E186" s="1178">
        <f>+E187</f>
        <v>0</v>
      </c>
      <c r="F186" s="1178">
        <f t="shared" ref="F186:H186" si="132">+F187</f>
        <v>0</v>
      </c>
      <c r="G186" s="1178">
        <f t="shared" si="132"/>
        <v>0</v>
      </c>
      <c r="H186" s="1178">
        <f t="shared" si="132"/>
        <v>0</v>
      </c>
      <c r="I186" s="1179">
        <v>0</v>
      </c>
      <c r="J186" s="1179">
        <v>0</v>
      </c>
      <c r="K186" s="1179">
        <v>0</v>
      </c>
      <c r="L186" s="1178">
        <f>+L187</f>
        <v>0</v>
      </c>
      <c r="M186" s="1174">
        <f>+M187</f>
        <v>0</v>
      </c>
      <c r="N186" s="3570"/>
    </row>
    <row r="187" spans="1:15" s="201" customFormat="1" ht="15" hidden="1" customHeight="1">
      <c r="A187" s="3770"/>
      <c r="B187" s="2846" t="s">
        <v>19</v>
      </c>
      <c r="C187" s="3384"/>
      <c r="D187" s="1113"/>
      <c r="E187" s="1152">
        <v>0</v>
      </c>
      <c r="F187" s="1182"/>
      <c r="G187" s="1182"/>
      <c r="H187" s="1182"/>
      <c r="I187" s="1179">
        <v>0</v>
      </c>
      <c r="J187" s="1179">
        <v>0</v>
      </c>
      <c r="K187" s="1179">
        <v>0</v>
      </c>
      <c r="L187" s="1182"/>
      <c r="M187" s="1434">
        <f>SUM(F187:K187)</f>
        <v>0</v>
      </c>
      <c r="N187" s="3764"/>
    </row>
    <row r="188" spans="1:15" s="201" customFormat="1" ht="15" hidden="1" customHeight="1">
      <c r="A188" s="3770"/>
      <c r="B188" s="1785" t="s">
        <v>20</v>
      </c>
      <c r="C188" s="2118"/>
      <c r="D188" s="1170">
        <f t="shared" ref="D188:E189" si="133">+D189</f>
        <v>0</v>
      </c>
      <c r="E188" s="82">
        <f t="shared" si="133"/>
        <v>0</v>
      </c>
      <c r="F188" s="82">
        <f t="shared" ref="F188:H188" si="134">+F189</f>
        <v>0</v>
      </c>
      <c r="G188" s="82">
        <f t="shared" si="134"/>
        <v>0</v>
      </c>
      <c r="H188" s="82">
        <f t="shared" si="134"/>
        <v>0</v>
      </c>
      <c r="I188" s="1170">
        <v>0</v>
      </c>
      <c r="J188" s="1170">
        <v>0</v>
      </c>
      <c r="K188" s="1170">
        <v>0</v>
      </c>
      <c r="L188" s="82">
        <f>+L189</f>
        <v>0</v>
      </c>
      <c r="M188" s="3429"/>
      <c r="N188" s="3570"/>
    </row>
    <row r="189" spans="1:15" s="201" customFormat="1" ht="15" hidden="1" customHeight="1">
      <c r="A189" s="3770"/>
      <c r="B189" s="1806" t="s">
        <v>17</v>
      </c>
      <c r="C189" s="3465" t="s">
        <v>180</v>
      </c>
      <c r="D189" s="1173">
        <f t="shared" si="133"/>
        <v>0</v>
      </c>
      <c r="E189" s="1179">
        <f t="shared" si="133"/>
        <v>0</v>
      </c>
      <c r="F189" s="1179">
        <f t="shared" ref="F189:H189" si="135">+F190</f>
        <v>0</v>
      </c>
      <c r="G189" s="1179">
        <f t="shared" si="135"/>
        <v>0</v>
      </c>
      <c r="H189" s="1179">
        <f t="shared" si="135"/>
        <v>0</v>
      </c>
      <c r="I189" s="1179">
        <v>0</v>
      </c>
      <c r="J189" s="1179">
        <v>0</v>
      </c>
      <c r="K189" s="1179">
        <v>0</v>
      </c>
      <c r="L189" s="1179">
        <f>+L190</f>
        <v>0</v>
      </c>
      <c r="M189" s="3427"/>
      <c r="N189" s="3570"/>
    </row>
    <row r="190" spans="1:15" s="201" customFormat="1" ht="15" hidden="1" customHeight="1" thickBot="1">
      <c r="A190" s="3771"/>
      <c r="B190" s="2884" t="s">
        <v>19</v>
      </c>
      <c r="C190" s="3439"/>
      <c r="D190" s="1113"/>
      <c r="E190" s="1113">
        <v>0</v>
      </c>
      <c r="F190" s="1423"/>
      <c r="G190" s="1423"/>
      <c r="H190" s="1423"/>
      <c r="I190" s="1423">
        <v>0</v>
      </c>
      <c r="J190" s="1423">
        <v>0</v>
      </c>
      <c r="K190" s="1423">
        <v>0</v>
      </c>
      <c r="L190" s="1423"/>
      <c r="M190" s="3428"/>
      <c r="N190" s="3571"/>
    </row>
    <row r="191" spans="1:15" s="201" customFormat="1" ht="22.5" customHeight="1">
      <c r="A191" s="3769" t="s">
        <v>85</v>
      </c>
      <c r="B191" s="158" t="s">
        <v>458</v>
      </c>
      <c r="C191" s="1689" t="s">
        <v>99</v>
      </c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3569" t="s">
        <v>307</v>
      </c>
    </row>
    <row r="192" spans="1:15" s="201" customFormat="1" ht="12.75">
      <c r="A192" s="3770"/>
      <c r="B192" s="1168" t="s">
        <v>9</v>
      </c>
      <c r="C192" s="2118"/>
      <c r="D192" s="1170">
        <f>+D193+D197</f>
        <v>653000</v>
      </c>
      <c r="E192" s="1170">
        <f t="shared" ref="E192" si="136">+E193+E197</f>
        <v>915</v>
      </c>
      <c r="F192" s="1170">
        <f t="shared" ref="F192:K192" si="137">+F193+F197</f>
        <v>76680</v>
      </c>
      <c r="G192" s="1170">
        <f t="shared" si="137"/>
        <v>427626</v>
      </c>
      <c r="H192" s="1170">
        <f t="shared" si="137"/>
        <v>147779</v>
      </c>
      <c r="I192" s="1180">
        <f t="shared" si="137"/>
        <v>0</v>
      </c>
      <c r="J192" s="1180">
        <f t="shared" si="137"/>
        <v>0</v>
      </c>
      <c r="K192" s="1180">
        <f t="shared" si="137"/>
        <v>0</v>
      </c>
      <c r="L192" s="1170">
        <f>+L193+L197</f>
        <v>0</v>
      </c>
      <c r="M192" s="1171">
        <f>+M193+M197</f>
        <v>575405</v>
      </c>
      <c r="N192" s="3570"/>
      <c r="O192" s="201" t="s">
        <v>350</v>
      </c>
    </row>
    <row r="193" spans="1:15" s="201" customFormat="1" ht="15" customHeight="1">
      <c r="A193" s="3770"/>
      <c r="B193" s="1172" t="s">
        <v>22</v>
      </c>
      <c r="C193" s="3448" t="s">
        <v>345</v>
      </c>
      <c r="D193" s="1173">
        <f>SUM(D194)</f>
        <v>98843</v>
      </c>
      <c r="E193" s="1173">
        <f t="shared" ref="E193:K193" si="138">SUM(E194)</f>
        <v>137</v>
      </c>
      <c r="F193" s="1173">
        <f t="shared" si="138"/>
        <v>11800</v>
      </c>
      <c r="G193" s="1173">
        <f t="shared" si="138"/>
        <v>64441</v>
      </c>
      <c r="H193" s="1173">
        <f t="shared" si="138"/>
        <v>22465</v>
      </c>
      <c r="I193" s="1181">
        <f t="shared" si="138"/>
        <v>0</v>
      </c>
      <c r="J193" s="1181">
        <f t="shared" si="138"/>
        <v>0</v>
      </c>
      <c r="K193" s="1181">
        <f t="shared" si="138"/>
        <v>0</v>
      </c>
      <c r="L193" s="1173">
        <f>SUM(L194)</f>
        <v>0</v>
      </c>
      <c r="M193" s="1174">
        <f>+M194</f>
        <v>86906</v>
      </c>
      <c r="N193" s="3570"/>
    </row>
    <row r="194" spans="1:15" s="201" customFormat="1" ht="13.5" thickBot="1">
      <c r="A194" s="3770"/>
      <c r="B194" s="1175" t="s">
        <v>11</v>
      </c>
      <c r="C194" s="3383"/>
      <c r="D194" s="1113">
        <f>E194+L194+F194+G194+H194+I194+J194+K194</f>
        <v>98843</v>
      </c>
      <c r="E194" s="1113">
        <f>SUM(E195:E196)</f>
        <v>137</v>
      </c>
      <c r="F194" s="1113">
        <f t="shared" ref="F194:K194" si="139">SUM(F195:F196)</f>
        <v>11800</v>
      </c>
      <c r="G194" s="1113">
        <f t="shared" si="139"/>
        <v>64441</v>
      </c>
      <c r="H194" s="1113">
        <f t="shared" si="139"/>
        <v>22465</v>
      </c>
      <c r="I194" s="1697">
        <f t="shared" si="139"/>
        <v>0</v>
      </c>
      <c r="J194" s="1697">
        <f t="shared" si="139"/>
        <v>0</v>
      </c>
      <c r="K194" s="1697">
        <f t="shared" si="139"/>
        <v>0</v>
      </c>
      <c r="L194" s="1113">
        <f>SUM(L195:L196)</f>
        <v>0</v>
      </c>
      <c r="M194" s="1434">
        <f>SUM(G194:K194)</f>
        <v>86906</v>
      </c>
      <c r="N194" s="3570"/>
    </row>
    <row r="195" spans="1:15" s="201" customFormat="1" ht="15" hidden="1" customHeight="1">
      <c r="A195" s="3770"/>
      <c r="B195" s="2466" t="s">
        <v>346</v>
      </c>
      <c r="C195" s="3383"/>
      <c r="D195" s="2467">
        <f>SUM(E195:K195)</f>
        <v>80557</v>
      </c>
      <c r="E195" s="2654">
        <f>2151-2014</f>
        <v>137</v>
      </c>
      <c r="F195" s="2654">
        <f>22007+4408-15714</f>
        <v>10701</v>
      </c>
      <c r="G195" s="2654">
        <f>45779+8214</f>
        <v>53993</v>
      </c>
      <c r="H195" s="2654">
        <f>8226+7500</f>
        <v>15726</v>
      </c>
      <c r="I195" s="2655">
        <v>0</v>
      </c>
      <c r="J195" s="2655">
        <v>0</v>
      </c>
      <c r="K195" s="2655">
        <v>0</v>
      </c>
      <c r="L195" s="2654"/>
      <c r="M195" s="1434">
        <f>SUM(F195:K195)</f>
        <v>80420</v>
      </c>
      <c r="N195" s="3570"/>
    </row>
    <row r="196" spans="1:15" s="201" customFormat="1" ht="15" hidden="1" customHeight="1" thickBot="1">
      <c r="A196" s="3771"/>
      <c r="B196" s="2656" t="s">
        <v>245</v>
      </c>
      <c r="C196" s="3383"/>
      <c r="D196" s="2651">
        <v>18286</v>
      </c>
      <c r="E196" s="2657">
        <v>0</v>
      </c>
      <c r="F196" s="2653">
        <f>6027-4928</f>
        <v>1099</v>
      </c>
      <c r="G196" s="2653">
        <v>10448</v>
      </c>
      <c r="H196" s="2653">
        <f>1811+4928</f>
        <v>6739</v>
      </c>
      <c r="I196" s="2658">
        <v>0</v>
      </c>
      <c r="J196" s="2658">
        <v>0</v>
      </c>
      <c r="K196" s="2658">
        <v>0</v>
      </c>
      <c r="L196" s="2657">
        <v>0</v>
      </c>
      <c r="M196" s="1434">
        <f>SUM(F196:K196)</f>
        <v>18286</v>
      </c>
      <c r="N196" s="3570"/>
    </row>
    <row r="197" spans="1:15" s="201" customFormat="1" ht="13.5" thickBot="1">
      <c r="A197" s="3768"/>
      <c r="B197" s="1177" t="s">
        <v>17</v>
      </c>
      <c r="C197" s="3383"/>
      <c r="D197" s="1173">
        <f>SUM(E197:K197)</f>
        <v>554157</v>
      </c>
      <c r="E197" s="1173">
        <f t="shared" ref="E197:K197" si="140">SUM(E198)</f>
        <v>778</v>
      </c>
      <c r="F197" s="1173">
        <f t="shared" si="140"/>
        <v>64880</v>
      </c>
      <c r="G197" s="1173">
        <f t="shared" si="140"/>
        <v>363185</v>
      </c>
      <c r="H197" s="1173">
        <f t="shared" si="140"/>
        <v>125314</v>
      </c>
      <c r="I197" s="1181">
        <f t="shared" si="140"/>
        <v>0</v>
      </c>
      <c r="J197" s="1181">
        <f t="shared" si="140"/>
        <v>0</v>
      </c>
      <c r="K197" s="1181">
        <f t="shared" si="140"/>
        <v>0</v>
      </c>
      <c r="L197" s="1173">
        <f>SUM(L198)</f>
        <v>0</v>
      </c>
      <c r="M197" s="1174">
        <f>+M198</f>
        <v>488499</v>
      </c>
      <c r="N197" s="3570"/>
    </row>
    <row r="198" spans="1:15" s="201" customFormat="1" ht="13.5" thickBot="1">
      <c r="A198" s="3768"/>
      <c r="B198" s="2886" t="s">
        <v>19</v>
      </c>
      <c r="C198" s="3383"/>
      <c r="D198" s="1113">
        <f>E198+L198+F198+G198+H198+I198+J198+K198</f>
        <v>554157</v>
      </c>
      <c r="E198" s="1701">
        <f t="shared" ref="E198" si="141">SUM(E199:E200)</f>
        <v>778</v>
      </c>
      <c r="F198" s="1701">
        <f t="shared" ref="F198:K198" si="142">SUM(F199:F200)</f>
        <v>64880</v>
      </c>
      <c r="G198" s="1701">
        <f t="shared" si="142"/>
        <v>363185</v>
      </c>
      <c r="H198" s="1701">
        <f t="shared" si="142"/>
        <v>125314</v>
      </c>
      <c r="I198" s="1702">
        <f t="shared" si="142"/>
        <v>0</v>
      </c>
      <c r="J198" s="1702">
        <f t="shared" si="142"/>
        <v>0</v>
      </c>
      <c r="K198" s="1702">
        <f t="shared" si="142"/>
        <v>0</v>
      </c>
      <c r="L198" s="1701">
        <f>SUM(L199:L200)</f>
        <v>0</v>
      </c>
      <c r="M198" s="1434">
        <f>SUM(G198:K198)</f>
        <v>488499</v>
      </c>
      <c r="N198" s="3570"/>
    </row>
    <row r="199" spans="1:15" s="201" customFormat="1" ht="15" hidden="1" customHeight="1" thickBot="1">
      <c r="A199" s="3768"/>
      <c r="B199" s="2659" t="s">
        <v>346</v>
      </c>
      <c r="C199" s="3772"/>
      <c r="D199" s="1701">
        <f>SUM(E199:K199)</f>
        <v>450534</v>
      </c>
      <c r="E199" s="2650">
        <f>12189-11411</f>
        <v>778</v>
      </c>
      <c r="F199" s="2650">
        <f>122723+24977-89045</f>
        <v>58655</v>
      </c>
      <c r="G199" s="2650">
        <f>257431+46545</f>
        <v>303976</v>
      </c>
      <c r="H199" s="2650">
        <f>44625+42500</f>
        <v>87125</v>
      </c>
      <c r="I199" s="2660">
        <v>0</v>
      </c>
      <c r="J199" s="2660">
        <v>0</v>
      </c>
      <c r="K199" s="2660">
        <v>0</v>
      </c>
      <c r="L199" s="2650"/>
      <c r="M199" s="1434">
        <f>SUM(F199:K199)</f>
        <v>449756</v>
      </c>
      <c r="N199" s="3570"/>
    </row>
    <row r="200" spans="1:15" s="201" customFormat="1" ht="15" hidden="1" customHeight="1" thickBot="1">
      <c r="A200" s="3768"/>
      <c r="B200" s="2661" t="s">
        <v>245</v>
      </c>
      <c r="C200" s="3773"/>
      <c r="D200" s="2651">
        <f>SUM(E200:K200)</f>
        <v>103623</v>
      </c>
      <c r="E200" s="2662">
        <v>0</v>
      </c>
      <c r="F200" s="1742">
        <f>34150-27925</f>
        <v>6225</v>
      </c>
      <c r="G200" s="1742">
        <v>59209</v>
      </c>
      <c r="H200" s="1742">
        <f>10264+27925</f>
        <v>38189</v>
      </c>
      <c r="I200" s="2664">
        <v>0</v>
      </c>
      <c r="J200" s="2664">
        <v>0</v>
      </c>
      <c r="K200" s="2664">
        <v>0</v>
      </c>
      <c r="L200" s="2663">
        <v>0</v>
      </c>
      <c r="M200" s="1434">
        <f>SUM(F200:K200)</f>
        <v>103623</v>
      </c>
      <c r="N200" s="3764"/>
    </row>
    <row r="201" spans="1:15" s="201" customFormat="1" ht="13.5" customHeight="1" thickBot="1">
      <c r="A201" s="3768"/>
      <c r="B201" s="68" t="s">
        <v>20</v>
      </c>
      <c r="C201" s="2118"/>
      <c r="D201" s="1170">
        <f>SUM(E201:K201)</f>
        <v>554157</v>
      </c>
      <c r="E201" s="1170">
        <f t="shared" ref="E201:K201" si="143">+E202</f>
        <v>0</v>
      </c>
      <c r="F201" s="1170">
        <f t="shared" si="143"/>
        <v>37120</v>
      </c>
      <c r="G201" s="1170">
        <f t="shared" si="143"/>
        <v>367384</v>
      </c>
      <c r="H201" s="1170">
        <f t="shared" si="143"/>
        <v>149653</v>
      </c>
      <c r="I201" s="1180">
        <f t="shared" si="143"/>
        <v>0</v>
      </c>
      <c r="J201" s="1180">
        <f t="shared" si="143"/>
        <v>0</v>
      </c>
      <c r="K201" s="1180">
        <f t="shared" si="143"/>
        <v>0</v>
      </c>
      <c r="L201" s="1180">
        <f>+L202</f>
        <v>0</v>
      </c>
      <c r="M201" s="3429"/>
      <c r="N201" s="3766" t="s">
        <v>183</v>
      </c>
    </row>
    <row r="202" spans="1:15" s="201" customFormat="1" ht="15" customHeight="1" thickBot="1">
      <c r="A202" s="3768"/>
      <c r="B202" s="1806" t="s">
        <v>17</v>
      </c>
      <c r="C202" s="3465" t="s">
        <v>159</v>
      </c>
      <c r="D202" s="1173">
        <f>SUM(E202:K202)</f>
        <v>554157</v>
      </c>
      <c r="E202" s="1173">
        <f t="shared" ref="E202:K202" si="144">SUM(E203)</f>
        <v>0</v>
      </c>
      <c r="F202" s="1173">
        <f t="shared" si="144"/>
        <v>37120</v>
      </c>
      <c r="G202" s="1173">
        <f t="shared" si="144"/>
        <v>367384</v>
      </c>
      <c r="H202" s="1173">
        <f t="shared" si="144"/>
        <v>149653</v>
      </c>
      <c r="I202" s="1181">
        <f t="shared" si="144"/>
        <v>0</v>
      </c>
      <c r="J202" s="1181">
        <f t="shared" si="144"/>
        <v>0</v>
      </c>
      <c r="K202" s="1181">
        <f t="shared" si="144"/>
        <v>0</v>
      </c>
      <c r="L202" s="1181">
        <f>SUM(L203)</f>
        <v>0</v>
      </c>
      <c r="M202" s="3427"/>
      <c r="N202" s="3570"/>
    </row>
    <row r="203" spans="1:15" s="201" customFormat="1" ht="13.5" thickBot="1">
      <c r="A203" s="3768"/>
      <c r="B203" s="2884" t="s">
        <v>19</v>
      </c>
      <c r="C203" s="3439"/>
      <c r="D203" s="1679">
        <f>E203+L203+F203+G203+H203+I203+J203+K203</f>
        <v>554157</v>
      </c>
      <c r="E203" s="1679">
        <v>0</v>
      </c>
      <c r="F203" s="1423">
        <f>69700-32580</f>
        <v>37120</v>
      </c>
      <c r="G203" s="1423">
        <f>353818+13566</f>
        <v>367384</v>
      </c>
      <c r="H203" s="1423">
        <f>117073+32580</f>
        <v>149653</v>
      </c>
      <c r="I203" s="1512">
        <v>0</v>
      </c>
      <c r="J203" s="1512">
        <v>0</v>
      </c>
      <c r="K203" s="1512">
        <v>0</v>
      </c>
      <c r="L203" s="1512">
        <v>0</v>
      </c>
      <c r="M203" s="3428"/>
      <c r="N203" s="3571"/>
    </row>
    <row r="204" spans="1:15" s="201" customFormat="1" ht="24" hidden="1" customHeight="1" thickBot="1">
      <c r="A204" s="3767" t="s">
        <v>83</v>
      </c>
      <c r="B204" s="158" t="s">
        <v>352</v>
      </c>
      <c r="C204" s="1199" t="s">
        <v>72</v>
      </c>
      <c r="D204" s="570"/>
      <c r="E204" s="1111"/>
      <c r="F204" s="572"/>
      <c r="G204" s="572"/>
      <c r="H204" s="571"/>
      <c r="I204" s="571"/>
      <c r="J204" s="571"/>
      <c r="K204" s="571"/>
      <c r="L204" s="572"/>
      <c r="M204" s="573"/>
      <c r="N204" s="3569" t="s">
        <v>183</v>
      </c>
      <c r="O204" s="201" t="s">
        <v>350</v>
      </c>
    </row>
    <row r="205" spans="1:15" s="201" customFormat="1" ht="13.5" hidden="1" thickBot="1">
      <c r="A205" s="3768"/>
      <c r="B205" s="1168" t="s">
        <v>9</v>
      </c>
      <c r="C205" s="2118"/>
      <c r="D205" s="1170">
        <f>SUM(E205:K205)</f>
        <v>0</v>
      </c>
      <c r="E205" s="1691">
        <f>SUM(E206,E208)</f>
        <v>0</v>
      </c>
      <c r="F205" s="1691">
        <f>SUM(F206,F208)</f>
        <v>0</v>
      </c>
      <c r="G205" s="1417">
        <f t="shared" ref="G205:K205" si="145">G206+G208</f>
        <v>0</v>
      </c>
      <c r="H205" s="1417">
        <f t="shared" si="145"/>
        <v>0</v>
      </c>
      <c r="I205" s="1417">
        <f t="shared" si="145"/>
        <v>0</v>
      </c>
      <c r="J205" s="1417">
        <f t="shared" si="145"/>
        <v>0</v>
      </c>
      <c r="K205" s="1417">
        <f t="shared" si="145"/>
        <v>0</v>
      </c>
      <c r="L205" s="1417">
        <f>L206+L208</f>
        <v>0</v>
      </c>
      <c r="M205" s="1171">
        <f>+M206+M208</f>
        <v>0</v>
      </c>
      <c r="N205" s="3570"/>
    </row>
    <row r="206" spans="1:15" s="201" customFormat="1" ht="15" hidden="1" customHeight="1" thickBot="1">
      <c r="A206" s="3768"/>
      <c r="B206" s="1172" t="s">
        <v>22</v>
      </c>
      <c r="C206" s="3448" t="s">
        <v>159</v>
      </c>
      <c r="D206" s="1173">
        <f>SUM(E206:K206)</f>
        <v>0</v>
      </c>
      <c r="E206" s="1692">
        <f t="shared" ref="E206:K206" si="146">E207</f>
        <v>0</v>
      </c>
      <c r="F206" s="1692">
        <f t="shared" si="146"/>
        <v>0</v>
      </c>
      <c r="G206" s="1693">
        <f t="shared" si="146"/>
        <v>0</v>
      </c>
      <c r="H206" s="1693">
        <f t="shared" si="146"/>
        <v>0</v>
      </c>
      <c r="I206" s="1693">
        <f t="shared" si="146"/>
        <v>0</v>
      </c>
      <c r="J206" s="1693">
        <f t="shared" si="146"/>
        <v>0</v>
      </c>
      <c r="K206" s="1693">
        <f t="shared" si="146"/>
        <v>0</v>
      </c>
      <c r="L206" s="1693">
        <f>L207</f>
        <v>0</v>
      </c>
      <c r="M206" s="1174">
        <f>+M207</f>
        <v>0</v>
      </c>
      <c r="N206" s="3570"/>
    </row>
    <row r="207" spans="1:15" s="201" customFormat="1" ht="11.25" hidden="1" customHeight="1" thickBot="1">
      <c r="A207" s="3768"/>
      <c r="B207" s="1948" t="s">
        <v>11</v>
      </c>
      <c r="C207" s="3383"/>
      <c r="D207" s="1113">
        <f>E207+L207+F207+G207+H207+I207+J207+K207</f>
        <v>0</v>
      </c>
      <c r="E207" s="1113">
        <v>0</v>
      </c>
      <c r="F207" s="1695">
        <f>2394-2394</f>
        <v>0</v>
      </c>
      <c r="G207" s="1694">
        <v>0</v>
      </c>
      <c r="H207" s="1694">
        <v>0</v>
      </c>
      <c r="I207" s="1694">
        <v>0</v>
      </c>
      <c r="J207" s="1694">
        <v>0</v>
      </c>
      <c r="K207" s="1694">
        <v>0</v>
      </c>
      <c r="L207" s="1694">
        <v>0</v>
      </c>
      <c r="M207" s="1434">
        <f>SUM(F207:K207)</f>
        <v>0</v>
      </c>
      <c r="N207" s="3570"/>
    </row>
    <row r="208" spans="1:15" s="201" customFormat="1" ht="12.75" hidden="1" customHeight="1" thickBot="1">
      <c r="A208" s="3768"/>
      <c r="B208" s="2026" t="s">
        <v>17</v>
      </c>
      <c r="C208" s="3383"/>
      <c r="D208" s="1173">
        <f>SUM(E208:K208)</f>
        <v>0</v>
      </c>
      <c r="E208" s="1692">
        <f>E209</f>
        <v>0</v>
      </c>
      <c r="F208" s="1692">
        <f>F209</f>
        <v>0</v>
      </c>
      <c r="G208" s="1693">
        <v>0</v>
      </c>
      <c r="H208" s="1693">
        <v>0</v>
      </c>
      <c r="I208" s="1693">
        <v>0</v>
      </c>
      <c r="J208" s="1693">
        <v>0</v>
      </c>
      <c r="K208" s="1693">
        <v>0</v>
      </c>
      <c r="L208" s="1693">
        <v>0</v>
      </c>
      <c r="M208" s="1174">
        <f>+M209</f>
        <v>0</v>
      </c>
      <c r="N208" s="3570"/>
    </row>
    <row r="209" spans="1:14" s="201" customFormat="1" ht="13.5" hidden="1" thickBot="1">
      <c r="A209" s="3768"/>
      <c r="B209" s="2846" t="s">
        <v>19</v>
      </c>
      <c r="C209" s="3384"/>
      <c r="D209" s="1113">
        <f>E209+L209+F209+G209+H209+I209+J209+K209</f>
        <v>0</v>
      </c>
      <c r="E209" s="1113">
        <v>0</v>
      </c>
      <c r="F209" s="1695">
        <f>13566-13566</f>
        <v>0</v>
      </c>
      <c r="G209" s="1694">
        <v>0</v>
      </c>
      <c r="H209" s="1694">
        <v>0</v>
      </c>
      <c r="I209" s="1694">
        <v>0</v>
      </c>
      <c r="J209" s="1694">
        <v>0</v>
      </c>
      <c r="K209" s="1694">
        <v>0</v>
      </c>
      <c r="L209" s="1694">
        <v>0</v>
      </c>
      <c r="M209" s="1434">
        <f>SUM(F209:K209)</f>
        <v>0</v>
      </c>
      <c r="N209" s="3764"/>
    </row>
    <row r="210" spans="1:14" s="201" customFormat="1" ht="13.5" hidden="1" customHeight="1" thickBot="1">
      <c r="A210" s="3768"/>
      <c r="B210" s="1785" t="s">
        <v>20</v>
      </c>
      <c r="C210" s="2118"/>
      <c r="D210" s="1170">
        <f>SUM(E210:K210)</f>
        <v>0</v>
      </c>
      <c r="E210" s="1691">
        <f t="shared" ref="E210:K211" si="147">E211</f>
        <v>0</v>
      </c>
      <c r="F210" s="1691">
        <f t="shared" si="147"/>
        <v>0</v>
      </c>
      <c r="G210" s="1417">
        <f t="shared" si="147"/>
        <v>0</v>
      </c>
      <c r="H210" s="1417">
        <f t="shared" si="147"/>
        <v>0</v>
      </c>
      <c r="I210" s="1417">
        <f t="shared" si="147"/>
        <v>0</v>
      </c>
      <c r="J210" s="1417">
        <f t="shared" si="147"/>
        <v>0</v>
      </c>
      <c r="K210" s="1417">
        <f t="shared" si="147"/>
        <v>0</v>
      </c>
      <c r="L210" s="1417">
        <f>L211</f>
        <v>0</v>
      </c>
      <c r="M210" s="3429"/>
      <c r="N210" s="3570" t="s">
        <v>183</v>
      </c>
    </row>
    <row r="211" spans="1:14" s="201" customFormat="1" ht="12.75" hidden="1" customHeight="1" thickBot="1">
      <c r="A211" s="3768"/>
      <c r="B211" s="1806" t="s">
        <v>17</v>
      </c>
      <c r="C211" s="3465" t="s">
        <v>159</v>
      </c>
      <c r="D211" s="1173">
        <f>SUM(E211:K211)</f>
        <v>0</v>
      </c>
      <c r="E211" s="1696">
        <f t="shared" si="147"/>
        <v>0</v>
      </c>
      <c r="F211" s="1696">
        <f t="shared" si="147"/>
        <v>0</v>
      </c>
      <c r="G211" s="1219">
        <f t="shared" si="147"/>
        <v>0</v>
      </c>
      <c r="H211" s="1219">
        <f t="shared" si="147"/>
        <v>0</v>
      </c>
      <c r="I211" s="1219">
        <f t="shared" si="147"/>
        <v>0</v>
      </c>
      <c r="J211" s="1219">
        <f t="shared" si="147"/>
        <v>0</v>
      </c>
      <c r="K211" s="1219">
        <f t="shared" si="147"/>
        <v>0</v>
      </c>
      <c r="L211" s="1219">
        <f>L212</f>
        <v>0</v>
      </c>
      <c r="M211" s="3427"/>
      <c r="N211" s="3570"/>
    </row>
    <row r="212" spans="1:14" s="201" customFormat="1" ht="12" hidden="1" customHeight="1" thickBot="1">
      <c r="A212" s="3768"/>
      <c r="B212" s="2884" t="s">
        <v>19</v>
      </c>
      <c r="C212" s="3439"/>
      <c r="D212" s="1679">
        <f>E212+L212+F212+G212+H212+I212+J212+K212</f>
        <v>0</v>
      </c>
      <c r="E212" s="1679">
        <v>0</v>
      </c>
      <c r="F212" s="2665">
        <f>13566-13566</f>
        <v>0</v>
      </c>
      <c r="G212" s="1680">
        <v>0</v>
      </c>
      <c r="H212" s="1680">
        <v>0</v>
      </c>
      <c r="I212" s="1680">
        <v>0</v>
      </c>
      <c r="J212" s="1680">
        <v>0</v>
      </c>
      <c r="K212" s="1680">
        <v>0</v>
      </c>
      <c r="L212" s="1680">
        <v>0</v>
      </c>
      <c r="M212" s="3428"/>
      <c r="N212" s="3571"/>
    </row>
    <row r="213" spans="1:14" s="201" customFormat="1" ht="40.5" customHeight="1" thickBot="1">
      <c r="A213" s="3767" t="s">
        <v>86</v>
      </c>
      <c r="B213" s="158" t="s">
        <v>459</v>
      </c>
      <c r="C213" s="1199" t="s">
        <v>99</v>
      </c>
      <c r="D213" s="571"/>
      <c r="E213" s="2244"/>
      <c r="F213" s="2238"/>
      <c r="G213" s="2238"/>
      <c r="H213" s="1690"/>
      <c r="I213" s="1690"/>
      <c r="J213" s="1690"/>
      <c r="K213" s="2239"/>
      <c r="L213" s="2238"/>
      <c r="M213" s="573"/>
      <c r="N213" s="3569" t="s">
        <v>307</v>
      </c>
    </row>
    <row r="214" spans="1:14" s="201" customFormat="1" ht="15" customHeight="1" thickBot="1">
      <c r="A214" s="3768"/>
      <c r="B214" s="1168" t="s">
        <v>9</v>
      </c>
      <c r="C214" s="2118"/>
      <c r="D214" s="1170">
        <f>+D215+D219</f>
        <v>1276500</v>
      </c>
      <c r="E214" s="1170">
        <f>+E215+E219</f>
        <v>25422</v>
      </c>
      <c r="F214" s="1170">
        <f>+F215+F219</f>
        <v>545621</v>
      </c>
      <c r="G214" s="1170">
        <f t="shared" ref="G214:K214" si="148">+G215+G219</f>
        <v>671780</v>
      </c>
      <c r="H214" s="1170">
        <f t="shared" si="148"/>
        <v>33677</v>
      </c>
      <c r="I214" s="1180">
        <f t="shared" si="148"/>
        <v>0</v>
      </c>
      <c r="J214" s="1180">
        <f t="shared" si="148"/>
        <v>0</v>
      </c>
      <c r="K214" s="1180">
        <f t="shared" si="148"/>
        <v>0</v>
      </c>
      <c r="L214" s="1170">
        <f>+L215+L219</f>
        <v>0</v>
      </c>
      <c r="M214" s="1171">
        <f>+M215+M219</f>
        <v>705457</v>
      </c>
      <c r="N214" s="3570"/>
    </row>
    <row r="215" spans="1:14" s="201" customFormat="1" ht="15" customHeight="1" thickBot="1">
      <c r="A215" s="3768"/>
      <c r="B215" s="1172" t="s">
        <v>22</v>
      </c>
      <c r="C215" s="3448" t="s">
        <v>345</v>
      </c>
      <c r="D215" s="1173">
        <f>SUM(D216)</f>
        <v>191898</v>
      </c>
      <c r="E215" s="1173">
        <f t="shared" ref="E215:K215" si="149">SUM(E216)</f>
        <v>3813</v>
      </c>
      <c r="F215" s="1173">
        <f t="shared" si="149"/>
        <v>82013</v>
      </c>
      <c r="G215" s="1173">
        <f t="shared" si="149"/>
        <v>100937</v>
      </c>
      <c r="H215" s="1173">
        <f t="shared" si="149"/>
        <v>5135</v>
      </c>
      <c r="I215" s="1181">
        <f t="shared" si="149"/>
        <v>0</v>
      </c>
      <c r="J215" s="1181">
        <f t="shared" si="149"/>
        <v>0</v>
      </c>
      <c r="K215" s="1181">
        <f t="shared" si="149"/>
        <v>0</v>
      </c>
      <c r="L215" s="1173">
        <f>SUM(L216)</f>
        <v>0</v>
      </c>
      <c r="M215" s="1174">
        <f>+M216</f>
        <v>106072</v>
      </c>
      <c r="N215" s="3570"/>
    </row>
    <row r="216" spans="1:14" s="201" customFormat="1" ht="12" customHeight="1" thickBot="1">
      <c r="A216" s="3768"/>
      <c r="B216" s="1175" t="s">
        <v>11</v>
      </c>
      <c r="C216" s="3383"/>
      <c r="D216" s="1113">
        <f>E216+L216+F216+G216+H216+I216+J216+K216</f>
        <v>191898</v>
      </c>
      <c r="E216" s="1113">
        <f t="shared" ref="E216" si="150">SUM(E217:E218)</f>
        <v>3813</v>
      </c>
      <c r="F216" s="1113">
        <f t="shared" ref="F216:K216" si="151">SUM(F217:F218)</f>
        <v>82013</v>
      </c>
      <c r="G216" s="1113">
        <f t="shared" si="151"/>
        <v>100937</v>
      </c>
      <c r="H216" s="1113">
        <f t="shared" si="151"/>
        <v>5135</v>
      </c>
      <c r="I216" s="1697">
        <f t="shared" si="151"/>
        <v>0</v>
      </c>
      <c r="J216" s="1697">
        <f t="shared" si="151"/>
        <v>0</v>
      </c>
      <c r="K216" s="1697">
        <f t="shared" si="151"/>
        <v>0</v>
      </c>
      <c r="L216" s="1113">
        <f>SUM(L217:L218)</f>
        <v>0</v>
      </c>
      <c r="M216" s="1434">
        <f>SUM(G216:K216)</f>
        <v>106072</v>
      </c>
      <c r="N216" s="3570"/>
    </row>
    <row r="217" spans="1:14" s="201" customFormat="1" ht="15" hidden="1" customHeight="1" thickBot="1">
      <c r="A217" s="3768"/>
      <c r="B217" s="1698" t="s">
        <v>346</v>
      </c>
      <c r="C217" s="3383"/>
      <c r="D217" s="1699">
        <f>SUM(E217:K217)</f>
        <v>156108</v>
      </c>
      <c r="E217" s="1250">
        <f>3150-50</f>
        <v>3100</v>
      </c>
      <c r="F217" s="1250">
        <f>66665+50</f>
        <v>66715</v>
      </c>
      <c r="G217" s="1250">
        <v>82100</v>
      </c>
      <c r="H217" s="1250">
        <v>4193</v>
      </c>
      <c r="I217" s="1700">
        <v>0</v>
      </c>
      <c r="J217" s="1700">
        <v>0</v>
      </c>
      <c r="K217" s="1700">
        <v>0</v>
      </c>
      <c r="L217" s="1250"/>
      <c r="M217" s="1434">
        <f>SUM(F217:K217)</f>
        <v>153008</v>
      </c>
      <c r="N217" s="3570"/>
    </row>
    <row r="218" spans="1:14" s="201" customFormat="1" ht="15" hidden="1" customHeight="1" thickBot="1">
      <c r="A218" s="3768"/>
      <c r="B218" s="1698" t="s">
        <v>245</v>
      </c>
      <c r="C218" s="3383"/>
      <c r="D218" s="1699">
        <f>SUM(E218:K218)</f>
        <v>35790</v>
      </c>
      <c r="E218" s="1250">
        <f>724-11</f>
        <v>713</v>
      </c>
      <c r="F218" s="1250">
        <f>15287+11</f>
        <v>15298</v>
      </c>
      <c r="G218" s="1250">
        <v>18837</v>
      </c>
      <c r="H218" s="1250">
        <v>942</v>
      </c>
      <c r="I218" s="1700">
        <v>0</v>
      </c>
      <c r="J218" s="1700">
        <v>0</v>
      </c>
      <c r="K218" s="1700">
        <v>0</v>
      </c>
      <c r="L218" s="1250"/>
      <c r="M218" s="1434">
        <f>SUM(F218:K218)</f>
        <v>35077</v>
      </c>
      <c r="N218" s="3570"/>
    </row>
    <row r="219" spans="1:14" s="201" customFormat="1" ht="15" customHeight="1" thickBot="1">
      <c r="A219" s="3768"/>
      <c r="B219" s="1177" t="s">
        <v>17</v>
      </c>
      <c r="C219" s="3383"/>
      <c r="D219" s="1173">
        <f>SUM(E219:K219)</f>
        <v>1084602</v>
      </c>
      <c r="E219" s="1173">
        <f t="shared" ref="E219:K219" si="152">SUM(E220)</f>
        <v>21609</v>
      </c>
      <c r="F219" s="1173">
        <f t="shared" si="152"/>
        <v>463608</v>
      </c>
      <c r="G219" s="1173">
        <f t="shared" si="152"/>
        <v>570843</v>
      </c>
      <c r="H219" s="1173">
        <f t="shared" si="152"/>
        <v>28542</v>
      </c>
      <c r="I219" s="1181">
        <f t="shared" si="152"/>
        <v>0</v>
      </c>
      <c r="J219" s="1181">
        <f t="shared" si="152"/>
        <v>0</v>
      </c>
      <c r="K219" s="1181">
        <f t="shared" si="152"/>
        <v>0</v>
      </c>
      <c r="L219" s="1173">
        <f>SUM(L220)</f>
        <v>0</v>
      </c>
      <c r="M219" s="1174">
        <f>+M220</f>
        <v>599385</v>
      </c>
      <c r="N219" s="3570"/>
    </row>
    <row r="220" spans="1:14" s="201" customFormat="1" ht="15" customHeight="1" thickBot="1">
      <c r="A220" s="3768"/>
      <c r="B220" s="2846" t="s">
        <v>19</v>
      </c>
      <c r="C220" s="3383"/>
      <c r="D220" s="1113">
        <f>E220+L220+F220+G220+H220+I220+J220+K220</f>
        <v>1084602</v>
      </c>
      <c r="E220" s="1701">
        <f t="shared" ref="E220" si="153">SUM(E221:E222)</f>
        <v>21609</v>
      </c>
      <c r="F220" s="1701">
        <f t="shared" ref="F220:K220" si="154">SUM(F221:F222)</f>
        <v>463608</v>
      </c>
      <c r="G220" s="1701">
        <f t="shared" si="154"/>
        <v>570843</v>
      </c>
      <c r="H220" s="1701">
        <f t="shared" si="154"/>
        <v>28542</v>
      </c>
      <c r="I220" s="1702">
        <f t="shared" si="154"/>
        <v>0</v>
      </c>
      <c r="J220" s="1702">
        <f t="shared" si="154"/>
        <v>0</v>
      </c>
      <c r="K220" s="1703">
        <f t="shared" si="154"/>
        <v>0</v>
      </c>
      <c r="L220" s="1701">
        <f>SUM(L221:L222)</f>
        <v>0</v>
      </c>
      <c r="M220" s="1434">
        <f>SUM(G220:K220)</f>
        <v>599385</v>
      </c>
      <c r="N220" s="3570"/>
    </row>
    <row r="221" spans="1:14" s="201" customFormat="1" ht="15" hidden="1" customHeight="1" thickBot="1">
      <c r="A221" s="3785"/>
      <c r="B221" s="2666" t="s">
        <v>346</v>
      </c>
      <c r="C221" s="3772"/>
      <c r="D221" s="1249">
        <f>SUM(E221:K221)</f>
        <v>881790</v>
      </c>
      <c r="E221" s="1704">
        <f>17850-282</f>
        <v>17568</v>
      </c>
      <c r="F221" s="1704">
        <f>376635+282</f>
        <v>376917</v>
      </c>
      <c r="G221" s="1704">
        <v>464100</v>
      </c>
      <c r="H221" s="1704">
        <v>23205</v>
      </c>
      <c r="I221" s="1705">
        <v>0</v>
      </c>
      <c r="J221" s="1706">
        <v>0</v>
      </c>
      <c r="K221" s="1706">
        <v>0</v>
      </c>
      <c r="L221" s="1704"/>
      <c r="M221" s="1561">
        <f>SUM(F221:K221)</f>
        <v>864222</v>
      </c>
      <c r="N221" s="3571"/>
    </row>
    <row r="222" spans="1:14" s="201" customFormat="1" ht="15" hidden="1" customHeight="1" thickBot="1">
      <c r="A222" s="3785"/>
      <c r="B222" s="2667" t="s">
        <v>245</v>
      </c>
      <c r="C222" s="3772"/>
      <c r="D222" s="1699">
        <f>SUM(E222:K222)</f>
        <v>202812</v>
      </c>
      <c r="E222" s="1545">
        <f>4106-65</f>
        <v>4041</v>
      </c>
      <c r="F222" s="1545">
        <f>86626+65</f>
        <v>86691</v>
      </c>
      <c r="G222" s="1545">
        <v>106743</v>
      </c>
      <c r="H222" s="1545">
        <v>5337</v>
      </c>
      <c r="I222" s="1705">
        <v>0</v>
      </c>
      <c r="J222" s="1706">
        <v>0</v>
      </c>
      <c r="K222" s="1706">
        <v>0</v>
      </c>
      <c r="L222" s="1545"/>
      <c r="M222" s="1965">
        <f>SUM(F222:K222)</f>
        <v>198771</v>
      </c>
      <c r="N222" s="3774"/>
    </row>
    <row r="223" spans="1:14" s="201" customFormat="1" ht="15" customHeight="1" thickBot="1">
      <c r="A223" s="3768"/>
      <c r="B223" s="68" t="s">
        <v>20</v>
      </c>
      <c r="C223" s="2118"/>
      <c r="D223" s="1170">
        <f>SUM(E223:K223)</f>
        <v>1084602</v>
      </c>
      <c r="E223" s="1170">
        <f t="shared" ref="E223:K223" si="155">+E224</f>
        <v>0</v>
      </c>
      <c r="F223" s="1170">
        <f t="shared" si="155"/>
        <v>253586</v>
      </c>
      <c r="G223" s="1170">
        <f t="shared" si="155"/>
        <v>517052</v>
      </c>
      <c r="H223" s="1170">
        <f t="shared" si="155"/>
        <v>313964</v>
      </c>
      <c r="I223" s="1180">
        <f t="shared" si="155"/>
        <v>0</v>
      </c>
      <c r="J223" s="1180">
        <f t="shared" si="155"/>
        <v>0</v>
      </c>
      <c r="K223" s="1180">
        <f t="shared" si="155"/>
        <v>0</v>
      </c>
      <c r="L223" s="1180">
        <f>+L224</f>
        <v>0</v>
      </c>
      <c r="M223" s="3532"/>
      <c r="N223" s="3774" t="s">
        <v>183</v>
      </c>
    </row>
    <row r="224" spans="1:14" s="201" customFormat="1" ht="15" customHeight="1" thickBot="1">
      <c r="A224" s="3768"/>
      <c r="B224" s="1806" t="s">
        <v>17</v>
      </c>
      <c r="C224" s="3765" t="s">
        <v>159</v>
      </c>
      <c r="D224" s="1173">
        <f>SUM(E224:K224)</f>
        <v>1084602</v>
      </c>
      <c r="E224" s="1173">
        <f t="shared" ref="E224:K224" si="156">SUM(E225)</f>
        <v>0</v>
      </c>
      <c r="F224" s="1173">
        <f t="shared" si="156"/>
        <v>253586</v>
      </c>
      <c r="G224" s="1173">
        <f t="shared" si="156"/>
        <v>517052</v>
      </c>
      <c r="H224" s="1173">
        <f t="shared" si="156"/>
        <v>313964</v>
      </c>
      <c r="I224" s="1181">
        <f t="shared" si="156"/>
        <v>0</v>
      </c>
      <c r="J224" s="1181">
        <f t="shared" si="156"/>
        <v>0</v>
      </c>
      <c r="K224" s="1181">
        <f t="shared" si="156"/>
        <v>0</v>
      </c>
      <c r="L224" s="1181">
        <f>SUM(L225)</f>
        <v>0</v>
      </c>
      <c r="M224" s="3532"/>
      <c r="N224" s="3774"/>
    </row>
    <row r="225" spans="1:15" s="201" customFormat="1" ht="15" customHeight="1" thickBot="1">
      <c r="A225" s="3768"/>
      <c r="B225" s="2884" t="s">
        <v>19</v>
      </c>
      <c r="C225" s="3438"/>
      <c r="D225" s="1679">
        <f>E225+L225+F225+G225+H225+I225+J225+K225</f>
        <v>1084602</v>
      </c>
      <c r="E225" s="1679">
        <v>0</v>
      </c>
      <c r="F225" s="1423">
        <v>253586</v>
      </c>
      <c r="G225" s="1423">
        <v>517052</v>
      </c>
      <c r="H225" s="1423">
        <v>313964</v>
      </c>
      <c r="I225" s="1512">
        <v>0</v>
      </c>
      <c r="J225" s="1512">
        <v>0</v>
      </c>
      <c r="K225" s="1512">
        <v>0</v>
      </c>
      <c r="L225" s="1512">
        <v>0</v>
      </c>
      <c r="M225" s="3532"/>
      <c r="N225" s="3774"/>
    </row>
    <row r="226" spans="1:15" s="201" customFormat="1" ht="27.75" customHeight="1" thickBot="1">
      <c r="A226" s="3767" t="s">
        <v>87</v>
      </c>
      <c r="B226" s="158" t="s">
        <v>457</v>
      </c>
      <c r="C226" s="1199" t="s">
        <v>160</v>
      </c>
      <c r="D226" s="571"/>
      <c r="E226" s="2244"/>
      <c r="F226" s="2238"/>
      <c r="G226" s="2238"/>
      <c r="H226" s="1690"/>
      <c r="I226" s="1690"/>
      <c r="J226" s="1690"/>
      <c r="K226" s="2239"/>
      <c r="L226" s="2238"/>
      <c r="M226" s="573"/>
      <c r="N226" s="3774" t="s">
        <v>558</v>
      </c>
    </row>
    <row r="227" spans="1:15" s="201" customFormat="1" ht="15" customHeight="1" thickBot="1">
      <c r="A227" s="3768"/>
      <c r="B227" s="1168" t="s">
        <v>9</v>
      </c>
      <c r="C227" s="2118"/>
      <c r="D227" s="1170">
        <f>D228+D230</f>
        <v>225600</v>
      </c>
      <c r="E227" s="1417">
        <f t="shared" ref="E227" si="157">E228+E230</f>
        <v>0</v>
      </c>
      <c r="F227" s="1170">
        <f>F228+F232</f>
        <v>1000</v>
      </c>
      <c r="G227" s="1170">
        <f t="shared" ref="G227:K227" si="158">G228+G232</f>
        <v>1000</v>
      </c>
      <c r="H227" s="1170">
        <f>H228+H230</f>
        <v>223600</v>
      </c>
      <c r="I227" s="1417">
        <f>I228+I230</f>
        <v>0</v>
      </c>
      <c r="J227" s="1417">
        <f t="shared" si="158"/>
        <v>0</v>
      </c>
      <c r="K227" s="1417">
        <f t="shared" si="158"/>
        <v>0</v>
      </c>
      <c r="L227" s="1417">
        <f t="shared" ref="L227" si="159">+L230</f>
        <v>0</v>
      </c>
      <c r="M227" s="1171">
        <f>+M230+M228</f>
        <v>224600</v>
      </c>
      <c r="N227" s="3774"/>
      <c r="O227" s="201" t="s">
        <v>337</v>
      </c>
    </row>
    <row r="228" spans="1:15" s="201" customFormat="1" ht="15" customHeight="1" thickBot="1">
      <c r="A228" s="3768"/>
      <c r="B228" s="1172" t="s">
        <v>22</v>
      </c>
      <c r="C228" s="3448" t="s">
        <v>177</v>
      </c>
      <c r="D228" s="1173">
        <f>D229</f>
        <v>36390</v>
      </c>
      <c r="E228" s="1479">
        <f t="shared" ref="E228" si="160">E229</f>
        <v>0</v>
      </c>
      <c r="F228" s="1178">
        <f>F229</f>
        <v>1000</v>
      </c>
      <c r="G228" s="1178">
        <f>G229</f>
        <v>1000</v>
      </c>
      <c r="H228" s="1178">
        <f t="shared" ref="H228:K228" si="161">H229</f>
        <v>34390</v>
      </c>
      <c r="I228" s="1219">
        <f t="shared" si="161"/>
        <v>0</v>
      </c>
      <c r="J228" s="1219">
        <f t="shared" si="161"/>
        <v>0</v>
      </c>
      <c r="K228" s="1219">
        <f t="shared" si="161"/>
        <v>0</v>
      </c>
      <c r="L228" s="1479">
        <f>L229</f>
        <v>0</v>
      </c>
      <c r="M228" s="1174">
        <f>M229</f>
        <v>35390</v>
      </c>
      <c r="N228" s="3774"/>
    </row>
    <row r="229" spans="1:15" s="201" customFormat="1" ht="15" customHeight="1" thickBot="1">
      <c r="A229" s="3768"/>
      <c r="B229" s="1175" t="s">
        <v>11</v>
      </c>
      <c r="C229" s="3383"/>
      <c r="D229" s="1113">
        <f>E229+L229+F229+G229+H229+I229+J229+K229</f>
        <v>36390</v>
      </c>
      <c r="E229" s="1476">
        <v>0</v>
      </c>
      <c r="F229" s="1176">
        <v>1000</v>
      </c>
      <c r="G229" s="1176">
        <v>1000</v>
      </c>
      <c r="H229" s="1176">
        <v>34390</v>
      </c>
      <c r="I229" s="1219">
        <v>0</v>
      </c>
      <c r="J229" s="1476">
        <v>0</v>
      </c>
      <c r="K229" s="1476">
        <v>0</v>
      </c>
      <c r="L229" s="1476">
        <v>0</v>
      </c>
      <c r="M229" s="1434">
        <f>SUM(G229:K229)</f>
        <v>35390</v>
      </c>
      <c r="N229" s="3774"/>
    </row>
    <row r="230" spans="1:15" s="201" customFormat="1" ht="15" customHeight="1" thickBot="1">
      <c r="A230" s="3768"/>
      <c r="B230" s="1177" t="s">
        <v>17</v>
      </c>
      <c r="C230" s="3383"/>
      <c r="D230" s="1173">
        <f>D231</f>
        <v>189210</v>
      </c>
      <c r="E230" s="1479">
        <f t="shared" ref="E230:M230" si="162">+E231</f>
        <v>0</v>
      </c>
      <c r="F230" s="1501">
        <f>F231</f>
        <v>0</v>
      </c>
      <c r="G230" s="1501">
        <v>0</v>
      </c>
      <c r="H230" s="1178">
        <f>H231</f>
        <v>189210</v>
      </c>
      <c r="I230" s="1219">
        <v>0</v>
      </c>
      <c r="J230" s="1219">
        <v>0</v>
      </c>
      <c r="K230" s="1219">
        <v>0</v>
      </c>
      <c r="L230" s="1479">
        <v>0</v>
      </c>
      <c r="M230" s="1174">
        <f t="shared" si="162"/>
        <v>189210</v>
      </c>
      <c r="N230" s="3774"/>
    </row>
    <row r="231" spans="1:15" s="201" customFormat="1" ht="15" customHeight="1" thickBot="1">
      <c r="A231" s="3768"/>
      <c r="B231" s="2846" t="s">
        <v>19</v>
      </c>
      <c r="C231" s="3384"/>
      <c r="D231" s="1113">
        <f>E231+L231+F231+G231+H231+I231+J231+K231</f>
        <v>189210</v>
      </c>
      <c r="E231" s="1476">
        <v>0</v>
      </c>
      <c r="F231" s="1497">
        <v>0</v>
      </c>
      <c r="G231" s="1497">
        <v>0</v>
      </c>
      <c r="H231" s="1176">
        <v>189210</v>
      </c>
      <c r="I231" s="1476">
        <v>0</v>
      </c>
      <c r="J231" s="1476">
        <v>0</v>
      </c>
      <c r="K231" s="1476">
        <v>0</v>
      </c>
      <c r="L231" s="1476">
        <v>0</v>
      </c>
      <c r="M231" s="1434">
        <f>SUM(G231:K231)</f>
        <v>189210</v>
      </c>
      <c r="N231" s="3774"/>
    </row>
    <row r="232" spans="1:15" s="201" customFormat="1" ht="15" customHeight="1" thickBot="1">
      <c r="A232" s="3768"/>
      <c r="B232" s="1785" t="s">
        <v>20</v>
      </c>
      <c r="C232" s="2118"/>
      <c r="D232" s="1170">
        <f t="shared" ref="D232:K233" si="163">D233</f>
        <v>189210</v>
      </c>
      <c r="E232" s="1417">
        <f t="shared" ref="E232" si="164">+E235</f>
        <v>0</v>
      </c>
      <c r="F232" s="1180">
        <f t="shared" si="163"/>
        <v>0</v>
      </c>
      <c r="G232" s="1180">
        <f t="shared" si="163"/>
        <v>0</v>
      </c>
      <c r="H232" s="1180">
        <f t="shared" si="163"/>
        <v>0</v>
      </c>
      <c r="I232" s="1170">
        <f t="shared" si="163"/>
        <v>189210</v>
      </c>
      <c r="J232" s="1417">
        <f t="shared" si="163"/>
        <v>0</v>
      </c>
      <c r="K232" s="1417">
        <f t="shared" si="163"/>
        <v>0</v>
      </c>
      <c r="L232" s="1417">
        <f>L233</f>
        <v>0</v>
      </c>
      <c r="M232" s="3548" t="s">
        <v>52</v>
      </c>
      <c r="N232" s="3774" t="s">
        <v>183</v>
      </c>
    </row>
    <row r="233" spans="1:15" s="201" customFormat="1" ht="15" customHeight="1" thickBot="1">
      <c r="A233" s="3768"/>
      <c r="B233" s="1806" t="s">
        <v>17</v>
      </c>
      <c r="C233" s="3775" t="s">
        <v>177</v>
      </c>
      <c r="D233" s="1179">
        <f t="shared" si="163"/>
        <v>189210</v>
      </c>
      <c r="E233" s="1479">
        <f t="shared" si="163"/>
        <v>0</v>
      </c>
      <c r="F233" s="1700">
        <f t="shared" si="163"/>
        <v>0</v>
      </c>
      <c r="G233" s="1700">
        <f t="shared" si="163"/>
        <v>0</v>
      </c>
      <c r="H233" s="1700">
        <f t="shared" si="163"/>
        <v>0</v>
      </c>
      <c r="I233" s="1179">
        <f t="shared" si="163"/>
        <v>189210</v>
      </c>
      <c r="J233" s="1219">
        <f t="shared" si="163"/>
        <v>0</v>
      </c>
      <c r="K233" s="1219">
        <f t="shared" si="163"/>
        <v>0</v>
      </c>
      <c r="L233" s="1219">
        <f>L234</f>
        <v>0</v>
      </c>
      <c r="M233" s="3532"/>
      <c r="N233" s="3774"/>
    </row>
    <row r="234" spans="1:15" s="201" customFormat="1" ht="15" customHeight="1" thickBot="1">
      <c r="A234" s="3768"/>
      <c r="B234" s="2884" t="s">
        <v>19</v>
      </c>
      <c r="C234" s="3438"/>
      <c r="D234" s="1405">
        <f>E234+L234+F234+G234+H234+I234+J234+K234</f>
        <v>189210</v>
      </c>
      <c r="E234" s="1975">
        <v>0</v>
      </c>
      <c r="F234" s="1512">
        <v>0</v>
      </c>
      <c r="G234" s="1512">
        <v>0</v>
      </c>
      <c r="H234" s="1512">
        <v>0</v>
      </c>
      <c r="I234" s="1423">
        <v>189210</v>
      </c>
      <c r="J234" s="1975">
        <v>0</v>
      </c>
      <c r="K234" s="1975">
        <v>0</v>
      </c>
      <c r="L234" s="1424">
        <v>0</v>
      </c>
      <c r="M234" s="3532"/>
      <c r="N234" s="3774"/>
    </row>
    <row r="235" spans="1:15" s="201" customFormat="1" ht="29.25" customHeight="1" thickBot="1">
      <c r="A235" s="3767" t="s">
        <v>88</v>
      </c>
      <c r="B235" s="158" t="s">
        <v>456</v>
      </c>
      <c r="C235" s="1689" t="s">
        <v>72</v>
      </c>
      <c r="D235" s="571"/>
      <c r="E235" s="2244"/>
      <c r="F235" s="2238"/>
      <c r="G235" s="2238"/>
      <c r="H235" s="1690"/>
      <c r="I235" s="1690"/>
      <c r="J235" s="1690"/>
      <c r="K235" s="2239"/>
      <c r="L235" s="2238"/>
      <c r="M235" s="573"/>
      <c r="N235" s="3774" t="s">
        <v>558</v>
      </c>
    </row>
    <row r="236" spans="1:15" s="201" customFormat="1" ht="15" customHeight="1" thickBot="1">
      <c r="A236" s="3768"/>
      <c r="B236" s="1168" t="s">
        <v>9</v>
      </c>
      <c r="C236" s="2118"/>
      <c r="D236" s="1170">
        <f>D237+D240</f>
        <v>6246481</v>
      </c>
      <c r="E236" s="1170">
        <f t="shared" ref="E236" si="165">E237+E240</f>
        <v>314314</v>
      </c>
      <c r="F236" s="1170">
        <f>+F240+F237</f>
        <v>101919</v>
      </c>
      <c r="G236" s="1170">
        <f>+G240+G237</f>
        <v>3685930</v>
      </c>
      <c r="H236" s="1170">
        <f t="shared" ref="H236:K236" si="166">+H240+H237</f>
        <v>2144318</v>
      </c>
      <c r="I236" s="1417">
        <f t="shared" si="166"/>
        <v>0</v>
      </c>
      <c r="J236" s="1417">
        <f t="shared" si="166"/>
        <v>0</v>
      </c>
      <c r="K236" s="1417">
        <f t="shared" si="166"/>
        <v>0</v>
      </c>
      <c r="L236" s="2302">
        <f>L237</f>
        <v>0</v>
      </c>
      <c r="M236" s="1171">
        <f>+M240+M237</f>
        <v>5830248</v>
      </c>
      <c r="N236" s="3774"/>
      <c r="O236" s="201" t="s">
        <v>337</v>
      </c>
    </row>
    <row r="237" spans="1:15" s="201" customFormat="1" ht="15" customHeight="1" thickBot="1">
      <c r="A237" s="3768"/>
      <c r="B237" s="1172" t="s">
        <v>22</v>
      </c>
      <c r="C237" s="3448" t="s">
        <v>177</v>
      </c>
      <c r="D237" s="1173">
        <f>D238+D239</f>
        <v>1034156</v>
      </c>
      <c r="E237" s="1173">
        <f>E238+E239</f>
        <v>144331</v>
      </c>
      <c r="F237" s="1173">
        <f t="shared" ref="F237:H237" si="167">F238+F239</f>
        <v>15288</v>
      </c>
      <c r="G237" s="1173">
        <f t="shared" si="167"/>
        <v>552889</v>
      </c>
      <c r="H237" s="1173">
        <f t="shared" si="167"/>
        <v>321648</v>
      </c>
      <c r="I237" s="1476">
        <f t="shared" ref="I237:K237" si="168">I238+I239</f>
        <v>0</v>
      </c>
      <c r="J237" s="1476">
        <f t="shared" si="168"/>
        <v>0</v>
      </c>
      <c r="K237" s="1476">
        <f t="shared" si="168"/>
        <v>0</v>
      </c>
      <c r="L237" s="1173">
        <f>L238+L239</f>
        <v>0</v>
      </c>
      <c r="M237" s="1174">
        <f>M238</f>
        <v>874537</v>
      </c>
      <c r="N237" s="3774"/>
    </row>
    <row r="238" spans="1:15" s="201" customFormat="1" ht="15" customHeight="1" thickBot="1">
      <c r="A238" s="3768"/>
      <c r="B238" s="1175" t="s">
        <v>11</v>
      </c>
      <c r="C238" s="3383"/>
      <c r="D238" s="1113">
        <f>E238+L238+F238+G238+H238+I238+J238+K238</f>
        <v>1004156</v>
      </c>
      <c r="E238" s="1113">
        <v>114331</v>
      </c>
      <c r="F238" s="1176">
        <f>270726-255438</f>
        <v>15288</v>
      </c>
      <c r="G238" s="1176">
        <f>297451+255438</f>
        <v>552889</v>
      </c>
      <c r="H238" s="1176">
        <v>321648</v>
      </c>
      <c r="I238" s="1476">
        <v>0</v>
      </c>
      <c r="J238" s="1476">
        <v>0</v>
      </c>
      <c r="K238" s="1476">
        <v>0</v>
      </c>
      <c r="L238" s="1476">
        <v>0</v>
      </c>
      <c r="M238" s="1434">
        <f>SUM(G238:K238)</f>
        <v>874537</v>
      </c>
      <c r="N238" s="3774"/>
    </row>
    <row r="239" spans="1:15" s="201" customFormat="1" ht="15" customHeight="1" thickBot="1">
      <c r="A239" s="3768"/>
      <c r="B239" s="1175" t="s">
        <v>14</v>
      </c>
      <c r="C239" s="3383"/>
      <c r="D239" s="1113">
        <f>E239+L239+F239+G239+H239+I239+J239+K239</f>
        <v>30000</v>
      </c>
      <c r="E239" s="2303">
        <v>30000</v>
      </c>
      <c r="F239" s="1477">
        <v>0</v>
      </c>
      <c r="G239" s="1477">
        <v>0</v>
      </c>
      <c r="H239" s="1477">
        <v>0</v>
      </c>
      <c r="I239" s="1477">
        <v>0</v>
      </c>
      <c r="J239" s="1477">
        <v>0</v>
      </c>
      <c r="K239" s="1477">
        <v>0</v>
      </c>
      <c r="L239" s="2303"/>
      <c r="M239" s="1434">
        <f>SUM(G239:K239)</f>
        <v>0</v>
      </c>
      <c r="N239" s="3774"/>
    </row>
    <row r="240" spans="1:15" s="201" customFormat="1" ht="15" customHeight="1" thickBot="1">
      <c r="A240" s="3768"/>
      <c r="B240" s="1177" t="s">
        <v>17</v>
      </c>
      <c r="C240" s="3383"/>
      <c r="D240" s="1173">
        <f>D241</f>
        <v>5212325</v>
      </c>
      <c r="E240" s="1475">
        <f t="shared" ref="E240:M240" si="169">+E241</f>
        <v>169983</v>
      </c>
      <c r="F240" s="1178">
        <f>F241</f>
        <v>86631</v>
      </c>
      <c r="G240" s="1178">
        <f t="shared" ref="G240:K240" si="170">G241</f>
        <v>3133041</v>
      </c>
      <c r="H240" s="1178">
        <f t="shared" si="170"/>
        <v>1822670</v>
      </c>
      <c r="I240" s="1479">
        <f t="shared" si="170"/>
        <v>0</v>
      </c>
      <c r="J240" s="1479">
        <f t="shared" si="170"/>
        <v>0</v>
      </c>
      <c r="K240" s="1479">
        <f t="shared" si="170"/>
        <v>0</v>
      </c>
      <c r="L240" s="1479">
        <v>0</v>
      </c>
      <c r="M240" s="1174">
        <f t="shared" si="169"/>
        <v>4955711</v>
      </c>
      <c r="N240" s="3774"/>
    </row>
    <row r="241" spans="1:15" s="201" customFormat="1" ht="15" customHeight="1" thickBot="1">
      <c r="A241" s="3768"/>
      <c r="B241" s="2846" t="s">
        <v>19</v>
      </c>
      <c r="C241" s="3384"/>
      <c r="D241" s="1113">
        <f>E241+L241+F241+G241+H241+I241+J241+K241</f>
        <v>5212325</v>
      </c>
      <c r="E241" s="1113">
        <v>169983</v>
      </c>
      <c r="F241" s="1176">
        <f>1534116-1447485</f>
        <v>86631</v>
      </c>
      <c r="G241" s="1176">
        <f>1685556+1447485</f>
        <v>3133041</v>
      </c>
      <c r="H241" s="1176">
        <v>1822670</v>
      </c>
      <c r="I241" s="1477">
        <v>0</v>
      </c>
      <c r="J241" s="1477">
        <v>0</v>
      </c>
      <c r="K241" s="1477">
        <v>0</v>
      </c>
      <c r="L241" s="1476">
        <v>0</v>
      </c>
      <c r="M241" s="1434">
        <f>SUM(G241:K241)</f>
        <v>4955711</v>
      </c>
      <c r="N241" s="3776"/>
    </row>
    <row r="242" spans="1:15" s="201" customFormat="1" ht="15" customHeight="1" thickBot="1">
      <c r="A242" s="3768"/>
      <c r="B242" s="1785" t="s">
        <v>20</v>
      </c>
      <c r="C242" s="2118"/>
      <c r="D242" s="1170">
        <f>D245+D243</f>
        <v>5242325</v>
      </c>
      <c r="E242" s="1170">
        <f t="shared" ref="E242" si="171">E245+E243</f>
        <v>30000</v>
      </c>
      <c r="F242" s="1170">
        <f t="shared" ref="F242:K242" si="172">F245+F243</f>
        <v>0</v>
      </c>
      <c r="G242" s="1170">
        <f t="shared" si="172"/>
        <v>1780856</v>
      </c>
      <c r="H242" s="1170">
        <f t="shared" si="172"/>
        <v>1671276</v>
      </c>
      <c r="I242" s="1170">
        <f t="shared" si="172"/>
        <v>1760193</v>
      </c>
      <c r="J242" s="1417">
        <f t="shared" si="172"/>
        <v>0</v>
      </c>
      <c r="K242" s="1417">
        <f t="shared" si="172"/>
        <v>0</v>
      </c>
      <c r="L242" s="1170">
        <f>L245+L243</f>
        <v>0</v>
      </c>
      <c r="M242" s="3429" t="s">
        <v>52</v>
      </c>
      <c r="N242" s="3570" t="s">
        <v>183</v>
      </c>
    </row>
    <row r="243" spans="1:15" s="201" customFormat="1" ht="15" customHeight="1" thickBot="1">
      <c r="A243" s="3768"/>
      <c r="B243" s="1806" t="s">
        <v>380</v>
      </c>
      <c r="C243" s="3465" t="s">
        <v>177</v>
      </c>
      <c r="D243" s="1179">
        <f t="shared" ref="D243:K245" si="173">D244</f>
        <v>30000</v>
      </c>
      <c r="E243" s="2250">
        <f t="shared" si="173"/>
        <v>30000</v>
      </c>
      <c r="F243" s="1479">
        <f t="shared" si="173"/>
        <v>0</v>
      </c>
      <c r="G243" s="1479">
        <f t="shared" si="173"/>
        <v>0</v>
      </c>
      <c r="H243" s="1479">
        <f t="shared" si="173"/>
        <v>0</v>
      </c>
      <c r="I243" s="1479">
        <f t="shared" si="173"/>
        <v>0</v>
      </c>
      <c r="J243" s="1479">
        <f t="shared" si="173"/>
        <v>0</v>
      </c>
      <c r="K243" s="1479">
        <f t="shared" si="173"/>
        <v>0</v>
      </c>
      <c r="L243" s="2250">
        <f>L244</f>
        <v>0</v>
      </c>
      <c r="M243" s="3427"/>
      <c r="N243" s="3570"/>
    </row>
    <row r="244" spans="1:15" s="201" customFormat="1" ht="15" customHeight="1" thickBot="1">
      <c r="A244" s="3768"/>
      <c r="B244" s="2883" t="s">
        <v>14</v>
      </c>
      <c r="C244" s="3527"/>
      <c r="D244" s="1147">
        <f>E244+L244+F244+G244+H244+I244+J244+K244</f>
        <v>30000</v>
      </c>
      <c r="E244" s="2251">
        <v>30000</v>
      </c>
      <c r="F244" s="1207">
        <v>0</v>
      </c>
      <c r="G244" s="1207">
        <v>0</v>
      </c>
      <c r="H244" s="1207">
        <v>0</v>
      </c>
      <c r="I244" s="1207">
        <v>0</v>
      </c>
      <c r="J244" s="1207">
        <v>0</v>
      </c>
      <c r="K244" s="1207">
        <v>0</v>
      </c>
      <c r="L244" s="2251"/>
      <c r="M244" s="3427"/>
      <c r="N244" s="3570"/>
    </row>
    <row r="245" spans="1:15" s="201" customFormat="1" ht="15" customHeight="1" thickBot="1">
      <c r="A245" s="3768"/>
      <c r="B245" s="2210" t="s">
        <v>17</v>
      </c>
      <c r="C245" s="3527"/>
      <c r="D245" s="1480">
        <f t="shared" si="173"/>
        <v>5212325</v>
      </c>
      <c r="E245" s="1481">
        <f t="shared" ref="E245" si="174">+E246</f>
        <v>0</v>
      </c>
      <c r="F245" s="1479">
        <f t="shared" si="173"/>
        <v>0</v>
      </c>
      <c r="G245" s="1480">
        <f t="shared" si="173"/>
        <v>1780856</v>
      </c>
      <c r="H245" s="1480">
        <f t="shared" si="173"/>
        <v>1671276</v>
      </c>
      <c r="I245" s="1480">
        <f t="shared" si="173"/>
        <v>1760193</v>
      </c>
      <c r="J245" s="1481">
        <f t="shared" si="173"/>
        <v>0</v>
      </c>
      <c r="K245" s="1481">
        <f t="shared" si="173"/>
        <v>0</v>
      </c>
      <c r="L245" s="2211">
        <f>L246</f>
        <v>0</v>
      </c>
      <c r="M245" s="3427"/>
      <c r="N245" s="3570"/>
    </row>
    <row r="246" spans="1:15" s="201" customFormat="1" ht="15" customHeight="1" thickBot="1">
      <c r="A246" s="3768"/>
      <c r="B246" s="2884" t="s">
        <v>19</v>
      </c>
      <c r="C246" s="3765"/>
      <c r="D246" s="1405">
        <f>E246+L246+F246+G246+H246+I246+J246+K246</f>
        <v>5212325</v>
      </c>
      <c r="E246" s="1975">
        <v>0</v>
      </c>
      <c r="F246" s="1975">
        <f>219403-219403</f>
        <v>0</v>
      </c>
      <c r="G246" s="1423">
        <f>1561453+219403</f>
        <v>1780856</v>
      </c>
      <c r="H246" s="1423">
        <v>1671276</v>
      </c>
      <c r="I246" s="1423">
        <v>1760193</v>
      </c>
      <c r="J246" s="1975">
        <v>0</v>
      </c>
      <c r="K246" s="1975">
        <v>0</v>
      </c>
      <c r="L246" s="1424">
        <v>0</v>
      </c>
      <c r="M246" s="3428"/>
      <c r="N246" s="3571"/>
    </row>
    <row r="247" spans="1:15" s="201" customFormat="1" ht="27" customHeight="1">
      <c r="A247" s="3761" t="s">
        <v>90</v>
      </c>
      <c r="B247" s="1411" t="s">
        <v>455</v>
      </c>
      <c r="C247" s="1199" t="s">
        <v>160</v>
      </c>
      <c r="D247" s="571"/>
      <c r="E247" s="2244"/>
      <c r="F247" s="2238"/>
      <c r="G247" s="2238"/>
      <c r="H247" s="1690"/>
      <c r="I247" s="1690"/>
      <c r="J247" s="1690"/>
      <c r="K247" s="2239"/>
      <c r="L247" s="2238"/>
      <c r="M247" s="573"/>
      <c r="N247" s="3569" t="s">
        <v>558</v>
      </c>
    </row>
    <row r="248" spans="1:15" s="201" customFormat="1" ht="15" customHeight="1">
      <c r="A248" s="3762"/>
      <c r="B248" s="1168" t="s">
        <v>9</v>
      </c>
      <c r="C248" s="2118"/>
      <c r="D248" s="1170">
        <f>D249+D251</f>
        <v>161298</v>
      </c>
      <c r="E248" s="1417">
        <f t="shared" ref="E248" si="175">E249+E251</f>
        <v>0</v>
      </c>
      <c r="F248" s="1180">
        <f>F249+F253</f>
        <v>0</v>
      </c>
      <c r="G248" s="1170">
        <f t="shared" ref="G248" si="176">G249+G253</f>
        <v>1500</v>
      </c>
      <c r="H248" s="1170">
        <f>H249+H251</f>
        <v>159798</v>
      </c>
      <c r="I248" s="1417">
        <f>I249+I251</f>
        <v>0</v>
      </c>
      <c r="J248" s="1417">
        <f t="shared" ref="J248:K248" si="177">J249+J253</f>
        <v>0</v>
      </c>
      <c r="K248" s="1417">
        <f t="shared" si="177"/>
        <v>0</v>
      </c>
      <c r="L248" s="1417">
        <f t="shared" ref="L248" si="178">+L251</f>
        <v>0</v>
      </c>
      <c r="M248" s="1171">
        <f>+M251+M249</f>
        <v>161298</v>
      </c>
      <c r="N248" s="3570"/>
      <c r="O248" s="201" t="s">
        <v>337</v>
      </c>
    </row>
    <row r="249" spans="1:15" s="201" customFormat="1" ht="15" customHeight="1">
      <c r="A249" s="3762"/>
      <c r="B249" s="1172" t="s">
        <v>22</v>
      </c>
      <c r="C249" s="3448" t="s">
        <v>177</v>
      </c>
      <c r="D249" s="1173">
        <f>D250</f>
        <v>26745</v>
      </c>
      <c r="E249" s="1479">
        <f t="shared" ref="E249" si="179">E250</f>
        <v>0</v>
      </c>
      <c r="F249" s="1501">
        <f>F250</f>
        <v>0</v>
      </c>
      <c r="G249" s="1178">
        <f>G250</f>
        <v>1500</v>
      </c>
      <c r="H249" s="1178">
        <f t="shared" ref="H249:K249" si="180">H250</f>
        <v>25245</v>
      </c>
      <c r="I249" s="1219">
        <f t="shared" si="180"/>
        <v>0</v>
      </c>
      <c r="J249" s="1219">
        <f t="shared" si="180"/>
        <v>0</v>
      </c>
      <c r="K249" s="1219">
        <f t="shared" si="180"/>
        <v>0</v>
      </c>
      <c r="L249" s="1479">
        <f>L250</f>
        <v>0</v>
      </c>
      <c r="M249" s="1174">
        <f>M250</f>
        <v>26745</v>
      </c>
      <c r="N249" s="3570"/>
    </row>
    <row r="250" spans="1:15" s="201" customFormat="1" ht="15" customHeight="1">
      <c r="A250" s="3762"/>
      <c r="B250" s="1175" t="s">
        <v>11</v>
      </c>
      <c r="C250" s="3383"/>
      <c r="D250" s="1113">
        <f>E250+L250+F250+G250+H250+I250+J250+K250</f>
        <v>26745</v>
      </c>
      <c r="E250" s="1476">
        <v>0</v>
      </c>
      <c r="F250" s="1497">
        <v>0</v>
      </c>
      <c r="G250" s="1176">
        <v>1500</v>
      </c>
      <c r="H250" s="1176">
        <v>25245</v>
      </c>
      <c r="I250" s="1219">
        <v>0</v>
      </c>
      <c r="J250" s="1476">
        <v>0</v>
      </c>
      <c r="K250" s="1476">
        <v>0</v>
      </c>
      <c r="L250" s="1476">
        <v>0</v>
      </c>
      <c r="M250" s="1434">
        <f>SUM(G250:K250)</f>
        <v>26745</v>
      </c>
      <c r="N250" s="3570"/>
    </row>
    <row r="251" spans="1:15" s="201" customFormat="1" ht="15" customHeight="1">
      <c r="A251" s="3762"/>
      <c r="B251" s="1177" t="s">
        <v>17</v>
      </c>
      <c r="C251" s="3383"/>
      <c r="D251" s="1173">
        <f>D252</f>
        <v>134553</v>
      </c>
      <c r="E251" s="1479">
        <f t="shared" ref="E251:M251" si="181">+E252</f>
        <v>0</v>
      </c>
      <c r="F251" s="2668">
        <f>F252</f>
        <v>0</v>
      </c>
      <c r="G251" s="2668">
        <v>0</v>
      </c>
      <c r="H251" s="1178">
        <f>H252</f>
        <v>134553</v>
      </c>
      <c r="I251" s="1219">
        <v>0</v>
      </c>
      <c r="J251" s="1219">
        <v>0</v>
      </c>
      <c r="K251" s="1219">
        <v>0</v>
      </c>
      <c r="L251" s="1479">
        <v>0</v>
      </c>
      <c r="M251" s="1174">
        <f t="shared" si="181"/>
        <v>134553</v>
      </c>
      <c r="N251" s="3570"/>
    </row>
    <row r="252" spans="1:15" s="201" customFormat="1" ht="15" customHeight="1">
      <c r="A252" s="3762"/>
      <c r="B252" s="2846" t="s">
        <v>19</v>
      </c>
      <c r="C252" s="3384"/>
      <c r="D252" s="1113">
        <f>E252+L252+F252+G252+H252+I252+J252+K252</f>
        <v>134553</v>
      </c>
      <c r="E252" s="1476">
        <v>0</v>
      </c>
      <c r="F252" s="2669">
        <v>0</v>
      </c>
      <c r="G252" s="2669">
        <v>0</v>
      </c>
      <c r="H252" s="1176">
        <v>134553</v>
      </c>
      <c r="I252" s="1476">
        <v>0</v>
      </c>
      <c r="J252" s="1476">
        <v>0</v>
      </c>
      <c r="K252" s="1476">
        <v>0</v>
      </c>
      <c r="L252" s="1476">
        <v>0</v>
      </c>
      <c r="M252" s="1434">
        <f>SUM(G252:K252)</f>
        <v>134553</v>
      </c>
      <c r="N252" s="3764"/>
    </row>
    <row r="253" spans="1:15" s="201" customFormat="1" ht="15" customHeight="1">
      <c r="A253" s="3762"/>
      <c r="B253" s="1168" t="s">
        <v>20</v>
      </c>
      <c r="C253" s="2118"/>
      <c r="D253" s="1170">
        <f t="shared" ref="D253:K254" si="182">D254</f>
        <v>134553</v>
      </c>
      <c r="E253" s="1417">
        <f t="shared" ref="E253" si="183">+E256</f>
        <v>0</v>
      </c>
      <c r="F253" s="1493">
        <f t="shared" si="182"/>
        <v>0</v>
      </c>
      <c r="G253" s="1493">
        <f t="shared" si="182"/>
        <v>0</v>
      </c>
      <c r="H253" s="1493">
        <f t="shared" si="182"/>
        <v>0</v>
      </c>
      <c r="I253" s="1170">
        <f t="shared" si="182"/>
        <v>134553</v>
      </c>
      <c r="J253" s="1417">
        <f t="shared" si="182"/>
        <v>0</v>
      </c>
      <c r="K253" s="1417">
        <f t="shared" si="182"/>
        <v>0</v>
      </c>
      <c r="L253" s="1417">
        <f>L254</f>
        <v>0</v>
      </c>
      <c r="M253" s="3429" t="s">
        <v>52</v>
      </c>
      <c r="N253" s="3570" t="s">
        <v>183</v>
      </c>
    </row>
    <row r="254" spans="1:15" s="201" customFormat="1" ht="15" customHeight="1">
      <c r="A254" s="3762"/>
      <c r="B254" s="1177" t="s">
        <v>17</v>
      </c>
      <c r="C254" s="3465" t="s">
        <v>177</v>
      </c>
      <c r="D254" s="1179">
        <f t="shared" si="182"/>
        <v>134553</v>
      </c>
      <c r="E254" s="1479">
        <f t="shared" si="182"/>
        <v>0</v>
      </c>
      <c r="F254" s="1494">
        <f t="shared" si="182"/>
        <v>0</v>
      </c>
      <c r="G254" s="1494">
        <f t="shared" si="182"/>
        <v>0</v>
      </c>
      <c r="H254" s="1494">
        <f t="shared" si="182"/>
        <v>0</v>
      </c>
      <c r="I254" s="1179">
        <f t="shared" si="182"/>
        <v>134553</v>
      </c>
      <c r="J254" s="1219">
        <f t="shared" si="182"/>
        <v>0</v>
      </c>
      <c r="K254" s="1219">
        <f t="shared" si="182"/>
        <v>0</v>
      </c>
      <c r="L254" s="1219">
        <f>L255</f>
        <v>0</v>
      </c>
      <c r="M254" s="3427"/>
      <c r="N254" s="3570"/>
    </row>
    <row r="255" spans="1:15" s="201" customFormat="1" ht="15" customHeight="1" thickBot="1">
      <c r="A255" s="3763"/>
      <c r="B255" s="2730" t="s">
        <v>19</v>
      </c>
      <c r="C255" s="3439"/>
      <c r="D255" s="1679">
        <f>E255+L255+F255+G255+H255+I255+J255+K255</f>
        <v>134553</v>
      </c>
      <c r="E255" s="1975">
        <v>0</v>
      </c>
      <c r="F255" s="1495">
        <v>0</v>
      </c>
      <c r="G255" s="1495">
        <v>0</v>
      </c>
      <c r="H255" s="1495">
        <v>0</v>
      </c>
      <c r="I255" s="1423">
        <v>134553</v>
      </c>
      <c r="J255" s="1975">
        <v>0</v>
      </c>
      <c r="K255" s="1975">
        <v>0</v>
      </c>
      <c r="L255" s="1424">
        <v>0</v>
      </c>
      <c r="M255" s="3428"/>
      <c r="N255" s="3571"/>
    </row>
    <row r="256" spans="1:15" s="201" customFormat="1" ht="36.75" customHeight="1">
      <c r="A256" s="3760" t="s">
        <v>243</v>
      </c>
      <c r="B256" s="1411" t="s">
        <v>454</v>
      </c>
      <c r="C256" s="1199" t="s">
        <v>72</v>
      </c>
      <c r="D256" s="571"/>
      <c r="E256" s="2244"/>
      <c r="F256" s="2238"/>
      <c r="G256" s="2238"/>
      <c r="H256" s="1690"/>
      <c r="I256" s="1690"/>
      <c r="J256" s="1690"/>
      <c r="K256" s="2239"/>
      <c r="L256" s="2238"/>
      <c r="M256" s="573"/>
      <c r="N256" s="3569" t="s">
        <v>558</v>
      </c>
    </row>
    <row r="257" spans="1:15" s="201" customFormat="1" ht="15" customHeight="1">
      <c r="A257" s="3487"/>
      <c r="B257" s="1168" t="s">
        <v>9</v>
      </c>
      <c r="C257" s="2118"/>
      <c r="D257" s="1170">
        <f>D258+D261</f>
        <v>7217997</v>
      </c>
      <c r="E257" s="1170">
        <f t="shared" ref="E257" si="184">E258+E261</f>
        <v>191980</v>
      </c>
      <c r="F257" s="1180">
        <f>+F261+F258</f>
        <v>0</v>
      </c>
      <c r="G257" s="1170">
        <f>+G261+G258</f>
        <v>4414172</v>
      </c>
      <c r="H257" s="1170">
        <f t="shared" ref="H257:K257" si="185">+H261+H258</f>
        <v>2611845</v>
      </c>
      <c r="I257" s="1417">
        <f t="shared" si="185"/>
        <v>0</v>
      </c>
      <c r="J257" s="1417">
        <f t="shared" si="185"/>
        <v>0</v>
      </c>
      <c r="K257" s="1417">
        <f t="shared" si="185"/>
        <v>0</v>
      </c>
      <c r="L257" s="1496">
        <f>L258</f>
        <v>0</v>
      </c>
      <c r="M257" s="1171">
        <f>+M261+M258</f>
        <v>7026017</v>
      </c>
      <c r="N257" s="3570"/>
      <c r="O257" s="201" t="s">
        <v>337</v>
      </c>
    </row>
    <row r="258" spans="1:15" s="201" customFormat="1" ht="15" customHeight="1">
      <c r="A258" s="3487"/>
      <c r="B258" s="1172" t="s">
        <v>22</v>
      </c>
      <c r="C258" s="3448" t="s">
        <v>177</v>
      </c>
      <c r="D258" s="1173">
        <f>D259+D260</f>
        <v>1203400</v>
      </c>
      <c r="E258" s="1173">
        <f t="shared" ref="E258:K258" si="186">E259+E260</f>
        <v>149497</v>
      </c>
      <c r="F258" s="1181">
        <f t="shared" si="186"/>
        <v>0</v>
      </c>
      <c r="G258" s="1173">
        <f t="shared" si="186"/>
        <v>662126</v>
      </c>
      <c r="H258" s="1173">
        <f t="shared" si="186"/>
        <v>391777</v>
      </c>
      <c r="I258" s="1476">
        <f t="shared" si="186"/>
        <v>0</v>
      </c>
      <c r="J258" s="1476">
        <f t="shared" si="186"/>
        <v>0</v>
      </c>
      <c r="K258" s="1476">
        <f t="shared" si="186"/>
        <v>0</v>
      </c>
      <c r="L258" s="1181">
        <f>L259+L260</f>
        <v>0</v>
      </c>
      <c r="M258" s="1174">
        <f>M259</f>
        <v>1053903</v>
      </c>
      <c r="N258" s="3570"/>
    </row>
    <row r="259" spans="1:15" s="201" customFormat="1" ht="15" customHeight="1">
      <c r="A259" s="3487"/>
      <c r="B259" s="1175" t="s">
        <v>11</v>
      </c>
      <c r="C259" s="3383"/>
      <c r="D259" s="1113">
        <f>E259+L259+F259+G259+H259+I259+J259+K259</f>
        <v>1083400</v>
      </c>
      <c r="E259" s="1113">
        <v>29497</v>
      </c>
      <c r="F259" s="1497">
        <v>0</v>
      </c>
      <c r="G259" s="1176">
        <v>662126</v>
      </c>
      <c r="H259" s="1176">
        <v>391777</v>
      </c>
      <c r="I259" s="1476">
        <v>0</v>
      </c>
      <c r="J259" s="1476">
        <v>0</v>
      </c>
      <c r="K259" s="1476">
        <v>0</v>
      </c>
      <c r="L259" s="1477">
        <v>0</v>
      </c>
      <c r="M259" s="1434">
        <f>SUM(G259:K259)</f>
        <v>1053903</v>
      </c>
      <c r="N259" s="3570"/>
    </row>
    <row r="260" spans="1:15" s="201" customFormat="1" ht="15" customHeight="1">
      <c r="A260" s="3487"/>
      <c r="B260" s="1175" t="s">
        <v>14</v>
      </c>
      <c r="C260" s="3383"/>
      <c r="D260" s="1498">
        <f>E260+L260+F260+G260+H260+I260+J260+K260</f>
        <v>120000</v>
      </c>
      <c r="E260" s="1499">
        <v>120000</v>
      </c>
      <c r="F260" s="1477">
        <v>0</v>
      </c>
      <c r="G260" s="1477">
        <v>0</v>
      </c>
      <c r="H260" s="1477">
        <v>0</v>
      </c>
      <c r="I260" s="1477">
        <v>0</v>
      </c>
      <c r="J260" s="1477">
        <v>0</v>
      </c>
      <c r="K260" s="1477">
        <v>0</v>
      </c>
      <c r="L260" s="1477">
        <v>0</v>
      </c>
      <c r="M260" s="1434">
        <f>SUM(G260:K260)</f>
        <v>0</v>
      </c>
      <c r="N260" s="3570"/>
    </row>
    <row r="261" spans="1:15" s="201" customFormat="1" ht="15" customHeight="1">
      <c r="A261" s="3487"/>
      <c r="B261" s="1177" t="s">
        <v>17</v>
      </c>
      <c r="C261" s="3383"/>
      <c r="D261" s="1173">
        <f>D262</f>
        <v>6014597</v>
      </c>
      <c r="E261" s="1475">
        <f t="shared" ref="E261:M261" si="187">+E262</f>
        <v>42483</v>
      </c>
      <c r="F261" s="1501">
        <f>F262</f>
        <v>0</v>
      </c>
      <c r="G261" s="1178">
        <f t="shared" ref="G261:K261" si="188">G262</f>
        <v>3752046</v>
      </c>
      <c r="H261" s="1178">
        <f t="shared" si="188"/>
        <v>2220068</v>
      </c>
      <c r="I261" s="1479">
        <f t="shared" si="188"/>
        <v>0</v>
      </c>
      <c r="J261" s="1479">
        <f t="shared" si="188"/>
        <v>0</v>
      </c>
      <c r="K261" s="1479">
        <f t="shared" si="188"/>
        <v>0</v>
      </c>
      <c r="L261" s="1500">
        <v>0</v>
      </c>
      <c r="M261" s="1174">
        <f t="shared" si="187"/>
        <v>5972114</v>
      </c>
      <c r="N261" s="3570"/>
    </row>
    <row r="262" spans="1:15" s="201" customFormat="1" ht="15" customHeight="1">
      <c r="A262" s="3487"/>
      <c r="B262" s="2846" t="s">
        <v>19</v>
      </c>
      <c r="C262" s="3384"/>
      <c r="D262" s="1113">
        <f>SUM(E262:K262)</f>
        <v>6014597</v>
      </c>
      <c r="E262" s="1113">
        <v>42483</v>
      </c>
      <c r="F262" s="1497">
        <v>0</v>
      </c>
      <c r="G262" s="1176">
        <v>3752046</v>
      </c>
      <c r="H262" s="1176">
        <v>2220068</v>
      </c>
      <c r="I262" s="1477">
        <v>0</v>
      </c>
      <c r="J262" s="1477">
        <v>0</v>
      </c>
      <c r="K262" s="1477">
        <v>0</v>
      </c>
      <c r="L262" s="1477">
        <v>0</v>
      </c>
      <c r="M262" s="1434">
        <f>SUM(G262:K262)</f>
        <v>5972114</v>
      </c>
      <c r="N262" s="3764"/>
    </row>
    <row r="263" spans="1:15" s="201" customFormat="1" ht="15" customHeight="1">
      <c r="A263" s="3487"/>
      <c r="B263" s="1168" t="s">
        <v>20</v>
      </c>
      <c r="C263" s="2118"/>
      <c r="D263" s="1170">
        <f>D266+D264</f>
        <v>6134597</v>
      </c>
      <c r="E263" s="1502">
        <f t="shared" ref="E263:K263" si="189">E266+E264</f>
        <v>120000</v>
      </c>
      <c r="F263" s="1180">
        <f t="shared" si="189"/>
        <v>0</v>
      </c>
      <c r="G263" s="1170">
        <f t="shared" si="189"/>
        <v>237555</v>
      </c>
      <c r="H263" s="1170">
        <f t="shared" si="189"/>
        <v>4513210</v>
      </c>
      <c r="I263" s="1170">
        <f t="shared" si="189"/>
        <v>1263832</v>
      </c>
      <c r="J263" s="1417">
        <f t="shared" si="189"/>
        <v>0</v>
      </c>
      <c r="K263" s="1417">
        <f t="shared" si="189"/>
        <v>0</v>
      </c>
      <c r="L263" s="1180">
        <f>L266+L264</f>
        <v>0</v>
      </c>
      <c r="M263" s="3429" t="s">
        <v>52</v>
      </c>
      <c r="N263" s="3570" t="s">
        <v>183</v>
      </c>
    </row>
    <row r="264" spans="1:15" s="201" customFormat="1" ht="15" customHeight="1">
      <c r="A264" s="3487"/>
      <c r="B264" s="1177" t="s">
        <v>380</v>
      </c>
      <c r="C264" s="3465" t="s">
        <v>177</v>
      </c>
      <c r="D264" s="1179">
        <f t="shared" ref="D264:K266" si="190">D265</f>
        <v>120000</v>
      </c>
      <c r="E264" s="1503">
        <f t="shared" ref="E264:E266" si="191">+E265</f>
        <v>120000</v>
      </c>
      <c r="F264" s="1500">
        <f t="shared" si="190"/>
        <v>0</v>
      </c>
      <c r="G264" s="1479">
        <f t="shared" si="190"/>
        <v>0</v>
      </c>
      <c r="H264" s="1479">
        <f t="shared" si="190"/>
        <v>0</v>
      </c>
      <c r="I264" s="1479">
        <f t="shared" si="190"/>
        <v>0</v>
      </c>
      <c r="J264" s="1479">
        <f t="shared" si="190"/>
        <v>0</v>
      </c>
      <c r="K264" s="1479">
        <f t="shared" si="190"/>
        <v>0</v>
      </c>
      <c r="L264" s="1504">
        <f>L265</f>
        <v>0</v>
      </c>
      <c r="M264" s="3427"/>
      <c r="N264" s="3570"/>
    </row>
    <row r="265" spans="1:15" s="201" customFormat="1" ht="15" customHeight="1">
      <c r="A265" s="3487"/>
      <c r="B265" s="2879" t="s">
        <v>14</v>
      </c>
      <c r="C265" s="3527"/>
      <c r="D265" s="1147">
        <f>E265+L265+F265+G265+H265+I265+J265+K265</f>
        <v>120000</v>
      </c>
      <c r="E265" s="1505">
        <v>120000</v>
      </c>
      <c r="F265" s="1507">
        <v>0</v>
      </c>
      <c r="G265" s="1207">
        <v>0</v>
      </c>
      <c r="H265" s="1207">
        <v>0</v>
      </c>
      <c r="I265" s="1207">
        <v>0</v>
      </c>
      <c r="J265" s="1207">
        <v>0</v>
      </c>
      <c r="K265" s="1207">
        <v>0</v>
      </c>
      <c r="L265" s="1506">
        <v>0</v>
      </c>
      <c r="M265" s="3427"/>
      <c r="N265" s="3570"/>
    </row>
    <row r="266" spans="1:15" s="201" customFormat="1" ht="15" customHeight="1">
      <c r="A266" s="3487"/>
      <c r="B266" s="1508" t="s">
        <v>17</v>
      </c>
      <c r="C266" s="3527"/>
      <c r="D266" s="1480">
        <f t="shared" si="190"/>
        <v>6014597</v>
      </c>
      <c r="E266" s="1481">
        <f t="shared" si="191"/>
        <v>0</v>
      </c>
      <c r="F266" s="1510">
        <f t="shared" si="190"/>
        <v>0</v>
      </c>
      <c r="G266" s="1480">
        <f t="shared" si="190"/>
        <v>237555</v>
      </c>
      <c r="H266" s="1480">
        <f t="shared" si="190"/>
        <v>4513210</v>
      </c>
      <c r="I266" s="1480">
        <f t="shared" si="190"/>
        <v>1263832</v>
      </c>
      <c r="J266" s="1481">
        <f t="shared" si="190"/>
        <v>0</v>
      </c>
      <c r="K266" s="1481">
        <f t="shared" si="190"/>
        <v>0</v>
      </c>
      <c r="L266" s="1509">
        <f>L267</f>
        <v>0</v>
      </c>
      <c r="M266" s="3427"/>
      <c r="N266" s="3570"/>
    </row>
    <row r="267" spans="1:15" s="201" customFormat="1" ht="15" customHeight="1" thickBot="1">
      <c r="A267" s="3486"/>
      <c r="B267" s="2730" t="s">
        <v>19</v>
      </c>
      <c r="C267" s="3765"/>
      <c r="D267" s="1679">
        <f>E267+L267+F267+G267+H267+I267+J267+K267</f>
        <v>6014597</v>
      </c>
      <c r="E267" s="1975">
        <v>0</v>
      </c>
      <c r="F267" s="1512">
        <v>0</v>
      </c>
      <c r="G267" s="1423">
        <v>237555</v>
      </c>
      <c r="H267" s="1423">
        <v>4513210</v>
      </c>
      <c r="I267" s="1423">
        <v>1263832</v>
      </c>
      <c r="J267" s="1975">
        <v>0</v>
      </c>
      <c r="K267" s="1975">
        <v>0</v>
      </c>
      <c r="L267" s="1511">
        <v>0</v>
      </c>
      <c r="M267" s="3428"/>
      <c r="N267" s="3571"/>
    </row>
    <row r="268" spans="1:15" ht="23.25" customHeight="1" thickBot="1">
      <c r="A268" s="165" t="s">
        <v>161</v>
      </c>
      <c r="B268" s="576"/>
      <c r="C268" s="576"/>
      <c r="D268" s="576"/>
      <c r="E268" s="576"/>
      <c r="F268" s="576"/>
      <c r="G268" s="576"/>
      <c r="H268" s="576"/>
      <c r="I268" s="576"/>
      <c r="J268" s="576"/>
      <c r="K268" s="576"/>
      <c r="L268" s="576"/>
      <c r="M268" s="577"/>
      <c r="N268" s="578"/>
    </row>
    <row r="269" spans="1:15" ht="18.75" customHeight="1" thickBot="1">
      <c r="A269" s="579"/>
      <c r="B269" s="180" t="s">
        <v>67</v>
      </c>
      <c r="C269" s="374"/>
      <c r="D269" s="182">
        <f>+D270+D271</f>
        <v>16198501</v>
      </c>
      <c r="E269" s="182">
        <f t="shared" ref="E269" si="192">+E270+E271</f>
        <v>10342800</v>
      </c>
      <c r="F269" s="182">
        <f t="shared" ref="F269:M269" si="193">+F270+F271</f>
        <v>2647000</v>
      </c>
      <c r="G269" s="182">
        <f t="shared" si="193"/>
        <v>2788899</v>
      </c>
      <c r="H269" s="182">
        <f t="shared" si="193"/>
        <v>83899</v>
      </c>
      <c r="I269" s="182">
        <f t="shared" si="193"/>
        <v>97429</v>
      </c>
      <c r="J269" s="182">
        <f t="shared" si="193"/>
        <v>113579</v>
      </c>
      <c r="K269" s="182">
        <f t="shared" si="193"/>
        <v>124895</v>
      </c>
      <c r="L269" s="182">
        <f>+L270+L271</f>
        <v>0</v>
      </c>
      <c r="M269" s="12">
        <f t="shared" si="193"/>
        <v>3208701</v>
      </c>
      <c r="N269" s="3591"/>
    </row>
    <row r="270" spans="1:15" ht="19.5" customHeight="1" thickBot="1">
      <c r="A270" s="491"/>
      <c r="B270" s="183" t="s">
        <v>68</v>
      </c>
      <c r="C270" s="185"/>
      <c r="D270" s="185">
        <f>D281+D285</f>
        <v>16198501</v>
      </c>
      <c r="E270" s="185">
        <f t="shared" ref="E270:K270" si="194">E281+E285</f>
        <v>10342800</v>
      </c>
      <c r="F270" s="185">
        <f t="shared" si="194"/>
        <v>2647000</v>
      </c>
      <c r="G270" s="185">
        <f t="shared" si="194"/>
        <v>2788899</v>
      </c>
      <c r="H270" s="185">
        <f t="shared" si="194"/>
        <v>83899</v>
      </c>
      <c r="I270" s="185">
        <f t="shared" si="194"/>
        <v>97429</v>
      </c>
      <c r="J270" s="185">
        <f t="shared" si="194"/>
        <v>113579</v>
      </c>
      <c r="K270" s="185">
        <f t="shared" si="194"/>
        <v>124895</v>
      </c>
      <c r="L270" s="185">
        <f>L281+L285</f>
        <v>0</v>
      </c>
      <c r="M270" s="14">
        <f>SUM(G270:K270)</f>
        <v>3208701</v>
      </c>
      <c r="N270" s="3591"/>
    </row>
    <row r="271" spans="1:15" ht="14.25" hidden="1" customHeight="1" thickBot="1">
      <c r="A271" s="491"/>
      <c r="B271" s="580" t="s">
        <v>8</v>
      </c>
      <c r="C271" s="566"/>
      <c r="D271" s="566">
        <v>0</v>
      </c>
      <c r="E271" s="566">
        <v>0</v>
      </c>
      <c r="F271" s="566">
        <v>0</v>
      </c>
      <c r="G271" s="566">
        <v>0</v>
      </c>
      <c r="H271" s="566">
        <f>+H281</f>
        <v>0</v>
      </c>
      <c r="I271" s="566">
        <f>+I281</f>
        <v>0</v>
      </c>
      <c r="J271" s="566">
        <f>+J281</f>
        <v>0</v>
      </c>
      <c r="K271" s="566">
        <f>+K281</f>
        <v>0</v>
      </c>
      <c r="L271" s="566">
        <v>0</v>
      </c>
      <c r="M271" s="126">
        <f>SUM(F271:K271)</f>
        <v>0</v>
      </c>
      <c r="N271" s="3591"/>
    </row>
    <row r="272" spans="1:15" ht="16.5" customHeight="1" thickBot="1">
      <c r="A272" s="309"/>
      <c r="B272" s="155" t="s">
        <v>9</v>
      </c>
      <c r="C272" s="2958"/>
      <c r="D272" s="130">
        <f t="shared" ref="D272:K272" si="195">+D273</f>
        <v>16198501</v>
      </c>
      <c r="E272" s="130">
        <f t="shared" si="195"/>
        <v>10342800</v>
      </c>
      <c r="F272" s="130">
        <f t="shared" si="195"/>
        <v>2647000</v>
      </c>
      <c r="G272" s="130">
        <f t="shared" si="195"/>
        <v>2788899</v>
      </c>
      <c r="H272" s="130">
        <f t="shared" si="195"/>
        <v>83899</v>
      </c>
      <c r="I272" s="130">
        <f t="shared" si="195"/>
        <v>97429</v>
      </c>
      <c r="J272" s="130">
        <f t="shared" si="195"/>
        <v>113579</v>
      </c>
      <c r="K272" s="130">
        <f t="shared" si="195"/>
        <v>124895</v>
      </c>
      <c r="L272" s="130">
        <f>+L273</f>
        <v>0</v>
      </c>
      <c r="M272" s="2959">
        <f>+M273</f>
        <v>3208701</v>
      </c>
      <c r="N272" s="3591"/>
    </row>
    <row r="273" spans="1:16" ht="15" customHeight="1" thickBot="1">
      <c r="A273" s="169"/>
      <c r="B273" s="1951" t="s">
        <v>10</v>
      </c>
      <c r="C273" s="3788" t="s">
        <v>52</v>
      </c>
      <c r="D273" s="1981">
        <f>+D276+D274</f>
        <v>16198501</v>
      </c>
      <c r="E273" s="1981">
        <f t="shared" ref="E273:K273" si="196">+E276+E274</f>
        <v>10342800</v>
      </c>
      <c r="F273" s="1981">
        <f t="shared" si="196"/>
        <v>2647000</v>
      </c>
      <c r="G273" s="1981">
        <f t="shared" si="196"/>
        <v>2788899</v>
      </c>
      <c r="H273" s="1981">
        <f t="shared" si="196"/>
        <v>83899</v>
      </c>
      <c r="I273" s="1981">
        <f t="shared" si="196"/>
        <v>97429</v>
      </c>
      <c r="J273" s="1981">
        <f t="shared" si="196"/>
        <v>113579</v>
      </c>
      <c r="K273" s="1981">
        <f t="shared" si="196"/>
        <v>124895</v>
      </c>
      <c r="L273" s="1981">
        <f>+L276+L274</f>
        <v>0</v>
      </c>
      <c r="M273" s="1982">
        <f>+M274+M275+M276</f>
        <v>3208701</v>
      </c>
      <c r="N273" s="3591"/>
    </row>
    <row r="274" spans="1:16" s="953" customFormat="1" ht="15" customHeight="1" thickBot="1">
      <c r="A274" s="169"/>
      <c r="B274" s="1978" t="s">
        <v>11</v>
      </c>
      <c r="C274" s="3789"/>
      <c r="D274" s="1979">
        <f>D287</f>
        <v>503701</v>
      </c>
      <c r="E274" s="1980">
        <f t="shared" ref="E274:K274" si="197">E287</f>
        <v>0</v>
      </c>
      <c r="F274" s="1980">
        <f t="shared" si="197"/>
        <v>0</v>
      </c>
      <c r="G274" s="1980">
        <f t="shared" si="197"/>
        <v>83899</v>
      </c>
      <c r="H274" s="1980">
        <f t="shared" si="197"/>
        <v>83899</v>
      </c>
      <c r="I274" s="1980">
        <f t="shared" si="197"/>
        <v>97429</v>
      </c>
      <c r="J274" s="1980">
        <f t="shared" si="197"/>
        <v>113579</v>
      </c>
      <c r="K274" s="1980">
        <f t="shared" si="197"/>
        <v>124895</v>
      </c>
      <c r="L274" s="1980">
        <f>L287</f>
        <v>0</v>
      </c>
      <c r="M274" s="1434">
        <f>SUM(G274:K274)</f>
        <v>503701</v>
      </c>
      <c r="N274" s="3591"/>
    </row>
    <row r="275" spans="1:16" ht="13.5" hidden="1" customHeight="1" thickBot="1">
      <c r="A275" s="169"/>
      <c r="B275" s="1976" t="s">
        <v>53</v>
      </c>
      <c r="C275" s="3789"/>
      <c r="D275" s="2670">
        <f t="shared" ref="D275:L275" si="198">D291</f>
        <v>0</v>
      </c>
      <c r="E275" s="1474">
        <f t="shared" si="198"/>
        <v>0</v>
      </c>
      <c r="F275" s="1474">
        <f t="shared" si="198"/>
        <v>0</v>
      </c>
      <c r="G275" s="1474">
        <f t="shared" si="198"/>
        <v>0</v>
      </c>
      <c r="H275" s="1474">
        <f t="shared" si="198"/>
        <v>0</v>
      </c>
      <c r="I275" s="1474">
        <f t="shared" si="198"/>
        <v>0</v>
      </c>
      <c r="J275" s="1474">
        <f t="shared" si="198"/>
        <v>0</v>
      </c>
      <c r="K275" s="1474">
        <f t="shared" si="198"/>
        <v>0</v>
      </c>
      <c r="L275" s="1474">
        <f t="shared" si="198"/>
        <v>0</v>
      </c>
      <c r="M275" s="1434">
        <f>SUM(F275:K275)</f>
        <v>0</v>
      </c>
      <c r="N275" s="3591"/>
    </row>
    <row r="276" spans="1:16" ht="15.75" customHeight="1" thickBot="1">
      <c r="A276" s="1973"/>
      <c r="B276" s="22" t="s">
        <v>164</v>
      </c>
      <c r="C276" s="3789"/>
      <c r="D276" s="1977">
        <f t="shared" ref="D276:E276" si="199">+D283+D291</f>
        <v>15694800</v>
      </c>
      <c r="E276" s="1977">
        <f t="shared" si="199"/>
        <v>10342800</v>
      </c>
      <c r="F276" s="1977">
        <f t="shared" ref="F276:H276" si="200">+F283</f>
        <v>2647000</v>
      </c>
      <c r="G276" s="1977">
        <f t="shared" si="200"/>
        <v>2705000</v>
      </c>
      <c r="H276" s="1977">
        <f t="shared" si="200"/>
        <v>0</v>
      </c>
      <c r="I276" s="1977">
        <f>+I283</f>
        <v>0</v>
      </c>
      <c r="J276" s="1977">
        <f>+J283</f>
        <v>0</v>
      </c>
      <c r="K276" s="1977">
        <f>+K283</f>
        <v>0</v>
      </c>
      <c r="L276" s="1977">
        <f>+L283</f>
        <v>0</v>
      </c>
      <c r="M276" s="1434">
        <f>SUM(G276:K276)</f>
        <v>2705000</v>
      </c>
      <c r="N276" s="3591"/>
    </row>
    <row r="277" spans="1:16" ht="18.75" hidden="1" customHeight="1">
      <c r="A277" s="1974"/>
      <c r="B277" s="1966" t="s">
        <v>20</v>
      </c>
      <c r="C277" s="1967"/>
      <c r="D277" s="1968">
        <f t="shared" ref="D277:H278" si="201">D278</f>
        <v>0</v>
      </c>
      <c r="E277" s="1968">
        <f t="shared" si="201"/>
        <v>0</v>
      </c>
      <c r="F277" s="1968">
        <f t="shared" si="201"/>
        <v>0</v>
      </c>
      <c r="G277" s="1968">
        <f t="shared" si="201"/>
        <v>0</v>
      </c>
      <c r="H277" s="1968">
        <f t="shared" si="201"/>
        <v>0</v>
      </c>
      <c r="I277" s="1968">
        <f t="shared" ref="I277:K278" si="202">I278</f>
        <v>0</v>
      </c>
      <c r="J277" s="1968">
        <f t="shared" si="202"/>
        <v>0</v>
      </c>
      <c r="K277" s="1968">
        <f t="shared" si="202"/>
        <v>0</v>
      </c>
      <c r="L277" s="1968" t="e">
        <f>L278</f>
        <v>#REF!</v>
      </c>
      <c r="M277" s="3532" t="s">
        <v>52</v>
      </c>
      <c r="N277" s="3591"/>
    </row>
    <row r="278" spans="1:16" ht="13.5" hidden="1" customHeight="1">
      <c r="A278" s="1974"/>
      <c r="B278" s="1969" t="s">
        <v>10</v>
      </c>
      <c r="C278" s="1970"/>
      <c r="D278" s="1971">
        <f t="shared" si="201"/>
        <v>0</v>
      </c>
      <c r="E278" s="1971">
        <f t="shared" si="201"/>
        <v>0</v>
      </c>
      <c r="F278" s="1971">
        <f t="shared" si="201"/>
        <v>0</v>
      </c>
      <c r="G278" s="1971">
        <f t="shared" si="201"/>
        <v>0</v>
      </c>
      <c r="H278" s="1971">
        <f t="shared" si="201"/>
        <v>0</v>
      </c>
      <c r="I278" s="1971">
        <f t="shared" si="202"/>
        <v>0</v>
      </c>
      <c r="J278" s="1971">
        <f t="shared" si="202"/>
        <v>0</v>
      </c>
      <c r="K278" s="1971">
        <f t="shared" si="202"/>
        <v>0</v>
      </c>
      <c r="L278" s="1971" t="e">
        <f>L279</f>
        <v>#REF!</v>
      </c>
      <c r="M278" s="3532"/>
      <c r="N278" s="3591"/>
    </row>
    <row r="279" spans="1:16" ht="13.5" hidden="1" customHeight="1" thickBot="1">
      <c r="A279" s="1974"/>
      <c r="B279" s="1972" t="s">
        <v>53</v>
      </c>
      <c r="C279" s="1970"/>
      <c r="D279" s="1963"/>
      <c r="E279" s="1964">
        <f t="shared" ref="E279:F279" si="203">E293+E311+E318+E325+E332+E302+E339+E346+E353+E360</f>
        <v>0</v>
      </c>
      <c r="F279" s="1964">
        <f t="shared" si="203"/>
        <v>0</v>
      </c>
      <c r="G279" s="1964">
        <f>G294</f>
        <v>0</v>
      </c>
      <c r="H279" s="1964">
        <f>H294</f>
        <v>0</v>
      </c>
      <c r="I279" s="1964">
        <f>I294</f>
        <v>0</v>
      </c>
      <c r="J279" s="1964">
        <f>J294</f>
        <v>0</v>
      </c>
      <c r="K279" s="1964">
        <f>K294</f>
        <v>0</v>
      </c>
      <c r="L279" s="1964" t="e">
        <f>#REF!+#REF!+#REF!+#REF!+#REF!+L302+#REF!+#REF!+#REF!+#REF!</f>
        <v>#REF!</v>
      </c>
      <c r="M279" s="3532"/>
      <c r="N279" s="3591"/>
    </row>
    <row r="280" spans="1:16" ht="36.75" customHeight="1" thickBot="1">
      <c r="A280" s="3784" t="s">
        <v>54</v>
      </c>
      <c r="B280" s="158" t="s">
        <v>271</v>
      </c>
      <c r="C280" s="1689" t="s">
        <v>160</v>
      </c>
      <c r="D280" s="571"/>
      <c r="E280" s="1690"/>
      <c r="F280" s="2238"/>
      <c r="G280" s="2238"/>
      <c r="H280" s="1690"/>
      <c r="I280" s="1690"/>
      <c r="J280" s="1690"/>
      <c r="K280" s="2239"/>
      <c r="L280" s="2238"/>
      <c r="M280" s="573"/>
      <c r="N280" s="3774" t="s">
        <v>162</v>
      </c>
    </row>
    <row r="281" spans="1:16" ht="15.75" customHeight="1" thickBot="1">
      <c r="A281" s="3784"/>
      <c r="B281" s="1785" t="s">
        <v>9</v>
      </c>
      <c r="C281" s="2118"/>
      <c r="D281" s="1170">
        <f t="shared" ref="D281:M282" si="204">+D282</f>
        <v>15694800</v>
      </c>
      <c r="E281" s="1170">
        <f t="shared" si="204"/>
        <v>10342800</v>
      </c>
      <c r="F281" s="1170">
        <f t="shared" si="204"/>
        <v>2647000</v>
      </c>
      <c r="G281" s="1170">
        <f t="shared" si="204"/>
        <v>2705000</v>
      </c>
      <c r="H281" s="1170">
        <f t="shared" si="204"/>
        <v>0</v>
      </c>
      <c r="I281" s="1170">
        <f t="shared" si="204"/>
        <v>0</v>
      </c>
      <c r="J281" s="1170">
        <f t="shared" si="204"/>
        <v>0</v>
      </c>
      <c r="K281" s="1170">
        <f t="shared" si="204"/>
        <v>0</v>
      </c>
      <c r="L281" s="1170">
        <f>+L282</f>
        <v>0</v>
      </c>
      <c r="M281" s="1221">
        <f t="shared" si="204"/>
        <v>2705000</v>
      </c>
      <c r="N281" s="3774"/>
    </row>
    <row r="282" spans="1:16" ht="15" customHeight="1" thickBot="1">
      <c r="A282" s="3784"/>
      <c r="B282" s="1172" t="s">
        <v>22</v>
      </c>
      <c r="C282" s="3448" t="s">
        <v>163</v>
      </c>
      <c r="D282" s="1475">
        <f t="shared" si="204"/>
        <v>15694800</v>
      </c>
      <c r="E282" s="1475">
        <f t="shared" si="204"/>
        <v>10342800</v>
      </c>
      <c r="F282" s="1178">
        <f t="shared" ref="F282:G282" si="205">F283</f>
        <v>2647000</v>
      </c>
      <c r="G282" s="1178">
        <f t="shared" si="205"/>
        <v>2705000</v>
      </c>
      <c r="H282" s="1178">
        <v>0</v>
      </c>
      <c r="I282" s="1178">
        <v>0</v>
      </c>
      <c r="J282" s="1178">
        <v>0</v>
      </c>
      <c r="K282" s="1178">
        <v>0</v>
      </c>
      <c r="L282" s="1178">
        <f>L283</f>
        <v>0</v>
      </c>
      <c r="M282" s="1174">
        <f t="shared" si="204"/>
        <v>2705000</v>
      </c>
      <c r="N282" s="3774"/>
    </row>
    <row r="283" spans="1:16" ht="15" customHeight="1" thickBot="1">
      <c r="A283" s="3784"/>
      <c r="B283" s="2730" t="s">
        <v>164</v>
      </c>
      <c r="C283" s="3449"/>
      <c r="D283" s="1405">
        <f>E283+L283+F283+G283+H283+I283+J283+K283</f>
        <v>15694800</v>
      </c>
      <c r="E283" s="1405">
        <f>7742800+2600000</f>
        <v>10342800</v>
      </c>
      <c r="F283" s="2671">
        <v>2647000</v>
      </c>
      <c r="G283" s="2671">
        <v>2705000</v>
      </c>
      <c r="H283" s="2671">
        <v>0</v>
      </c>
      <c r="I283" s="2671">
        <v>0</v>
      </c>
      <c r="J283" s="2671">
        <v>0</v>
      </c>
      <c r="K283" s="2671">
        <v>0</v>
      </c>
      <c r="L283" s="2671"/>
      <c r="M283" s="1561">
        <f>SUM(G283:K283)</f>
        <v>2705000</v>
      </c>
      <c r="N283" s="3774"/>
    </row>
    <row r="284" spans="1:16" ht="41.25" customHeight="1">
      <c r="A284" s="3550" t="s">
        <v>55</v>
      </c>
      <c r="B284" s="544" t="s">
        <v>298</v>
      </c>
      <c r="C284" s="553" t="s">
        <v>99</v>
      </c>
      <c r="D284" s="2304"/>
      <c r="E284" s="2226"/>
      <c r="F284" s="2226"/>
      <c r="G284" s="2226"/>
      <c r="H284" s="2226"/>
      <c r="I284" s="2226"/>
      <c r="J284" s="2226"/>
      <c r="K284" s="50"/>
      <c r="L284" s="2226"/>
      <c r="M284" s="545"/>
      <c r="N284" s="3478" t="s">
        <v>183</v>
      </c>
      <c r="P284" s="174"/>
    </row>
    <row r="285" spans="1:16" ht="15" customHeight="1">
      <c r="A285" s="3550"/>
      <c r="B285" s="1785" t="s">
        <v>9</v>
      </c>
      <c r="C285" s="2672"/>
      <c r="D285" s="1170">
        <f>D286</f>
        <v>503701</v>
      </c>
      <c r="E285" s="1170">
        <f t="shared" ref="E285:K286" si="206">E286</f>
        <v>0</v>
      </c>
      <c r="F285" s="1417">
        <f t="shared" si="206"/>
        <v>0</v>
      </c>
      <c r="G285" s="1170">
        <f t="shared" si="206"/>
        <v>83899</v>
      </c>
      <c r="H285" s="1170">
        <f t="shared" si="206"/>
        <v>83899</v>
      </c>
      <c r="I285" s="1170">
        <f t="shared" si="206"/>
        <v>97429</v>
      </c>
      <c r="J285" s="1170">
        <f t="shared" si="206"/>
        <v>113579</v>
      </c>
      <c r="K285" s="1220">
        <f t="shared" si="206"/>
        <v>124895</v>
      </c>
      <c r="L285" s="1417">
        <f>L286</f>
        <v>0</v>
      </c>
      <c r="M285" s="1459">
        <f>M286</f>
        <v>503701</v>
      </c>
      <c r="N285" s="3478"/>
    </row>
    <row r="286" spans="1:16" ht="15" customHeight="1">
      <c r="A286" s="3550"/>
      <c r="B286" s="1770" t="s">
        <v>10</v>
      </c>
      <c r="C286" s="3787" t="s">
        <v>159</v>
      </c>
      <c r="D286" s="1244">
        <f>D287</f>
        <v>503701</v>
      </c>
      <c r="E286" s="1244">
        <f t="shared" si="206"/>
        <v>0</v>
      </c>
      <c r="F286" s="1717">
        <f t="shared" si="206"/>
        <v>0</v>
      </c>
      <c r="G286" s="1244">
        <f t="shared" si="206"/>
        <v>83899</v>
      </c>
      <c r="H286" s="1244">
        <f t="shared" si="206"/>
        <v>83899</v>
      </c>
      <c r="I286" s="1244">
        <f t="shared" si="206"/>
        <v>97429</v>
      </c>
      <c r="J286" s="1244">
        <f t="shared" si="206"/>
        <v>113579</v>
      </c>
      <c r="K286" s="1244">
        <f t="shared" si="206"/>
        <v>124895</v>
      </c>
      <c r="L286" s="1717">
        <f>L287</f>
        <v>0</v>
      </c>
      <c r="M286" s="1422">
        <f>M287</f>
        <v>503701</v>
      </c>
      <c r="N286" s="3478"/>
    </row>
    <row r="287" spans="1:16" ht="15" customHeight="1" thickBot="1">
      <c r="A287" s="3584"/>
      <c r="B287" s="67" t="s">
        <v>11</v>
      </c>
      <c r="C287" s="3580"/>
      <c r="D287" s="1405">
        <f>E287+L287+F287+G287+H287+I287+J287+K287</f>
        <v>503701</v>
      </c>
      <c r="E287" s="1405">
        <v>0</v>
      </c>
      <c r="F287" s="950">
        <v>0</v>
      </c>
      <c r="G287" s="951">
        <v>83899</v>
      </c>
      <c r="H287" s="951">
        <v>83899</v>
      </c>
      <c r="I287" s="951">
        <v>97429</v>
      </c>
      <c r="J287" s="951">
        <v>113579</v>
      </c>
      <c r="K287" s="951">
        <v>124895</v>
      </c>
      <c r="L287" s="950">
        <v>0</v>
      </c>
      <c r="M287" s="1561">
        <f>SUM(G287:K287)</f>
        <v>503701</v>
      </c>
      <c r="N287" s="3786"/>
    </row>
    <row r="288" spans="1:16" ht="40.5" hidden="1" customHeight="1">
      <c r="A288" s="3779" t="s">
        <v>56</v>
      </c>
      <c r="B288" s="225"/>
      <c r="C288" s="220" t="s">
        <v>160</v>
      </c>
      <c r="D288" s="582"/>
      <c r="E288" s="583"/>
      <c r="F288" s="584"/>
      <c r="G288" s="584"/>
      <c r="H288" s="583"/>
      <c r="I288" s="583"/>
      <c r="J288" s="583"/>
      <c r="K288" s="583"/>
      <c r="L288" s="583"/>
      <c r="M288" s="585"/>
      <c r="N288" s="3780" t="s">
        <v>178</v>
      </c>
    </row>
    <row r="289" spans="1:14" ht="17.25" hidden="1" customHeight="1">
      <c r="A289" s="3779"/>
      <c r="B289" s="111" t="s">
        <v>9</v>
      </c>
      <c r="C289" s="111"/>
      <c r="D289" s="203"/>
      <c r="E289" s="203"/>
      <c r="F289" s="226">
        <f t="shared" ref="F289:M289" si="207">+F290</f>
        <v>0</v>
      </c>
      <c r="G289" s="226">
        <f t="shared" si="207"/>
        <v>0</v>
      </c>
      <c r="H289" s="227">
        <f t="shared" si="207"/>
        <v>0</v>
      </c>
      <c r="I289" s="227"/>
      <c r="J289" s="227"/>
      <c r="K289" s="227"/>
      <c r="L289" s="2726"/>
      <c r="M289" s="54">
        <f t="shared" si="207"/>
        <v>0</v>
      </c>
      <c r="N289" s="3780"/>
    </row>
    <row r="290" spans="1:14" ht="16.5" hidden="1" customHeight="1">
      <c r="A290" s="3779"/>
      <c r="B290" s="149" t="s">
        <v>179</v>
      </c>
      <c r="C290" s="3781" t="s">
        <v>177</v>
      </c>
      <c r="D290" s="228"/>
      <c r="E290" s="229"/>
      <c r="F290" s="229">
        <f>F291</f>
        <v>0</v>
      </c>
      <c r="G290" s="229">
        <f>G291</f>
        <v>0</v>
      </c>
      <c r="H290" s="230">
        <f>H291</f>
        <v>0</v>
      </c>
      <c r="I290" s="230"/>
      <c r="J290" s="230"/>
      <c r="K290" s="230"/>
      <c r="L290" s="2727"/>
      <c r="M290" s="65">
        <f>+M291</f>
        <v>0</v>
      </c>
      <c r="N290" s="3780"/>
    </row>
    <row r="291" spans="1:14" ht="13.5" hidden="1" customHeight="1">
      <c r="A291" s="3779"/>
      <c r="B291" s="2887" t="s">
        <v>53</v>
      </c>
      <c r="C291" s="3782"/>
      <c r="D291" s="231"/>
      <c r="E291" s="232"/>
      <c r="F291" s="232">
        <v>0</v>
      </c>
      <c r="G291" s="232">
        <v>0</v>
      </c>
      <c r="H291" s="232">
        <v>0</v>
      </c>
      <c r="I291" s="232"/>
      <c r="J291" s="232"/>
      <c r="K291" s="232"/>
      <c r="L291" s="2728"/>
      <c r="M291" s="233"/>
      <c r="N291" s="3780"/>
    </row>
    <row r="292" spans="1:14" ht="15.75" hidden="1" customHeight="1">
      <c r="A292" s="3779"/>
      <c r="B292" s="234" t="s">
        <v>20</v>
      </c>
      <c r="C292" s="18"/>
      <c r="D292" s="25"/>
      <c r="E292" s="171"/>
      <c r="F292" s="171"/>
      <c r="G292" s="171">
        <f t="shared" ref="F292:H293" si="208">G293</f>
        <v>0</v>
      </c>
      <c r="H292" s="171">
        <f t="shared" si="208"/>
        <v>0</v>
      </c>
      <c r="I292" s="586"/>
      <c r="J292" s="586"/>
      <c r="K292" s="586"/>
      <c r="L292" s="586"/>
      <c r="M292" s="3427" t="s">
        <v>52</v>
      </c>
      <c r="N292" s="3780"/>
    </row>
    <row r="293" spans="1:14" ht="16.5" hidden="1" customHeight="1">
      <c r="A293" s="3779"/>
      <c r="B293" s="149" t="s">
        <v>10</v>
      </c>
      <c r="C293" s="3783" t="s">
        <v>177</v>
      </c>
      <c r="D293" s="103"/>
      <c r="E293" s="41"/>
      <c r="F293" s="41">
        <f t="shared" si="208"/>
        <v>0</v>
      </c>
      <c r="G293" s="41">
        <f t="shared" si="208"/>
        <v>0</v>
      </c>
      <c r="H293" s="41">
        <f t="shared" si="208"/>
        <v>0</v>
      </c>
      <c r="I293" s="249"/>
      <c r="J293" s="249"/>
      <c r="K293" s="249"/>
      <c r="L293" s="249"/>
      <c r="M293" s="3427"/>
      <c r="N293" s="3780"/>
    </row>
    <row r="294" spans="1:14" ht="13.5" hidden="1" customHeight="1" thickBot="1">
      <c r="A294" s="3779"/>
      <c r="B294" s="2884" t="s">
        <v>53</v>
      </c>
      <c r="C294" s="3439"/>
      <c r="D294" s="235"/>
      <c r="E294" s="60"/>
      <c r="F294" s="59">
        <v>0</v>
      </c>
      <c r="G294" s="59">
        <v>0</v>
      </c>
      <c r="H294" s="59">
        <v>0</v>
      </c>
      <c r="I294" s="46"/>
      <c r="J294" s="46"/>
      <c r="K294" s="46"/>
      <c r="L294" s="46"/>
      <c r="M294" s="3428"/>
      <c r="N294" s="3780"/>
    </row>
    <row r="295" spans="1:14" ht="17.25" customHeight="1">
      <c r="E295" s="511"/>
      <c r="N295" s="587"/>
    </row>
    <row r="296" spans="1:14" ht="11.25" hidden="1" customHeight="1">
      <c r="A296" s="3778"/>
      <c r="B296" s="3778"/>
      <c r="C296" s="3778"/>
      <c r="D296" s="3778"/>
      <c r="E296" s="3778"/>
      <c r="F296" s="3778"/>
      <c r="G296" s="3778"/>
      <c r="H296" s="3778"/>
      <c r="I296" s="3778"/>
      <c r="J296" s="3778"/>
      <c r="K296" s="3778"/>
      <c r="L296" s="3778"/>
      <c r="M296" s="3778"/>
      <c r="N296" s="3778"/>
    </row>
    <row r="297" spans="1:14" hidden="1">
      <c r="A297" s="3778"/>
      <c r="B297" s="3778"/>
      <c r="C297" s="3778"/>
      <c r="D297" s="3778"/>
      <c r="E297" s="3778"/>
      <c r="F297" s="3778"/>
      <c r="G297" s="3778"/>
      <c r="H297" s="3778"/>
      <c r="I297" s="3778"/>
      <c r="J297" s="3778"/>
      <c r="K297" s="3778"/>
      <c r="L297" s="3778"/>
      <c r="M297" s="3778"/>
      <c r="N297" s="3778"/>
    </row>
    <row r="298" spans="1:14" ht="15" hidden="1" customHeight="1">
      <c r="B298" s="998" t="s">
        <v>332</v>
      </c>
      <c r="C298" s="2700"/>
      <c r="D298" s="2700"/>
      <c r="E298" s="2700"/>
      <c r="F298" s="2700"/>
      <c r="G298" s="2700"/>
      <c r="H298" s="2700"/>
      <c r="I298" s="2700"/>
      <c r="J298" s="2700"/>
      <c r="K298" s="2700"/>
      <c r="L298" s="2700"/>
      <c r="N298" s="587"/>
    </row>
    <row r="299" spans="1:14" ht="15" hidden="1" customHeight="1">
      <c r="B299" s="2821" t="s">
        <v>333</v>
      </c>
      <c r="C299" s="2700"/>
      <c r="D299" s="2701">
        <f t="shared" ref="D299:K299" si="209">D123+D148+D170+D179+D201+D223+D232+D255+D114</f>
        <v>3076429</v>
      </c>
      <c r="E299" s="2701">
        <f t="shared" si="209"/>
        <v>977</v>
      </c>
      <c r="F299" s="2701">
        <f t="shared" si="209"/>
        <v>537970</v>
      </c>
      <c r="G299" s="2701">
        <f>G123+G148+G170+G179+G201+G223+G232+G255+G114</f>
        <v>1437926</v>
      </c>
      <c r="H299" s="2701">
        <f t="shared" si="209"/>
        <v>775793</v>
      </c>
      <c r="I299" s="2701">
        <f t="shared" si="209"/>
        <v>323763</v>
      </c>
      <c r="J299" s="2701">
        <f t="shared" si="209"/>
        <v>0</v>
      </c>
      <c r="K299" s="2701">
        <f t="shared" si="209"/>
        <v>0</v>
      </c>
      <c r="L299" s="2701">
        <f>L123+L148+L170+L179+L201+L223+L232+L255+L114</f>
        <v>0</v>
      </c>
      <c r="N299" s="587"/>
    </row>
    <row r="300" spans="1:14" ht="15" hidden="1" customHeight="1">
      <c r="B300" s="2821" t="s">
        <v>334</v>
      </c>
      <c r="C300" s="2700"/>
      <c r="D300" s="2701">
        <f>D32+D44+D56+D79+D92+D133+D157+D188+D210+D242+D267+D265+D105+D68</f>
        <v>84896661</v>
      </c>
      <c r="E300" s="2701">
        <f t="shared" ref="E300:K300" si="210">E32+E44+E56+E79+E92+E133+E157+E188+E210+E242+E267+E265+E105</f>
        <v>165886</v>
      </c>
      <c r="F300" s="2701">
        <f t="shared" si="210"/>
        <v>47951560</v>
      </c>
      <c r="G300" s="2701">
        <f>G32+G44+G56+G79+G92+G133+G157+G188+G210+G242+G267+G265+G105+G68</f>
        <v>24037807</v>
      </c>
      <c r="H300" s="2701">
        <f t="shared" si="210"/>
        <v>9717383</v>
      </c>
      <c r="I300" s="2701">
        <f t="shared" si="210"/>
        <v>3024025</v>
      </c>
      <c r="J300" s="2701">
        <f t="shared" si="210"/>
        <v>0</v>
      </c>
      <c r="K300" s="2701">
        <f t="shared" si="210"/>
        <v>0</v>
      </c>
      <c r="L300" s="2701">
        <f>L32+L44+L56+L79+L92+L133+L157+L188+L210+L242+L267+L265+L105</f>
        <v>0</v>
      </c>
      <c r="N300" s="587"/>
    </row>
    <row r="301" spans="1:14" ht="15" hidden="1" customHeight="1">
      <c r="B301" s="2821" t="s">
        <v>335</v>
      </c>
      <c r="C301" s="2700"/>
      <c r="D301" s="996">
        <f>D299+D300</f>
        <v>87973090</v>
      </c>
      <c r="E301" s="996">
        <f t="shared" ref="E301:H301" si="211">E299+E300</f>
        <v>166863</v>
      </c>
      <c r="F301" s="996">
        <f t="shared" si="211"/>
        <v>48489530</v>
      </c>
      <c r="G301" s="996">
        <f>G299+G300</f>
        <v>25475733</v>
      </c>
      <c r="H301" s="996">
        <f t="shared" si="211"/>
        <v>10493176</v>
      </c>
      <c r="I301" s="996">
        <f t="shared" ref="I301:K301" si="212">I299+I300</f>
        <v>3347788</v>
      </c>
      <c r="J301" s="996">
        <f t="shared" si="212"/>
        <v>0</v>
      </c>
      <c r="K301" s="996">
        <f t="shared" si="212"/>
        <v>0</v>
      </c>
      <c r="L301" s="996">
        <f>L299+L300</f>
        <v>0</v>
      </c>
      <c r="N301" s="587"/>
    </row>
    <row r="302" spans="1:14" ht="15" hidden="1" customHeight="1">
      <c r="B302" s="993" t="s">
        <v>40</v>
      </c>
      <c r="C302" s="995"/>
      <c r="D302" s="997">
        <f>D301-D18</f>
        <v>0</v>
      </c>
      <c r="E302" s="997">
        <f t="shared" ref="E302:K302" si="213">E301-E18</f>
        <v>0</v>
      </c>
      <c r="F302" s="997">
        <f t="shared" si="213"/>
        <v>0</v>
      </c>
      <c r="G302" s="997">
        <f t="shared" si="213"/>
        <v>0</v>
      </c>
      <c r="H302" s="997">
        <f t="shared" si="213"/>
        <v>0</v>
      </c>
      <c r="I302" s="997">
        <f t="shared" si="213"/>
        <v>0</v>
      </c>
      <c r="J302" s="997">
        <f t="shared" si="213"/>
        <v>0</v>
      </c>
      <c r="K302" s="997">
        <f t="shared" si="213"/>
        <v>0</v>
      </c>
      <c r="L302" s="997">
        <f>L301-L18</f>
        <v>0</v>
      </c>
      <c r="N302" s="587"/>
    </row>
    <row r="303" spans="1:14" hidden="1">
      <c r="E303" s="511"/>
      <c r="N303" s="587"/>
    </row>
    <row r="304" spans="1:14" hidden="1">
      <c r="E304" s="511"/>
      <c r="N304" s="587"/>
    </row>
    <row r="305" spans="5:14">
      <c r="E305" s="511"/>
      <c r="N305" s="587"/>
    </row>
    <row r="306" spans="5:14">
      <c r="E306" s="511"/>
      <c r="N306" s="587"/>
    </row>
    <row r="307" spans="5:14">
      <c r="E307" s="511"/>
      <c r="N307" s="587"/>
    </row>
    <row r="308" spans="5:14">
      <c r="E308" s="511"/>
      <c r="N308" s="587"/>
    </row>
    <row r="309" spans="5:14">
      <c r="E309" s="511"/>
      <c r="N309" s="587"/>
    </row>
    <row r="310" spans="5:14">
      <c r="E310" s="511"/>
      <c r="N310" s="587"/>
    </row>
    <row r="311" spans="5:14">
      <c r="E311" s="511"/>
      <c r="N311" s="587"/>
    </row>
    <row r="312" spans="5:14">
      <c r="E312" s="511"/>
      <c r="N312" s="587"/>
    </row>
    <row r="313" spans="5:14">
      <c r="E313" s="511"/>
      <c r="N313" s="587"/>
    </row>
    <row r="314" spans="5:14">
      <c r="E314" s="511"/>
      <c r="N314" s="587"/>
    </row>
    <row r="315" spans="5:14">
      <c r="E315" s="511"/>
      <c r="N315" s="587"/>
    </row>
    <row r="316" spans="5:14">
      <c r="E316" s="511"/>
      <c r="N316" s="587"/>
    </row>
    <row r="317" spans="5:14">
      <c r="E317" s="511"/>
      <c r="N317" s="587"/>
    </row>
    <row r="318" spans="5:14">
      <c r="E318" s="511"/>
      <c r="N318" s="587"/>
    </row>
    <row r="319" spans="5:14">
      <c r="E319" s="511"/>
      <c r="N319" s="587"/>
    </row>
    <row r="320" spans="5:14">
      <c r="E320" s="511"/>
      <c r="N320" s="587"/>
    </row>
    <row r="321" spans="5:14">
      <c r="E321" s="511"/>
      <c r="N321" s="587"/>
    </row>
    <row r="322" spans="5:14">
      <c r="E322" s="511"/>
      <c r="N322" s="587"/>
    </row>
    <row r="323" spans="5:14">
      <c r="E323" s="511"/>
      <c r="N323" s="587"/>
    </row>
    <row r="324" spans="5:14">
      <c r="E324" s="511"/>
      <c r="N324" s="587"/>
    </row>
    <row r="325" spans="5:14">
      <c r="E325" s="511"/>
      <c r="N325" s="587"/>
    </row>
    <row r="326" spans="5:14">
      <c r="E326" s="511"/>
      <c r="N326" s="587"/>
    </row>
    <row r="327" spans="5:14">
      <c r="E327" s="511"/>
      <c r="N327" s="587"/>
    </row>
    <row r="328" spans="5:14">
      <c r="E328" s="511"/>
      <c r="N328" s="587"/>
    </row>
    <row r="329" spans="5:14">
      <c r="E329" s="511"/>
      <c r="N329" s="587"/>
    </row>
    <row r="330" spans="5:14">
      <c r="E330" s="511"/>
      <c r="N330" s="587"/>
    </row>
    <row r="331" spans="5:14">
      <c r="E331" s="511"/>
      <c r="N331" s="587"/>
    </row>
    <row r="332" spans="5:14">
      <c r="E332" s="511"/>
      <c r="N332" s="587"/>
    </row>
    <row r="333" spans="5:14">
      <c r="E333" s="511"/>
      <c r="N333" s="587"/>
    </row>
    <row r="334" spans="5:14">
      <c r="E334" s="511"/>
      <c r="N334" s="587"/>
    </row>
    <row r="335" spans="5:14">
      <c r="E335" s="511"/>
      <c r="N335" s="587"/>
    </row>
    <row r="336" spans="5:14">
      <c r="E336" s="511"/>
      <c r="N336" s="587"/>
    </row>
    <row r="337" spans="5:14">
      <c r="E337" s="511"/>
      <c r="N337" s="587"/>
    </row>
    <row r="338" spans="5:14">
      <c r="E338" s="511"/>
      <c r="N338" s="587"/>
    </row>
    <row r="339" spans="5:14">
      <c r="E339" s="511"/>
      <c r="N339" s="587"/>
    </row>
    <row r="340" spans="5:14">
      <c r="E340" s="511"/>
      <c r="N340" s="587"/>
    </row>
    <row r="341" spans="5:14">
      <c r="E341" s="511"/>
      <c r="N341" s="587"/>
    </row>
    <row r="342" spans="5:14">
      <c r="E342" s="511"/>
      <c r="N342" s="587"/>
    </row>
    <row r="343" spans="5:14">
      <c r="E343" s="511"/>
      <c r="N343" s="587"/>
    </row>
    <row r="344" spans="5:14">
      <c r="E344" s="511"/>
      <c r="N344" s="587"/>
    </row>
    <row r="345" spans="5:14">
      <c r="E345" s="511"/>
      <c r="N345" s="587"/>
    </row>
    <row r="346" spans="5:14">
      <c r="E346" s="511"/>
      <c r="N346" s="587"/>
    </row>
    <row r="347" spans="5:14">
      <c r="E347" s="511"/>
      <c r="N347" s="587"/>
    </row>
    <row r="348" spans="5:14">
      <c r="E348" s="511"/>
      <c r="N348" s="587"/>
    </row>
    <row r="349" spans="5:14">
      <c r="E349" s="511"/>
      <c r="N349" s="587"/>
    </row>
    <row r="350" spans="5:14">
      <c r="E350" s="511"/>
      <c r="N350" s="587"/>
    </row>
    <row r="351" spans="5:14">
      <c r="E351" s="511"/>
      <c r="N351" s="587"/>
    </row>
    <row r="352" spans="5:14">
      <c r="E352" s="511"/>
      <c r="N352" s="587"/>
    </row>
    <row r="353" spans="5:14">
      <c r="E353" s="511"/>
      <c r="N353" s="587"/>
    </row>
    <row r="354" spans="5:14">
      <c r="E354" s="511"/>
      <c r="N354" s="587"/>
    </row>
    <row r="355" spans="5:14">
      <c r="E355" s="511"/>
      <c r="N355" s="587"/>
    </row>
    <row r="356" spans="5:14">
      <c r="E356" s="511"/>
      <c r="N356" s="587"/>
    </row>
    <row r="357" spans="5:14">
      <c r="E357" s="511"/>
      <c r="N357" s="587"/>
    </row>
    <row r="358" spans="5:14">
      <c r="E358" s="511"/>
      <c r="N358" s="587"/>
    </row>
    <row r="359" spans="5:14">
      <c r="E359" s="511"/>
      <c r="N359" s="587"/>
    </row>
    <row r="360" spans="5:14">
      <c r="E360" s="511"/>
      <c r="N360" s="587"/>
    </row>
    <row r="361" spans="5:14">
      <c r="E361" s="511"/>
      <c r="N361" s="587"/>
    </row>
    <row r="362" spans="5:14">
      <c r="E362" s="511"/>
      <c r="N362" s="587"/>
    </row>
    <row r="363" spans="5:14">
      <c r="E363" s="511"/>
      <c r="N363" s="587"/>
    </row>
    <row r="364" spans="5:14">
      <c r="E364" s="511"/>
      <c r="N364" s="587"/>
    </row>
    <row r="365" spans="5:14">
      <c r="E365" s="511"/>
      <c r="N365" s="587"/>
    </row>
    <row r="366" spans="5:14">
      <c r="E366" s="511"/>
      <c r="N366" s="587"/>
    </row>
    <row r="367" spans="5:14">
      <c r="E367" s="511"/>
      <c r="N367" s="587"/>
    </row>
    <row r="368" spans="5:14">
      <c r="E368" s="511"/>
      <c r="N368" s="587"/>
    </row>
    <row r="369" spans="5:14">
      <c r="E369" s="511"/>
      <c r="N369" s="587"/>
    </row>
    <row r="370" spans="5:14">
      <c r="E370" s="511"/>
      <c r="N370" s="587"/>
    </row>
    <row r="371" spans="5:14">
      <c r="E371" s="511"/>
      <c r="N371" s="587"/>
    </row>
    <row r="372" spans="5:14">
      <c r="E372" s="511"/>
      <c r="N372" s="587"/>
    </row>
    <row r="373" spans="5:14">
      <c r="E373" s="511"/>
      <c r="N373" s="587"/>
    </row>
    <row r="374" spans="5:14">
      <c r="E374" s="511"/>
      <c r="N374" s="587"/>
    </row>
    <row r="375" spans="5:14">
      <c r="E375" s="511"/>
      <c r="N375" s="587"/>
    </row>
    <row r="376" spans="5:14">
      <c r="E376" s="511"/>
      <c r="N376" s="587"/>
    </row>
    <row r="377" spans="5:14">
      <c r="E377" s="511"/>
      <c r="N377" s="587"/>
    </row>
    <row r="378" spans="5:14">
      <c r="E378" s="511"/>
      <c r="N378" s="587"/>
    </row>
    <row r="379" spans="5:14">
      <c r="E379" s="511"/>
      <c r="N379" s="587"/>
    </row>
    <row r="380" spans="5:14">
      <c r="E380" s="511"/>
      <c r="N380" s="587"/>
    </row>
    <row r="381" spans="5:14">
      <c r="E381" s="511"/>
      <c r="N381" s="587"/>
    </row>
    <row r="382" spans="5:14">
      <c r="E382" s="511"/>
      <c r="N382" s="587"/>
    </row>
    <row r="383" spans="5:14">
      <c r="E383" s="511"/>
      <c r="N383" s="587"/>
    </row>
    <row r="384" spans="5:14">
      <c r="E384" s="511"/>
      <c r="N384" s="587"/>
    </row>
    <row r="385" spans="5:14">
      <c r="E385" s="511"/>
      <c r="N385" s="587"/>
    </row>
    <row r="386" spans="5:14">
      <c r="E386" s="511"/>
      <c r="N386" s="587"/>
    </row>
    <row r="387" spans="5:14">
      <c r="E387" s="511"/>
      <c r="N387" s="587"/>
    </row>
    <row r="388" spans="5:14">
      <c r="E388" s="511"/>
      <c r="N388" s="587"/>
    </row>
    <row r="389" spans="5:14">
      <c r="E389" s="511"/>
      <c r="N389" s="587"/>
    </row>
    <row r="390" spans="5:14">
      <c r="E390" s="511"/>
      <c r="N390" s="587"/>
    </row>
    <row r="391" spans="5:14">
      <c r="E391" s="511"/>
      <c r="N391" s="587"/>
    </row>
    <row r="392" spans="5:14">
      <c r="E392" s="511"/>
      <c r="N392" s="587"/>
    </row>
    <row r="393" spans="5:14">
      <c r="E393" s="511"/>
      <c r="N393" s="587"/>
    </row>
    <row r="394" spans="5:14">
      <c r="E394" s="511"/>
      <c r="N394" s="587"/>
    </row>
    <row r="395" spans="5:14">
      <c r="E395" s="511"/>
      <c r="N395" s="587"/>
    </row>
    <row r="396" spans="5:14">
      <c r="E396" s="511"/>
      <c r="N396" s="587"/>
    </row>
    <row r="397" spans="5:14">
      <c r="E397" s="511"/>
      <c r="N397" s="587"/>
    </row>
    <row r="398" spans="5:14">
      <c r="E398" s="511"/>
      <c r="N398" s="587"/>
    </row>
    <row r="399" spans="5:14">
      <c r="E399" s="511"/>
      <c r="N399" s="587"/>
    </row>
    <row r="400" spans="5:14">
      <c r="E400" s="511"/>
      <c r="N400" s="587"/>
    </row>
    <row r="401" spans="5:14">
      <c r="E401" s="511"/>
      <c r="N401" s="587"/>
    </row>
    <row r="402" spans="5:14">
      <c r="E402" s="511"/>
      <c r="N402" s="587"/>
    </row>
    <row r="403" spans="5:14">
      <c r="E403" s="511"/>
      <c r="N403" s="587"/>
    </row>
    <row r="404" spans="5:14">
      <c r="E404" s="511"/>
      <c r="N404" s="587"/>
    </row>
    <row r="405" spans="5:14">
      <c r="E405" s="511"/>
      <c r="N405" s="587"/>
    </row>
    <row r="406" spans="5:14">
      <c r="E406" s="511"/>
      <c r="N406" s="587"/>
    </row>
    <row r="407" spans="5:14">
      <c r="E407" s="511"/>
      <c r="N407" s="587"/>
    </row>
    <row r="408" spans="5:14">
      <c r="E408" s="511"/>
      <c r="N408" s="587"/>
    </row>
    <row r="409" spans="5:14">
      <c r="E409" s="511"/>
      <c r="N409" s="587"/>
    </row>
    <row r="410" spans="5:14">
      <c r="E410" s="511"/>
      <c r="N410" s="587"/>
    </row>
    <row r="411" spans="5:14">
      <c r="E411" s="511"/>
      <c r="N411" s="587"/>
    </row>
    <row r="412" spans="5:14">
      <c r="E412" s="511"/>
      <c r="N412" s="587"/>
    </row>
    <row r="413" spans="5:14">
      <c r="E413" s="511"/>
      <c r="N413" s="587"/>
    </row>
    <row r="414" spans="5:14">
      <c r="E414" s="511"/>
      <c r="N414" s="587"/>
    </row>
    <row r="415" spans="5:14">
      <c r="E415" s="511"/>
      <c r="N415" s="587"/>
    </row>
    <row r="416" spans="5:14">
      <c r="E416" s="511"/>
      <c r="N416" s="587"/>
    </row>
    <row r="417" spans="1:14">
      <c r="E417" s="511"/>
      <c r="N417" s="587"/>
    </row>
    <row r="418" spans="1:14">
      <c r="E418" s="511"/>
      <c r="N418" s="587"/>
    </row>
    <row r="419" spans="1:14">
      <c r="E419" s="511"/>
      <c r="N419" s="587"/>
    </row>
    <row r="420" spans="1:14">
      <c r="E420" s="511"/>
      <c r="N420" s="587"/>
    </row>
    <row r="421" spans="1:14">
      <c r="E421" s="511"/>
      <c r="N421" s="587"/>
    </row>
    <row r="422" spans="1:14" ht="12" thickBot="1">
      <c r="A422" s="2011"/>
      <c r="E422" s="511"/>
      <c r="N422" s="587"/>
    </row>
    <row r="423" spans="1:14" ht="12" thickBot="1">
      <c r="A423" s="2012"/>
      <c r="E423" s="511"/>
      <c r="N423" s="587"/>
    </row>
    <row r="424" spans="1:14" ht="12" thickBot="1">
      <c r="A424" s="2012"/>
      <c r="E424" s="511"/>
      <c r="N424" s="587"/>
    </row>
    <row r="425" spans="1:14" ht="12" thickBot="1">
      <c r="A425" s="2012"/>
      <c r="E425" s="511"/>
      <c r="N425" s="587"/>
    </row>
    <row r="426" spans="1:14" ht="12" thickBot="1">
      <c r="A426" s="2012"/>
      <c r="E426" s="511"/>
      <c r="N426" s="587"/>
    </row>
    <row r="427" spans="1:14" ht="12" thickBot="1">
      <c r="A427" s="2012"/>
      <c r="E427" s="511"/>
      <c r="N427" s="587"/>
    </row>
    <row r="428" spans="1:14" ht="12" thickBot="1">
      <c r="A428" s="2012"/>
      <c r="E428" s="511"/>
      <c r="M428" s="1999"/>
      <c r="N428" s="2005"/>
    </row>
    <row r="429" spans="1:14" ht="12" thickBot="1">
      <c r="A429" s="2012"/>
      <c r="C429" s="1999"/>
      <c r="E429" s="511"/>
      <c r="M429" s="2000"/>
      <c r="N429" s="2006"/>
    </row>
    <row r="430" spans="1:14" ht="12" thickBot="1">
      <c r="A430" s="2012"/>
      <c r="C430" s="2000"/>
      <c r="D430" s="1999"/>
      <c r="E430" s="1999"/>
      <c r="F430" s="1999"/>
      <c r="G430" s="1999"/>
      <c r="H430" s="1999"/>
      <c r="I430" s="1999"/>
      <c r="J430" s="1999"/>
      <c r="K430" s="1999"/>
      <c r="L430" s="1999"/>
      <c r="M430" s="2000"/>
      <c r="N430" s="2006"/>
    </row>
    <row r="431" spans="1:14" ht="12" thickBot="1">
      <c r="A431" s="2012"/>
      <c r="C431" s="2001"/>
      <c r="D431" s="2001"/>
      <c r="E431" s="2001"/>
      <c r="F431" s="2001"/>
      <c r="G431" s="2001"/>
      <c r="H431" s="2001"/>
      <c r="I431" s="2001"/>
      <c r="J431" s="2001"/>
      <c r="K431" s="2001"/>
      <c r="L431" s="2001"/>
      <c r="M431" s="2001"/>
      <c r="N431" s="2006"/>
    </row>
    <row r="432" spans="1:14" ht="12" thickBot="1">
      <c r="A432" s="2012"/>
      <c r="E432" s="511"/>
      <c r="N432" s="2006"/>
    </row>
    <row r="433" spans="1:14" ht="12" thickBot="1">
      <c r="A433" s="2012"/>
      <c r="E433" s="511"/>
      <c r="N433" s="2006"/>
    </row>
    <row r="434" spans="1:14" ht="12" thickBot="1">
      <c r="A434" s="2012"/>
      <c r="E434" s="511"/>
      <c r="N434" s="2006"/>
    </row>
    <row r="435" spans="1:14" ht="12" thickBot="1">
      <c r="A435" s="2012"/>
      <c r="E435" s="511"/>
      <c r="N435" s="2006"/>
    </row>
    <row r="436" spans="1:14" ht="12" thickBot="1">
      <c r="A436" s="2012"/>
      <c r="E436" s="511"/>
      <c r="N436" s="2007"/>
    </row>
    <row r="437" spans="1:14" ht="12" thickBot="1">
      <c r="A437" s="2012"/>
      <c r="E437" s="511"/>
      <c r="N437" s="587"/>
    </row>
    <row r="438" spans="1:14" ht="12" thickBot="1">
      <c r="A438" s="2012"/>
      <c r="E438" s="511"/>
      <c r="N438" s="587"/>
    </row>
    <row r="439" spans="1:14">
      <c r="A439" s="2013"/>
      <c r="E439" s="511"/>
      <c r="N439" s="587"/>
    </row>
    <row r="440" spans="1:14">
      <c r="E440" s="511"/>
      <c r="N440" s="587"/>
    </row>
    <row r="441" spans="1:14">
      <c r="E441" s="511"/>
      <c r="N441" s="587"/>
    </row>
    <row r="442" spans="1:14">
      <c r="E442" s="511"/>
      <c r="N442" s="587"/>
    </row>
    <row r="443" spans="1:14">
      <c r="E443" s="511"/>
      <c r="N443" s="587"/>
    </row>
    <row r="444" spans="1:14">
      <c r="E444" s="511"/>
      <c r="N444" s="587"/>
    </row>
    <row r="445" spans="1:14">
      <c r="E445" s="511"/>
      <c r="N445" s="587"/>
    </row>
    <row r="446" spans="1:14">
      <c r="E446" s="511"/>
      <c r="N446" s="587"/>
    </row>
    <row r="447" spans="1:14">
      <c r="E447" s="511"/>
      <c r="N447" s="587"/>
    </row>
    <row r="448" spans="1:14">
      <c r="E448" s="511"/>
      <c r="N448" s="587"/>
    </row>
    <row r="449" spans="5:14">
      <c r="E449" s="511"/>
      <c r="N449" s="587"/>
    </row>
    <row r="450" spans="5:14">
      <c r="E450" s="511"/>
      <c r="N450" s="587"/>
    </row>
    <row r="451" spans="5:14">
      <c r="E451" s="511"/>
      <c r="N451" s="587"/>
    </row>
    <row r="452" spans="5:14">
      <c r="E452" s="511"/>
      <c r="N452" s="587"/>
    </row>
    <row r="453" spans="5:14">
      <c r="E453" s="511"/>
      <c r="N453" s="587"/>
    </row>
    <row r="454" spans="5:14">
      <c r="E454" s="511"/>
      <c r="N454" s="587"/>
    </row>
    <row r="455" spans="5:14">
      <c r="E455" s="511"/>
      <c r="N455" s="587"/>
    </row>
    <row r="456" spans="5:14">
      <c r="E456" s="511"/>
      <c r="N456" s="587"/>
    </row>
    <row r="457" spans="5:14">
      <c r="E457" s="511"/>
      <c r="N457" s="587"/>
    </row>
    <row r="458" spans="5:14">
      <c r="E458" s="511"/>
      <c r="N458" s="587"/>
    </row>
    <row r="459" spans="5:14">
      <c r="E459" s="511"/>
      <c r="N459" s="587"/>
    </row>
    <row r="460" spans="5:14">
      <c r="E460" s="511"/>
      <c r="N460" s="587"/>
    </row>
    <row r="461" spans="5:14">
      <c r="E461" s="511"/>
      <c r="N461" s="587"/>
    </row>
    <row r="462" spans="5:14">
      <c r="E462" s="511"/>
      <c r="N462" s="587"/>
    </row>
    <row r="463" spans="5:14">
      <c r="E463" s="511"/>
      <c r="N463" s="587"/>
    </row>
    <row r="464" spans="5:14">
      <c r="E464" s="511"/>
      <c r="N464" s="587"/>
    </row>
    <row r="465" spans="5:14">
      <c r="E465" s="511"/>
      <c r="N465" s="587"/>
    </row>
    <row r="466" spans="5:14">
      <c r="E466" s="511"/>
      <c r="N466" s="587"/>
    </row>
    <row r="467" spans="5:14">
      <c r="E467" s="511"/>
      <c r="N467" s="587"/>
    </row>
    <row r="468" spans="5:14">
      <c r="E468" s="511"/>
      <c r="N468" s="587"/>
    </row>
    <row r="469" spans="5:14">
      <c r="E469" s="511"/>
      <c r="N469" s="587"/>
    </row>
    <row r="470" spans="5:14">
      <c r="E470" s="511"/>
      <c r="N470" s="587"/>
    </row>
    <row r="471" spans="5:14">
      <c r="E471" s="511"/>
      <c r="N471" s="587"/>
    </row>
    <row r="472" spans="5:14">
      <c r="E472" s="511"/>
      <c r="N472" s="587"/>
    </row>
    <row r="473" spans="5:14">
      <c r="E473" s="511"/>
      <c r="N473" s="587"/>
    </row>
    <row r="474" spans="5:14">
      <c r="E474" s="511"/>
      <c r="N474" s="587"/>
    </row>
    <row r="475" spans="5:14">
      <c r="E475" s="511"/>
      <c r="N475" s="587"/>
    </row>
    <row r="476" spans="5:14">
      <c r="E476" s="511"/>
      <c r="N476" s="587"/>
    </row>
    <row r="477" spans="5:14">
      <c r="E477" s="511"/>
      <c r="N477" s="587"/>
    </row>
    <row r="478" spans="5:14">
      <c r="E478" s="511"/>
      <c r="N478" s="587"/>
    </row>
    <row r="479" spans="5:14">
      <c r="E479" s="511"/>
      <c r="N479" s="587"/>
    </row>
    <row r="480" spans="5:14">
      <c r="E480" s="511"/>
      <c r="N480" s="587"/>
    </row>
    <row r="481" spans="5:14">
      <c r="E481" s="511"/>
      <c r="N481" s="587"/>
    </row>
    <row r="482" spans="5:14">
      <c r="E482" s="511"/>
      <c r="N482" s="587"/>
    </row>
    <row r="483" spans="5:14">
      <c r="E483" s="511"/>
      <c r="N483" s="587"/>
    </row>
    <row r="484" spans="5:14">
      <c r="E484" s="511"/>
      <c r="N484" s="587"/>
    </row>
    <row r="485" spans="5:14">
      <c r="E485" s="511"/>
      <c r="N485" s="587"/>
    </row>
    <row r="486" spans="5:14">
      <c r="E486" s="511"/>
      <c r="N486" s="587"/>
    </row>
    <row r="487" spans="5:14">
      <c r="E487" s="511"/>
      <c r="N487" s="587"/>
    </row>
    <row r="488" spans="5:14">
      <c r="E488" s="511"/>
      <c r="N488" s="587"/>
    </row>
    <row r="489" spans="5:14">
      <c r="E489" s="511"/>
      <c r="N489" s="587"/>
    </row>
    <row r="490" spans="5:14">
      <c r="E490" s="511"/>
      <c r="N490" s="587"/>
    </row>
    <row r="491" spans="5:14">
      <c r="E491" s="511"/>
      <c r="N491" s="587"/>
    </row>
    <row r="492" spans="5:14">
      <c r="E492" s="511"/>
      <c r="N492" s="587"/>
    </row>
    <row r="493" spans="5:14">
      <c r="E493" s="511"/>
      <c r="N493" s="587"/>
    </row>
    <row r="494" spans="5:14">
      <c r="E494" s="511"/>
      <c r="N494" s="587"/>
    </row>
    <row r="495" spans="5:14">
      <c r="E495" s="511"/>
      <c r="N495" s="587"/>
    </row>
    <row r="496" spans="5:14">
      <c r="E496" s="511"/>
      <c r="N496" s="587"/>
    </row>
    <row r="497" spans="5:14">
      <c r="E497" s="511"/>
      <c r="N497" s="587"/>
    </row>
    <row r="498" spans="5:14">
      <c r="E498" s="511"/>
      <c r="N498" s="587"/>
    </row>
    <row r="499" spans="5:14">
      <c r="E499" s="511"/>
      <c r="N499" s="587"/>
    </row>
    <row r="500" spans="5:14">
      <c r="E500" s="511"/>
      <c r="N500" s="587"/>
    </row>
    <row r="501" spans="5:14">
      <c r="E501" s="511"/>
      <c r="N501" s="587"/>
    </row>
    <row r="502" spans="5:14">
      <c r="E502" s="511"/>
      <c r="N502" s="587"/>
    </row>
    <row r="503" spans="5:14">
      <c r="E503" s="511"/>
      <c r="N503" s="587"/>
    </row>
    <row r="504" spans="5:14">
      <c r="E504" s="511"/>
      <c r="N504" s="587"/>
    </row>
    <row r="505" spans="5:14">
      <c r="E505" s="511"/>
      <c r="N505" s="587"/>
    </row>
    <row r="506" spans="5:14">
      <c r="E506" s="511"/>
      <c r="N506" s="587"/>
    </row>
    <row r="507" spans="5:14">
      <c r="E507" s="511"/>
      <c r="N507" s="587"/>
    </row>
    <row r="508" spans="5:14">
      <c r="E508" s="511"/>
      <c r="N508" s="587"/>
    </row>
    <row r="509" spans="5:14">
      <c r="E509" s="511"/>
      <c r="N509" s="587"/>
    </row>
    <row r="510" spans="5:14">
      <c r="E510" s="511"/>
      <c r="N510" s="587"/>
    </row>
    <row r="511" spans="5:14">
      <c r="E511" s="511"/>
      <c r="N511" s="587"/>
    </row>
    <row r="512" spans="5:14">
      <c r="E512" s="511"/>
      <c r="N512" s="587"/>
    </row>
    <row r="513" spans="5:14">
      <c r="E513" s="511"/>
      <c r="N513" s="587"/>
    </row>
    <row r="514" spans="5:14">
      <c r="E514" s="511"/>
      <c r="N514" s="587"/>
    </row>
    <row r="515" spans="5:14">
      <c r="E515" s="511"/>
      <c r="N515" s="587"/>
    </row>
    <row r="516" spans="5:14">
      <c r="E516" s="511"/>
      <c r="N516" s="587"/>
    </row>
    <row r="517" spans="5:14">
      <c r="E517" s="511"/>
      <c r="N517" s="587"/>
    </row>
    <row r="518" spans="5:14">
      <c r="E518" s="511"/>
      <c r="N518" s="587"/>
    </row>
    <row r="519" spans="5:14">
      <c r="E519" s="511"/>
      <c r="N519" s="587"/>
    </row>
    <row r="520" spans="5:14">
      <c r="E520" s="511"/>
      <c r="N520" s="587"/>
    </row>
    <row r="521" spans="5:14">
      <c r="E521" s="511"/>
      <c r="N521" s="587"/>
    </row>
    <row r="522" spans="5:14">
      <c r="E522" s="511"/>
      <c r="N522" s="587"/>
    </row>
    <row r="523" spans="5:14">
      <c r="E523" s="511"/>
      <c r="N523" s="587"/>
    </row>
    <row r="524" spans="5:14">
      <c r="E524" s="511"/>
      <c r="N524" s="587"/>
    </row>
    <row r="525" spans="5:14">
      <c r="E525" s="511"/>
      <c r="N525" s="587"/>
    </row>
    <row r="526" spans="5:14">
      <c r="E526" s="511"/>
      <c r="N526" s="587"/>
    </row>
    <row r="527" spans="5:14">
      <c r="E527" s="511"/>
      <c r="N527" s="587"/>
    </row>
    <row r="528" spans="5:14">
      <c r="E528" s="511"/>
      <c r="N528" s="587"/>
    </row>
    <row r="529" spans="5:14">
      <c r="E529" s="511"/>
      <c r="N529" s="587"/>
    </row>
    <row r="530" spans="5:14">
      <c r="E530" s="511"/>
      <c r="N530" s="587"/>
    </row>
    <row r="531" spans="5:14">
      <c r="E531" s="511"/>
      <c r="N531" s="587"/>
    </row>
    <row r="532" spans="5:14">
      <c r="E532" s="511"/>
      <c r="N532" s="587"/>
    </row>
    <row r="533" spans="5:14">
      <c r="E533" s="511"/>
      <c r="N533" s="587"/>
    </row>
    <row r="534" spans="5:14">
      <c r="E534" s="511"/>
      <c r="N534" s="587"/>
    </row>
    <row r="535" spans="5:14">
      <c r="E535" s="511"/>
      <c r="N535" s="587"/>
    </row>
    <row r="536" spans="5:14">
      <c r="E536" s="511"/>
      <c r="N536" s="587"/>
    </row>
    <row r="537" spans="5:14" ht="12" thickBot="1">
      <c r="E537" s="511"/>
      <c r="N537" s="2005"/>
    </row>
    <row r="538" spans="5:14" ht="12" thickBot="1">
      <c r="E538" s="511"/>
      <c r="N538" s="2006"/>
    </row>
    <row r="539" spans="5:14" ht="12" thickBot="1">
      <c r="E539" s="511"/>
      <c r="N539" s="2006"/>
    </row>
    <row r="540" spans="5:14" ht="12" thickBot="1">
      <c r="E540" s="511"/>
      <c r="N540" s="2006"/>
    </row>
    <row r="541" spans="5:14" ht="12" thickBot="1">
      <c r="E541" s="511"/>
      <c r="M541" s="1999"/>
      <c r="N541" s="2006"/>
    </row>
    <row r="542" spans="5:14" ht="12" thickBot="1">
      <c r="E542" s="511"/>
      <c r="M542" s="2000"/>
      <c r="N542" s="2006"/>
    </row>
    <row r="543" spans="5:14" ht="12" thickBot="1">
      <c r="E543" s="511"/>
      <c r="M543" s="2000"/>
      <c r="N543" s="2006"/>
    </row>
    <row r="544" spans="5:14" ht="12" thickBot="1">
      <c r="E544" s="511"/>
      <c r="M544" s="2000"/>
      <c r="N544" s="2006"/>
    </row>
    <row r="545" spans="1:14" ht="12" thickBot="1">
      <c r="E545" s="511"/>
      <c r="M545" s="2000"/>
      <c r="N545" s="2006"/>
    </row>
    <row r="546" spans="1:14" ht="12" thickBot="1">
      <c r="A546" s="2011"/>
      <c r="B546" s="1999"/>
      <c r="C546" s="1999"/>
      <c r="D546" s="1999"/>
      <c r="E546" s="1999"/>
      <c r="F546" s="1999"/>
      <c r="G546" s="1999"/>
      <c r="H546" s="1999"/>
      <c r="I546" s="1999"/>
      <c r="J546" s="1999"/>
      <c r="K546" s="1999"/>
      <c r="L546" s="1999"/>
      <c r="M546" s="2000"/>
      <c r="N546" s="2006"/>
    </row>
    <row r="547" spans="1:14" ht="12" thickBot="1">
      <c r="A547" s="2012"/>
      <c r="B547" s="2001"/>
      <c r="C547" s="2001"/>
      <c r="D547" s="2001"/>
      <c r="E547" s="2001"/>
      <c r="F547" s="2001"/>
      <c r="G547" s="2001"/>
      <c r="H547" s="2001"/>
      <c r="I547" s="2001"/>
      <c r="J547" s="2001"/>
      <c r="K547" s="2001"/>
      <c r="L547" s="2001"/>
      <c r="M547" s="2001"/>
      <c r="N547" s="2006"/>
    </row>
    <row r="548" spans="1:14" ht="12" thickBot="1">
      <c r="A548" s="2012"/>
      <c r="E548" s="511"/>
      <c r="N548" s="2006"/>
    </row>
    <row r="549" spans="1:14" ht="12" thickBot="1">
      <c r="A549" s="2012"/>
      <c r="E549" s="511"/>
      <c r="N549" s="2006"/>
    </row>
    <row r="550" spans="1:14" ht="12" thickBot="1">
      <c r="A550" s="2012"/>
      <c r="E550" s="511"/>
      <c r="N550" s="2006"/>
    </row>
    <row r="551" spans="1:14" ht="12" thickBot="1">
      <c r="A551" s="2012"/>
      <c r="E551" s="511"/>
      <c r="N551" s="2006"/>
    </row>
    <row r="552" spans="1:14" ht="12" thickBot="1">
      <c r="A552" s="2012"/>
      <c r="E552" s="511"/>
      <c r="N552" s="2006"/>
    </row>
    <row r="553" spans="1:14" ht="12" thickBot="1">
      <c r="A553" s="2012"/>
      <c r="E553" s="511"/>
      <c r="N553" s="2006"/>
    </row>
    <row r="554" spans="1:14">
      <c r="A554" s="2013"/>
      <c r="E554" s="511"/>
      <c r="N554" s="2007"/>
    </row>
    <row r="555" spans="1:14">
      <c r="E555" s="511"/>
      <c r="N555" s="587"/>
    </row>
    <row r="556" spans="1:14">
      <c r="E556" s="511"/>
      <c r="N556" s="587"/>
    </row>
    <row r="557" spans="1:14">
      <c r="E557" s="511"/>
      <c r="N557" s="587"/>
    </row>
    <row r="558" spans="1:14">
      <c r="E558" s="511"/>
      <c r="N558" s="587"/>
    </row>
    <row r="559" spans="1:14">
      <c r="E559" s="511"/>
      <c r="N559" s="587"/>
    </row>
    <row r="560" spans="1:14">
      <c r="E560" s="511"/>
      <c r="N560" s="587"/>
    </row>
    <row r="561" spans="5:14">
      <c r="E561" s="511"/>
      <c r="N561" s="587"/>
    </row>
    <row r="562" spans="5:14">
      <c r="E562" s="511"/>
      <c r="N562" s="587"/>
    </row>
    <row r="563" spans="5:14">
      <c r="E563" s="511"/>
      <c r="N563" s="587"/>
    </row>
    <row r="564" spans="5:14">
      <c r="E564" s="511"/>
      <c r="N564" s="587"/>
    </row>
    <row r="565" spans="5:14">
      <c r="E565" s="511"/>
      <c r="N565" s="587"/>
    </row>
    <row r="566" spans="5:14">
      <c r="E566" s="511"/>
      <c r="N566" s="587"/>
    </row>
    <row r="567" spans="5:14">
      <c r="E567" s="511"/>
      <c r="N567" s="587"/>
    </row>
    <row r="568" spans="5:14">
      <c r="E568" s="511"/>
      <c r="N568" s="587"/>
    </row>
    <row r="569" spans="5:14">
      <c r="E569" s="511"/>
      <c r="N569" s="587"/>
    </row>
    <row r="570" spans="5:14">
      <c r="E570" s="511"/>
      <c r="N570" s="587"/>
    </row>
    <row r="571" spans="5:14">
      <c r="E571" s="511"/>
      <c r="N571" s="587"/>
    </row>
    <row r="572" spans="5:14">
      <c r="E572" s="511"/>
      <c r="N572" s="587"/>
    </row>
    <row r="573" spans="5:14">
      <c r="E573" s="511"/>
      <c r="N573" s="587"/>
    </row>
    <row r="574" spans="5:14">
      <c r="E574" s="511"/>
      <c r="N574" s="587"/>
    </row>
    <row r="575" spans="5:14">
      <c r="E575" s="511"/>
      <c r="N575" s="587"/>
    </row>
    <row r="576" spans="5:14">
      <c r="E576" s="511"/>
      <c r="N576" s="587"/>
    </row>
    <row r="577" spans="5:14">
      <c r="E577" s="511"/>
      <c r="N577" s="587"/>
    </row>
    <row r="578" spans="5:14">
      <c r="E578" s="511"/>
      <c r="N578" s="587"/>
    </row>
    <row r="579" spans="5:14">
      <c r="E579" s="511"/>
      <c r="N579" s="587"/>
    </row>
    <row r="580" spans="5:14">
      <c r="E580" s="511"/>
      <c r="N580" s="587"/>
    </row>
    <row r="581" spans="5:14">
      <c r="E581" s="511"/>
      <c r="N581" s="587"/>
    </row>
    <row r="582" spans="5:14">
      <c r="E582" s="511"/>
      <c r="N582" s="587"/>
    </row>
    <row r="583" spans="5:14">
      <c r="E583" s="511"/>
      <c r="N583" s="587"/>
    </row>
    <row r="584" spans="5:14">
      <c r="E584" s="511"/>
      <c r="N584" s="587"/>
    </row>
    <row r="585" spans="5:14">
      <c r="E585" s="511"/>
      <c r="N585" s="587"/>
    </row>
    <row r="586" spans="5:14">
      <c r="E586" s="511"/>
      <c r="N586" s="587"/>
    </row>
    <row r="587" spans="5:14">
      <c r="E587" s="511"/>
      <c r="N587" s="587"/>
    </row>
    <row r="588" spans="5:14">
      <c r="E588" s="511"/>
      <c r="N588" s="587"/>
    </row>
    <row r="589" spans="5:14">
      <c r="E589" s="511"/>
      <c r="N589" s="587"/>
    </row>
    <row r="590" spans="5:14">
      <c r="E590" s="511"/>
      <c r="N590" s="587"/>
    </row>
    <row r="591" spans="5:14">
      <c r="E591" s="511"/>
      <c r="N591" s="587"/>
    </row>
    <row r="592" spans="5:14">
      <c r="E592" s="511"/>
      <c r="N592" s="587"/>
    </row>
    <row r="593" spans="5:14">
      <c r="E593" s="511"/>
      <c r="N593" s="587"/>
    </row>
    <row r="594" spans="5:14">
      <c r="E594" s="511"/>
      <c r="N594" s="587"/>
    </row>
    <row r="595" spans="5:14">
      <c r="E595" s="511"/>
      <c r="N595" s="587"/>
    </row>
    <row r="596" spans="5:14">
      <c r="E596" s="511"/>
      <c r="N596" s="587"/>
    </row>
    <row r="597" spans="5:14">
      <c r="E597" s="511"/>
      <c r="N597" s="587"/>
    </row>
    <row r="598" spans="5:14">
      <c r="E598" s="511"/>
      <c r="N598" s="587"/>
    </row>
    <row r="599" spans="5:14">
      <c r="E599" s="511"/>
      <c r="N599" s="587"/>
    </row>
    <row r="600" spans="5:14">
      <c r="E600" s="511"/>
      <c r="N600" s="587"/>
    </row>
    <row r="601" spans="5:14">
      <c r="E601" s="511"/>
      <c r="N601" s="587"/>
    </row>
    <row r="602" spans="5:14">
      <c r="E602" s="511"/>
      <c r="N602" s="587"/>
    </row>
    <row r="603" spans="5:14">
      <c r="E603" s="511"/>
      <c r="N603" s="587"/>
    </row>
    <row r="604" spans="5:14">
      <c r="E604" s="511"/>
      <c r="N604" s="587"/>
    </row>
    <row r="605" spans="5:14">
      <c r="E605" s="511"/>
      <c r="N605" s="587"/>
    </row>
    <row r="606" spans="5:14">
      <c r="E606" s="511"/>
      <c r="N606" s="587"/>
    </row>
    <row r="607" spans="5:14">
      <c r="E607" s="511"/>
      <c r="N607" s="587"/>
    </row>
    <row r="608" spans="5:14">
      <c r="E608" s="511"/>
      <c r="N608" s="587"/>
    </row>
    <row r="609" spans="5:14">
      <c r="E609" s="511"/>
      <c r="N609" s="587"/>
    </row>
    <row r="610" spans="5:14">
      <c r="E610" s="511"/>
      <c r="N610" s="587"/>
    </row>
    <row r="611" spans="5:14">
      <c r="E611" s="511"/>
      <c r="N611" s="587"/>
    </row>
    <row r="612" spans="5:14">
      <c r="E612" s="511"/>
      <c r="N612" s="587"/>
    </row>
    <row r="613" spans="5:14">
      <c r="E613" s="511"/>
      <c r="N613" s="587"/>
    </row>
    <row r="614" spans="5:14">
      <c r="E614" s="511"/>
      <c r="N614" s="587"/>
    </row>
    <row r="615" spans="5:14">
      <c r="E615" s="511"/>
      <c r="N615" s="587"/>
    </row>
    <row r="616" spans="5:14">
      <c r="E616" s="511"/>
      <c r="N616" s="587"/>
    </row>
    <row r="617" spans="5:14">
      <c r="E617" s="511"/>
      <c r="N617" s="587"/>
    </row>
    <row r="618" spans="5:14">
      <c r="E618" s="511"/>
      <c r="N618" s="587"/>
    </row>
    <row r="619" spans="5:14">
      <c r="E619" s="511"/>
      <c r="N619" s="587"/>
    </row>
    <row r="620" spans="5:14">
      <c r="E620" s="511"/>
      <c r="N620" s="587"/>
    </row>
    <row r="621" spans="5:14">
      <c r="E621" s="511"/>
      <c r="N621" s="587"/>
    </row>
    <row r="622" spans="5:14">
      <c r="E622" s="511"/>
      <c r="N622" s="587"/>
    </row>
    <row r="623" spans="5:14">
      <c r="E623" s="511"/>
      <c r="N623" s="587"/>
    </row>
    <row r="624" spans="5:14">
      <c r="E624" s="511"/>
      <c r="N624" s="587"/>
    </row>
    <row r="625" spans="5:14">
      <c r="E625" s="511"/>
      <c r="N625" s="587"/>
    </row>
    <row r="626" spans="5:14">
      <c r="E626" s="511"/>
      <c r="N626" s="587"/>
    </row>
    <row r="627" spans="5:14">
      <c r="E627" s="511"/>
      <c r="N627" s="587"/>
    </row>
    <row r="628" spans="5:14">
      <c r="E628" s="511"/>
      <c r="N628" s="587"/>
    </row>
    <row r="629" spans="5:14">
      <c r="E629" s="511"/>
      <c r="N629" s="587"/>
    </row>
    <row r="630" spans="5:14">
      <c r="E630" s="511"/>
      <c r="N630" s="587"/>
    </row>
    <row r="631" spans="5:14">
      <c r="E631" s="511"/>
      <c r="N631" s="587"/>
    </row>
    <row r="632" spans="5:14">
      <c r="E632" s="511"/>
      <c r="N632" s="587"/>
    </row>
    <row r="633" spans="5:14">
      <c r="E633" s="511"/>
      <c r="N633" s="587"/>
    </row>
    <row r="634" spans="5:14">
      <c r="E634" s="511"/>
      <c r="N634" s="587"/>
    </row>
    <row r="635" spans="5:14">
      <c r="E635" s="511"/>
      <c r="N635" s="587"/>
    </row>
    <row r="636" spans="5:14">
      <c r="E636" s="511"/>
      <c r="N636" s="587"/>
    </row>
    <row r="637" spans="5:14">
      <c r="E637" s="511"/>
      <c r="N637" s="587"/>
    </row>
    <row r="638" spans="5:14">
      <c r="E638" s="511"/>
      <c r="N638" s="587"/>
    </row>
    <row r="639" spans="5:14">
      <c r="E639" s="511"/>
      <c r="N639" s="587"/>
    </row>
    <row r="640" spans="5:14">
      <c r="E640" s="511"/>
      <c r="N640" s="587"/>
    </row>
    <row r="641" spans="5:14">
      <c r="E641" s="511"/>
      <c r="N641" s="587"/>
    </row>
    <row r="642" spans="5:14">
      <c r="E642" s="511"/>
      <c r="N642" s="587"/>
    </row>
    <row r="643" spans="5:14">
      <c r="E643" s="511"/>
      <c r="N643" s="587"/>
    </row>
    <row r="644" spans="5:14">
      <c r="E644" s="511"/>
      <c r="N644" s="587"/>
    </row>
    <row r="645" spans="5:14">
      <c r="E645" s="511"/>
      <c r="N645" s="587"/>
    </row>
    <row r="646" spans="5:14">
      <c r="E646" s="511"/>
      <c r="N646" s="587"/>
    </row>
    <row r="647" spans="5:14">
      <c r="E647" s="511"/>
      <c r="N647" s="587"/>
    </row>
    <row r="648" spans="5:14">
      <c r="E648" s="511"/>
      <c r="N648" s="587"/>
    </row>
    <row r="649" spans="5:14">
      <c r="E649" s="511"/>
      <c r="N649" s="587"/>
    </row>
    <row r="650" spans="5:14">
      <c r="E650" s="511"/>
      <c r="N650" s="587"/>
    </row>
    <row r="651" spans="5:14">
      <c r="E651" s="511"/>
      <c r="N651" s="587"/>
    </row>
    <row r="652" spans="5:14">
      <c r="E652" s="511"/>
      <c r="N652" s="587"/>
    </row>
    <row r="653" spans="5:14">
      <c r="E653" s="511"/>
      <c r="N653" s="587"/>
    </row>
    <row r="654" spans="5:14">
      <c r="E654" s="511"/>
      <c r="N654" s="587"/>
    </row>
    <row r="655" spans="5:14">
      <c r="E655" s="511"/>
      <c r="N655" s="587"/>
    </row>
    <row r="656" spans="5:14">
      <c r="E656" s="511"/>
      <c r="N656" s="587"/>
    </row>
    <row r="657" spans="5:14">
      <c r="E657" s="511"/>
      <c r="N657" s="587"/>
    </row>
    <row r="658" spans="5:14">
      <c r="E658" s="511"/>
      <c r="N658" s="587"/>
    </row>
    <row r="659" spans="5:14">
      <c r="E659" s="511"/>
      <c r="N659" s="587"/>
    </row>
    <row r="660" spans="5:14">
      <c r="E660" s="511"/>
      <c r="N660" s="587"/>
    </row>
    <row r="661" spans="5:14">
      <c r="E661" s="511"/>
      <c r="N661" s="587"/>
    </row>
    <row r="662" spans="5:14">
      <c r="E662" s="511"/>
      <c r="N662" s="587"/>
    </row>
    <row r="663" spans="5:14">
      <c r="E663" s="511"/>
      <c r="N663" s="587"/>
    </row>
    <row r="664" spans="5:14">
      <c r="E664" s="511"/>
      <c r="N664" s="587"/>
    </row>
    <row r="665" spans="5:14">
      <c r="E665" s="511"/>
      <c r="N665" s="587"/>
    </row>
    <row r="666" spans="5:14">
      <c r="E666" s="511"/>
      <c r="N666" s="587"/>
    </row>
    <row r="667" spans="5:14">
      <c r="E667" s="511"/>
      <c r="N667" s="587"/>
    </row>
    <row r="668" spans="5:14">
      <c r="E668" s="511"/>
      <c r="N668" s="587"/>
    </row>
    <row r="669" spans="5:14">
      <c r="E669" s="511"/>
      <c r="N669" s="587"/>
    </row>
    <row r="670" spans="5:14">
      <c r="E670" s="511"/>
      <c r="N670" s="587"/>
    </row>
    <row r="671" spans="5:14">
      <c r="E671" s="511"/>
      <c r="N671" s="587"/>
    </row>
    <row r="672" spans="5:14">
      <c r="E672" s="511"/>
      <c r="N672" s="587"/>
    </row>
    <row r="673" spans="5:14">
      <c r="E673" s="511"/>
      <c r="N673" s="587"/>
    </row>
    <row r="674" spans="5:14">
      <c r="E674" s="511"/>
      <c r="N674" s="587"/>
    </row>
    <row r="675" spans="5:14">
      <c r="E675" s="511"/>
      <c r="N675" s="587"/>
    </row>
    <row r="676" spans="5:14">
      <c r="E676" s="511"/>
      <c r="N676" s="587"/>
    </row>
    <row r="677" spans="5:14">
      <c r="E677" s="511"/>
      <c r="N677" s="587"/>
    </row>
    <row r="678" spans="5:14">
      <c r="E678" s="511"/>
      <c r="N678" s="587"/>
    </row>
    <row r="679" spans="5:14">
      <c r="E679" s="511"/>
      <c r="N679" s="587"/>
    </row>
  </sheetData>
  <mergeCells count="158">
    <mergeCell ref="N56:N60"/>
    <mergeCell ref="C134:C135"/>
    <mergeCell ref="C136:C137"/>
    <mergeCell ref="N126:N132"/>
    <mergeCell ref="N133:N137"/>
    <mergeCell ref="M157:M159"/>
    <mergeCell ref="C158:C159"/>
    <mergeCell ref="N138:N150"/>
    <mergeCell ref="N151:N159"/>
    <mergeCell ref="N61:N67"/>
    <mergeCell ref="M68:M72"/>
    <mergeCell ref="M133:M137"/>
    <mergeCell ref="C97:C102"/>
    <mergeCell ref="C106:C107"/>
    <mergeCell ref="N96:N102"/>
    <mergeCell ref="C63:C67"/>
    <mergeCell ref="C93:C94"/>
    <mergeCell ref="A138:A150"/>
    <mergeCell ref="M148:M150"/>
    <mergeCell ref="C149:C150"/>
    <mergeCell ref="M105:M107"/>
    <mergeCell ref="N68:N72"/>
    <mergeCell ref="C69:C70"/>
    <mergeCell ref="C71:C72"/>
    <mergeCell ref="M170:M172"/>
    <mergeCell ref="C171:C172"/>
    <mergeCell ref="A151:A159"/>
    <mergeCell ref="C153:C156"/>
    <mergeCell ref="A126:A137"/>
    <mergeCell ref="C128:C132"/>
    <mergeCell ref="A160:A172"/>
    <mergeCell ref="N160:N172"/>
    <mergeCell ref="C162:C167"/>
    <mergeCell ref="C140:C147"/>
    <mergeCell ref="M92:M94"/>
    <mergeCell ref="N83:N89"/>
    <mergeCell ref="N73:N78"/>
    <mergeCell ref="M79:M81"/>
    <mergeCell ref="N79:N81"/>
    <mergeCell ref="N123:N125"/>
    <mergeCell ref="N117:N122"/>
    <mergeCell ref="A49:A60"/>
    <mergeCell ref="C51:C55"/>
    <mergeCell ref="C59:C60"/>
    <mergeCell ref="A73:A81"/>
    <mergeCell ref="C75:C78"/>
    <mergeCell ref="C80:C81"/>
    <mergeCell ref="C84:C89"/>
    <mergeCell ref="C47:C48"/>
    <mergeCell ref="A3:N3"/>
    <mergeCell ref="B4:B5"/>
    <mergeCell ref="C4:C5"/>
    <mergeCell ref="D4:D5"/>
    <mergeCell ref="N4:N5"/>
    <mergeCell ref="M4:M5"/>
    <mergeCell ref="L4:L5"/>
    <mergeCell ref="G4:K4"/>
    <mergeCell ref="C45:C46"/>
    <mergeCell ref="C33:C34"/>
    <mergeCell ref="N37:N43"/>
    <mergeCell ref="N44:N48"/>
    <mergeCell ref="M44:M48"/>
    <mergeCell ref="C39:C43"/>
    <mergeCell ref="N49:N55"/>
    <mergeCell ref="M56:M60"/>
    <mergeCell ref="A117:A125"/>
    <mergeCell ref="C119:C122"/>
    <mergeCell ref="M123:M125"/>
    <mergeCell ref="C124:C125"/>
    <mergeCell ref="N25:N31"/>
    <mergeCell ref="N32:N36"/>
    <mergeCell ref="A82:A94"/>
    <mergeCell ref="M18:M24"/>
    <mergeCell ref="A25:A36"/>
    <mergeCell ref="C35:C36"/>
    <mergeCell ref="C27:C31"/>
    <mergeCell ref="M32:M36"/>
    <mergeCell ref="A37:A48"/>
    <mergeCell ref="N92:N94"/>
    <mergeCell ref="A108:A116"/>
    <mergeCell ref="C110:C113"/>
    <mergeCell ref="M114:M116"/>
    <mergeCell ref="C115:C116"/>
    <mergeCell ref="N105:N107"/>
    <mergeCell ref="N114:N116"/>
    <mergeCell ref="N108:N113"/>
    <mergeCell ref="C57:C58"/>
    <mergeCell ref="A95:A107"/>
    <mergeCell ref="A61:A72"/>
    <mergeCell ref="A296:N297"/>
    <mergeCell ref="A288:A294"/>
    <mergeCell ref="N288:N294"/>
    <mergeCell ref="C290:C291"/>
    <mergeCell ref="C293:C294"/>
    <mergeCell ref="M292:M294"/>
    <mergeCell ref="A280:A283"/>
    <mergeCell ref="A213:A225"/>
    <mergeCell ref="N213:N222"/>
    <mergeCell ref="C215:C222"/>
    <mergeCell ref="M223:M225"/>
    <mergeCell ref="N223:N225"/>
    <mergeCell ref="C224:C225"/>
    <mergeCell ref="A284:A287"/>
    <mergeCell ref="N284:N287"/>
    <mergeCell ref="C286:C287"/>
    <mergeCell ref="N280:N283"/>
    <mergeCell ref="C282:C283"/>
    <mergeCell ref="C273:C276"/>
    <mergeCell ref="N269:N279"/>
    <mergeCell ref="M277:M279"/>
    <mergeCell ref="A226:A234"/>
    <mergeCell ref="N226:N231"/>
    <mergeCell ref="C228:C231"/>
    <mergeCell ref="A173:A181"/>
    <mergeCell ref="C175:C178"/>
    <mergeCell ref="M179:M181"/>
    <mergeCell ref="C180:C181"/>
    <mergeCell ref="A182:A190"/>
    <mergeCell ref="C184:C187"/>
    <mergeCell ref="M188:M190"/>
    <mergeCell ref="C189:C190"/>
    <mergeCell ref="N173:N178"/>
    <mergeCell ref="N179:N181"/>
    <mergeCell ref="N182:N187"/>
    <mergeCell ref="N188:N190"/>
    <mergeCell ref="M232:M234"/>
    <mergeCell ref="N232:N234"/>
    <mergeCell ref="C233:C234"/>
    <mergeCell ref="A235:A246"/>
    <mergeCell ref="N235:N241"/>
    <mergeCell ref="C237:C241"/>
    <mergeCell ref="M242:M246"/>
    <mergeCell ref="N242:N246"/>
    <mergeCell ref="C243:C246"/>
    <mergeCell ref="N201:N203"/>
    <mergeCell ref="C202:C203"/>
    <mergeCell ref="A204:A212"/>
    <mergeCell ref="N204:N209"/>
    <mergeCell ref="C206:C209"/>
    <mergeCell ref="M210:M212"/>
    <mergeCell ref="N210:N212"/>
    <mergeCell ref="C211:C212"/>
    <mergeCell ref="A191:A203"/>
    <mergeCell ref="N191:N200"/>
    <mergeCell ref="C193:C200"/>
    <mergeCell ref="M201:M203"/>
    <mergeCell ref="A256:A267"/>
    <mergeCell ref="A247:A255"/>
    <mergeCell ref="N247:N252"/>
    <mergeCell ref="C249:C252"/>
    <mergeCell ref="M253:M255"/>
    <mergeCell ref="N253:N255"/>
    <mergeCell ref="C254:C255"/>
    <mergeCell ref="N256:N262"/>
    <mergeCell ref="C258:C262"/>
    <mergeCell ref="M263:M267"/>
    <mergeCell ref="N263:N267"/>
    <mergeCell ref="C264:C267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5" firstPageNumber="32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</oddHeader>
    <oddFooter>&amp;C&amp;9&amp;P</oddFooter>
  </headerFooter>
  <rowBreaks count="6" manualBreakCount="6">
    <brk id="36" max="13" man="1"/>
    <brk id="72" max="13" man="1"/>
    <brk id="107" max="13" man="1"/>
    <brk id="137" max="13" man="1"/>
    <brk id="246" max="13" man="1"/>
    <brk id="28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V529"/>
  <sheetViews>
    <sheetView showGridLines="0" view="pageBreakPreview" zoomScaleSheetLayoutView="100" workbookViewId="0">
      <selection activeCell="A14" sqref="A1:XFD1048576"/>
    </sheetView>
  </sheetViews>
  <sheetFormatPr defaultColWidth="9.140625" defaultRowHeight="12.75"/>
  <cols>
    <col min="1" max="1" width="3.42578125" style="255" customWidth="1"/>
    <col min="2" max="2" width="54.7109375" style="256" customWidth="1"/>
    <col min="3" max="3" width="9.85546875" style="256" customWidth="1"/>
    <col min="4" max="4" width="13.7109375" style="256" customWidth="1"/>
    <col min="5" max="5" width="11.85546875" style="256" customWidth="1"/>
    <col min="6" max="6" width="12.7109375" style="256" customWidth="1"/>
    <col min="7" max="7" width="10.28515625" style="256" customWidth="1"/>
    <col min="8" max="8" width="10.85546875" style="256" customWidth="1"/>
    <col min="9" max="9" width="10.5703125" style="256" customWidth="1"/>
    <col min="10" max="10" width="10" style="256" customWidth="1"/>
    <col min="11" max="11" width="10.140625" style="256" customWidth="1"/>
    <col min="12" max="12" width="10.140625" style="256" hidden="1" customWidth="1"/>
    <col min="13" max="13" width="12.7109375" style="256" customWidth="1"/>
    <col min="14" max="14" width="14.28515625" style="320" customWidth="1"/>
    <col min="15" max="15" width="11.5703125" style="319" hidden="1" customWidth="1"/>
    <col min="16" max="16" width="10.140625" style="319" hidden="1" customWidth="1"/>
    <col min="17" max="17" width="10.7109375" style="319" hidden="1" customWidth="1"/>
    <col min="18" max="18" width="9.140625" style="319"/>
    <col min="19" max="19" width="10.140625" style="319" customWidth="1"/>
    <col min="20" max="20" width="9.140625" style="319"/>
    <col min="21" max="21" width="10.7109375" style="319" customWidth="1"/>
    <col min="22" max="22" width="10.140625" style="319" bestFit="1" customWidth="1"/>
    <col min="23" max="30" width="9.140625" style="319"/>
    <col min="31" max="31" width="8.5703125" style="319" customWidth="1"/>
    <col min="32" max="43" width="9.140625" style="319"/>
    <col min="44" max="44" width="8.7109375" style="319" customWidth="1"/>
    <col min="45" max="54" width="9.140625" style="319"/>
    <col min="55" max="55" width="4.28515625" style="319" customWidth="1"/>
    <col min="56" max="65" width="9.140625" style="319"/>
    <col min="66" max="66" width="5" style="319" customWidth="1"/>
    <col min="67" max="76" width="9.140625" style="319"/>
    <col min="77" max="77" width="3.85546875" style="319" customWidth="1"/>
    <col min="78" max="89" width="9.140625" style="319"/>
    <col min="90" max="90" width="5.28515625" style="319" customWidth="1"/>
    <col min="91" max="102" width="9.140625" style="319"/>
    <col min="103" max="103" width="1.5703125" style="319" customWidth="1"/>
    <col min="104" max="116" width="9.140625" style="319"/>
    <col min="117" max="117" width="0.7109375" style="319" customWidth="1"/>
    <col min="118" max="129" width="9.140625" style="319"/>
    <col min="130" max="130" width="8.28515625" style="319" customWidth="1"/>
    <col min="131" max="139" width="9.140625" style="319"/>
    <col min="140" max="140" width="0.28515625" style="319" customWidth="1"/>
    <col min="141" max="166" width="9.140625" style="319"/>
    <col min="167" max="167" width="0.7109375" style="319" customWidth="1"/>
    <col min="168" max="16384" width="9.140625" style="319"/>
  </cols>
  <sheetData>
    <row r="1" spans="1:18" ht="17.25" customHeight="1">
      <c r="D1" s="259"/>
      <c r="E1" s="259"/>
      <c r="G1" s="261" t="s">
        <v>450</v>
      </c>
      <c r="H1" s="3"/>
      <c r="I1" s="3"/>
      <c r="J1" s="3"/>
      <c r="K1" s="3"/>
      <c r="L1" s="3"/>
      <c r="M1" s="3"/>
      <c r="N1" s="4"/>
    </row>
    <row r="2" spans="1:18" ht="36.75" customHeight="1" thickBot="1">
      <c r="A2" s="3831" t="s">
        <v>483</v>
      </c>
      <c r="B2" s="3832"/>
      <c r="C2" s="3832"/>
      <c r="D2" s="3832"/>
      <c r="E2" s="3832"/>
      <c r="F2" s="3832"/>
      <c r="G2" s="3832"/>
      <c r="H2" s="3832"/>
      <c r="I2" s="3832"/>
      <c r="J2" s="3832"/>
      <c r="K2" s="3832"/>
      <c r="L2" s="3832"/>
      <c r="M2" s="3832"/>
      <c r="N2" s="3833"/>
    </row>
    <row r="3" spans="1:18" s="201" customFormat="1" ht="75.75" customHeight="1">
      <c r="A3" s="3517" t="s">
        <v>65</v>
      </c>
      <c r="B3" s="3519" t="s">
        <v>66</v>
      </c>
      <c r="C3" s="3500" t="s">
        <v>62</v>
      </c>
      <c r="D3" s="3502" t="s">
        <v>63</v>
      </c>
      <c r="E3" s="2693" t="s">
        <v>216</v>
      </c>
      <c r="F3" s="3339" t="s">
        <v>542</v>
      </c>
      <c r="G3" s="3521" t="s">
        <v>544</v>
      </c>
      <c r="H3" s="3522"/>
      <c r="I3" s="3522"/>
      <c r="J3" s="3522"/>
      <c r="K3" s="3523"/>
      <c r="L3" s="3658">
        <v>2024</v>
      </c>
      <c r="M3" s="3509" t="s">
        <v>563</v>
      </c>
      <c r="N3" s="3504" t="s">
        <v>64</v>
      </c>
    </row>
    <row r="4" spans="1:18" s="201" customFormat="1" ht="18.75" customHeight="1" thickBot="1">
      <c r="A4" s="3518"/>
      <c r="B4" s="3846"/>
      <c r="C4" s="3501"/>
      <c r="D4" s="3503"/>
      <c r="E4" s="1108" t="s">
        <v>541</v>
      </c>
      <c r="F4" s="2678" t="s">
        <v>5</v>
      </c>
      <c r="G4" s="2678" t="s">
        <v>169</v>
      </c>
      <c r="H4" s="2678" t="s">
        <v>170</v>
      </c>
      <c r="I4" s="2678" t="s">
        <v>210</v>
      </c>
      <c r="J4" s="2678" t="s">
        <v>211</v>
      </c>
      <c r="K4" s="2678" t="s">
        <v>209</v>
      </c>
      <c r="L4" s="3659"/>
      <c r="M4" s="3510"/>
      <c r="N4" s="3505"/>
      <c r="O4" s="362"/>
      <c r="P4" s="362"/>
    </row>
    <row r="5" spans="1:18" s="218" customFormat="1" ht="12.75" customHeight="1" thickBot="1">
      <c r="A5" s="5">
        <v>1</v>
      </c>
      <c r="B5" s="6">
        <v>2</v>
      </c>
      <c r="C5" s="7">
        <v>3</v>
      </c>
      <c r="D5" s="8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4136"/>
      <c r="M5" s="10">
        <v>12</v>
      </c>
      <c r="N5" s="11">
        <v>13</v>
      </c>
      <c r="O5" s="217"/>
      <c r="P5" s="217"/>
    </row>
    <row r="6" spans="1:18" s="201" customFormat="1" ht="16.5" customHeight="1">
      <c r="A6" s="322"/>
      <c r="B6" s="204" t="s">
        <v>67</v>
      </c>
      <c r="C6" s="181"/>
      <c r="D6" s="182">
        <f>+D7+D8</f>
        <v>38992820</v>
      </c>
      <c r="E6" s="182">
        <f>+E7+E8</f>
        <v>0</v>
      </c>
      <c r="F6" s="182">
        <f t="shared" ref="F6:K6" si="0">+F7+F8</f>
        <v>5697680</v>
      </c>
      <c r="G6" s="182">
        <f t="shared" si="0"/>
        <v>15526840</v>
      </c>
      <c r="H6" s="182">
        <f t="shared" si="0"/>
        <v>15502869</v>
      </c>
      <c r="I6" s="182">
        <f t="shared" si="0"/>
        <v>2265431</v>
      </c>
      <c r="J6" s="182">
        <f t="shared" si="0"/>
        <v>0</v>
      </c>
      <c r="K6" s="182">
        <f t="shared" si="0"/>
        <v>0</v>
      </c>
      <c r="L6" s="182">
        <f t="shared" ref="L6" si="1">+L7+L8</f>
        <v>0</v>
      </c>
      <c r="M6" s="12">
        <f>+M7+M8</f>
        <v>33295140</v>
      </c>
      <c r="N6" s="627"/>
      <c r="O6" s="362"/>
    </row>
    <row r="7" spans="1:18" s="201" customFormat="1" ht="16.5" customHeight="1">
      <c r="A7" s="324"/>
      <c r="B7" s="196" t="s">
        <v>68</v>
      </c>
      <c r="C7" s="184"/>
      <c r="D7" s="185">
        <f>+D35</f>
        <v>1266343</v>
      </c>
      <c r="E7" s="185">
        <f>+E434+E452+E370+E385</f>
        <v>0</v>
      </c>
      <c r="F7" s="185">
        <f>+F35</f>
        <v>189594</v>
      </c>
      <c r="G7" s="185">
        <f t="shared" ref="G7:I7" si="2">+G35</f>
        <v>514124</v>
      </c>
      <c r="H7" s="185">
        <f t="shared" si="2"/>
        <v>490892</v>
      </c>
      <c r="I7" s="185">
        <f t="shared" si="2"/>
        <v>71733</v>
      </c>
      <c r="J7" s="185">
        <f t="shared" ref="J7:K7" si="3">+J434+J452+J370</f>
        <v>0</v>
      </c>
      <c r="K7" s="185">
        <f t="shared" si="3"/>
        <v>0</v>
      </c>
      <c r="L7" s="185">
        <f t="shared" ref="L7" si="4">+L434+L452+L370</f>
        <v>0</v>
      </c>
      <c r="M7" s="762">
        <f>SUM(G7:K7)</f>
        <v>1076749</v>
      </c>
      <c r="N7" s="628"/>
    </row>
    <row r="8" spans="1:18" s="201" customFormat="1" ht="16.5" customHeight="1" thickBot="1">
      <c r="A8" s="324"/>
      <c r="B8" s="1950" t="s">
        <v>8</v>
      </c>
      <c r="C8" s="630"/>
      <c r="D8" s="631">
        <f>+D24+D26+D28</f>
        <v>37726477</v>
      </c>
      <c r="E8" s="631">
        <f t="shared" ref="E8:K8" si="5">+E24+E26+E28</f>
        <v>0</v>
      </c>
      <c r="F8" s="631">
        <f t="shared" si="5"/>
        <v>5508086</v>
      </c>
      <c r="G8" s="631">
        <f t="shared" si="5"/>
        <v>15012716</v>
      </c>
      <c r="H8" s="631">
        <f t="shared" si="5"/>
        <v>15011977</v>
      </c>
      <c r="I8" s="631">
        <f t="shared" si="5"/>
        <v>2193698</v>
      </c>
      <c r="J8" s="631">
        <f t="shared" si="5"/>
        <v>0</v>
      </c>
      <c r="K8" s="631">
        <f t="shared" si="5"/>
        <v>0</v>
      </c>
      <c r="L8" s="631">
        <f>+L24+L26+L28</f>
        <v>0</v>
      </c>
      <c r="M8" s="126">
        <f>+I8+H8+G8+J8+K8</f>
        <v>32218391</v>
      </c>
      <c r="N8" s="628"/>
    </row>
    <row r="9" spans="1:18" s="201" customFormat="1" ht="14.25" customHeight="1">
      <c r="A9" s="324"/>
      <c r="B9" s="155" t="s">
        <v>9</v>
      </c>
      <c r="C9" s="16"/>
      <c r="D9" s="632">
        <f t="shared" ref="D9:M9" si="6">+D10+D14</f>
        <v>39992442</v>
      </c>
      <c r="E9" s="632">
        <f t="shared" si="6"/>
        <v>0</v>
      </c>
      <c r="F9" s="632">
        <f t="shared" si="6"/>
        <v>5987579</v>
      </c>
      <c r="G9" s="632">
        <f t="shared" si="6"/>
        <v>16236563</v>
      </c>
      <c r="H9" s="632">
        <f t="shared" si="6"/>
        <v>15502869</v>
      </c>
      <c r="I9" s="632">
        <f t="shared" si="6"/>
        <v>2265431</v>
      </c>
      <c r="J9" s="632">
        <f t="shared" si="6"/>
        <v>0</v>
      </c>
      <c r="K9" s="632">
        <f t="shared" si="6"/>
        <v>0</v>
      </c>
      <c r="L9" s="632">
        <f>+L10+L14</f>
        <v>0</v>
      </c>
      <c r="M9" s="633">
        <f t="shared" si="6"/>
        <v>33295140</v>
      </c>
      <c r="N9" s="565"/>
      <c r="O9" s="634"/>
      <c r="P9" s="362"/>
      <c r="R9" s="362"/>
    </row>
    <row r="10" spans="1:18" s="637" customFormat="1" ht="14.25" customHeight="1">
      <c r="A10" s="324"/>
      <c r="B10" s="1951" t="s">
        <v>10</v>
      </c>
      <c r="C10" s="1779"/>
      <c r="D10" s="763">
        <f>+D11+D12+D13</f>
        <v>5998866</v>
      </c>
      <c r="E10" s="763">
        <f t="shared" ref="E10:K10" si="7">+E11+E12+E13</f>
        <v>0</v>
      </c>
      <c r="F10" s="763">
        <f t="shared" si="7"/>
        <v>898137</v>
      </c>
      <c r="G10" s="763">
        <f t="shared" si="7"/>
        <v>2435485</v>
      </c>
      <c r="H10" s="763">
        <f t="shared" si="7"/>
        <v>2325430</v>
      </c>
      <c r="I10" s="763">
        <f t="shared" si="7"/>
        <v>339814</v>
      </c>
      <c r="J10" s="763">
        <f t="shared" si="7"/>
        <v>0</v>
      </c>
      <c r="K10" s="763">
        <f t="shared" si="7"/>
        <v>0</v>
      </c>
      <c r="L10" s="763">
        <f>+L11+L12+L13</f>
        <v>0</v>
      </c>
      <c r="M10" s="1780">
        <f>SUM(M11:M13)</f>
        <v>4391006</v>
      </c>
      <c r="N10" s="635"/>
      <c r="O10" s="636"/>
      <c r="P10" s="634"/>
    </row>
    <row r="11" spans="1:18" s="201" customFormat="1" ht="14.25" customHeight="1">
      <c r="A11" s="324"/>
      <c r="B11" s="1784" t="s">
        <v>117</v>
      </c>
      <c r="C11" s="638"/>
      <c r="D11" s="764">
        <f>+D24+D37</f>
        <v>1000000</v>
      </c>
      <c r="E11" s="764">
        <f t="shared" ref="E11:K11" si="8">+E24</f>
        <v>0</v>
      </c>
      <c r="F11" s="764">
        <f>+F24+F37</f>
        <v>9480</v>
      </c>
      <c r="G11" s="764">
        <f>+G24+G37</f>
        <v>102106</v>
      </c>
      <c r="H11" s="764">
        <f>+H24+H37</f>
        <v>775143</v>
      </c>
      <c r="I11" s="764">
        <f>+I24+I37</f>
        <v>113271</v>
      </c>
      <c r="J11" s="764">
        <f t="shared" si="8"/>
        <v>0</v>
      </c>
      <c r="K11" s="764">
        <f t="shared" si="8"/>
        <v>0</v>
      </c>
      <c r="L11" s="764">
        <f>+L24</f>
        <v>0</v>
      </c>
      <c r="M11" s="4137">
        <f>SUM(G11:K11)</f>
        <v>990520</v>
      </c>
      <c r="N11" s="565"/>
      <c r="O11" s="362"/>
      <c r="P11" s="362"/>
      <c r="R11" s="362"/>
    </row>
    <row r="12" spans="1:18" s="201" customFormat="1" ht="14.25" customHeight="1">
      <c r="A12" s="324"/>
      <c r="B12" s="1784" t="s">
        <v>30</v>
      </c>
      <c r="C12" s="1781"/>
      <c r="D12" s="764">
        <f>+D25</f>
        <v>999622</v>
      </c>
      <c r="E12" s="764">
        <f t="shared" ref="E12:K12" si="9">+E25</f>
        <v>0</v>
      </c>
      <c r="F12" s="764">
        <f t="shared" si="9"/>
        <v>289899</v>
      </c>
      <c r="G12" s="764">
        <f t="shared" si="9"/>
        <v>709723</v>
      </c>
      <c r="H12" s="764">
        <f t="shared" si="9"/>
        <v>0</v>
      </c>
      <c r="I12" s="764">
        <f t="shared" si="9"/>
        <v>0</v>
      </c>
      <c r="J12" s="764">
        <f t="shared" si="9"/>
        <v>0</v>
      </c>
      <c r="K12" s="764">
        <f t="shared" si="9"/>
        <v>0</v>
      </c>
      <c r="L12" s="764">
        <f>+L25</f>
        <v>0</v>
      </c>
      <c r="M12" s="4138">
        <v>0</v>
      </c>
      <c r="N12" s="641"/>
      <c r="O12" s="362"/>
    </row>
    <row r="13" spans="1:18" s="201" customFormat="1" ht="15.75" customHeight="1">
      <c r="A13" s="324"/>
      <c r="B13" s="1784" t="s">
        <v>480</v>
      </c>
      <c r="C13" s="638"/>
      <c r="D13" s="764">
        <f>+D26+D38</f>
        <v>3999244</v>
      </c>
      <c r="E13" s="764">
        <f t="shared" ref="E13:K13" si="10">+E26</f>
        <v>0</v>
      </c>
      <c r="F13" s="764">
        <f>+F26+F38</f>
        <v>598758</v>
      </c>
      <c r="G13" s="764">
        <f t="shared" ref="G13:I13" si="11">+G26+G38</f>
        <v>1623656</v>
      </c>
      <c r="H13" s="764">
        <f t="shared" si="11"/>
        <v>1550287</v>
      </c>
      <c r="I13" s="764">
        <f t="shared" si="11"/>
        <v>226543</v>
      </c>
      <c r="J13" s="764">
        <f t="shared" si="10"/>
        <v>0</v>
      </c>
      <c r="K13" s="764">
        <f t="shared" si="10"/>
        <v>0</v>
      </c>
      <c r="L13" s="764">
        <f>+L26</f>
        <v>0</v>
      </c>
      <c r="M13" s="4137">
        <f>SUM(G13:K13)</f>
        <v>3400486</v>
      </c>
      <c r="N13" s="641"/>
      <c r="O13" s="362"/>
    </row>
    <row r="14" spans="1:18" s="637" customFormat="1" ht="14.25" customHeight="1">
      <c r="A14" s="324"/>
      <c r="B14" s="1951" t="s">
        <v>17</v>
      </c>
      <c r="C14" s="642"/>
      <c r="D14" s="763">
        <f>+D15</f>
        <v>33993576</v>
      </c>
      <c r="E14" s="763">
        <f t="shared" ref="E14:J14" si="12">+E15</f>
        <v>0</v>
      </c>
      <c r="F14" s="763">
        <f t="shared" si="12"/>
        <v>5089442</v>
      </c>
      <c r="G14" s="763">
        <f t="shared" si="12"/>
        <v>13801078</v>
      </c>
      <c r="H14" s="763">
        <f t="shared" si="12"/>
        <v>13177439</v>
      </c>
      <c r="I14" s="763">
        <f t="shared" si="12"/>
        <v>1925617</v>
      </c>
      <c r="J14" s="763">
        <f t="shared" si="12"/>
        <v>0</v>
      </c>
      <c r="K14" s="763">
        <f>+K15</f>
        <v>0</v>
      </c>
      <c r="L14" s="763">
        <f>+L15</f>
        <v>0</v>
      </c>
      <c r="M14" s="1782">
        <f>+M15</f>
        <v>28904134</v>
      </c>
      <c r="N14" s="643"/>
      <c r="O14" s="636"/>
      <c r="P14" s="634"/>
    </row>
    <row r="15" spans="1:18" s="201" customFormat="1" ht="14.25" customHeight="1">
      <c r="A15" s="324"/>
      <c r="B15" s="1784" t="s">
        <v>19</v>
      </c>
      <c r="C15" s="1783"/>
      <c r="D15" s="764">
        <f>+D28+D40</f>
        <v>33993576</v>
      </c>
      <c r="E15" s="764">
        <f t="shared" ref="E15:K15" si="13">+E28</f>
        <v>0</v>
      </c>
      <c r="F15" s="764">
        <f>+F28+F40</f>
        <v>5089442</v>
      </c>
      <c r="G15" s="764">
        <f t="shared" ref="G15:I15" si="14">+G28+G40</f>
        <v>13801078</v>
      </c>
      <c r="H15" s="764">
        <f t="shared" si="14"/>
        <v>13177439</v>
      </c>
      <c r="I15" s="764">
        <f t="shared" si="14"/>
        <v>1925617</v>
      </c>
      <c r="J15" s="764">
        <f t="shared" si="13"/>
        <v>0</v>
      </c>
      <c r="K15" s="764">
        <f t="shared" si="13"/>
        <v>0</v>
      </c>
      <c r="L15" s="764">
        <f>+L28</f>
        <v>0</v>
      </c>
      <c r="M15" s="4137">
        <f>SUM(G15:K15)</f>
        <v>28904134</v>
      </c>
      <c r="N15" s="565"/>
      <c r="O15" s="362"/>
      <c r="P15" s="362"/>
    </row>
    <row r="16" spans="1:18" s="201" customFormat="1" ht="14.25" customHeight="1">
      <c r="A16" s="324"/>
      <c r="B16" s="1785" t="s">
        <v>20</v>
      </c>
      <c r="C16" s="1169"/>
      <c r="D16" s="548">
        <f>+D17+D19</f>
        <v>37992820</v>
      </c>
      <c r="E16" s="548">
        <f t="shared" ref="E16:K16" si="15">+E17+E19</f>
        <v>0</v>
      </c>
      <c r="F16" s="548">
        <f t="shared" si="15"/>
        <v>5688200</v>
      </c>
      <c r="G16" s="548">
        <f t="shared" si="15"/>
        <v>15424734</v>
      </c>
      <c r="H16" s="548">
        <f t="shared" si="15"/>
        <v>14727726</v>
      </c>
      <c r="I16" s="548">
        <f t="shared" si="15"/>
        <v>2152160</v>
      </c>
      <c r="J16" s="548">
        <f t="shared" si="15"/>
        <v>0</v>
      </c>
      <c r="K16" s="548">
        <f t="shared" si="15"/>
        <v>0</v>
      </c>
      <c r="L16" s="548">
        <f>+L17+L19</f>
        <v>0</v>
      </c>
      <c r="M16" s="3834" t="s">
        <v>52</v>
      </c>
      <c r="N16" s="565"/>
      <c r="O16" s="362"/>
      <c r="R16" s="634"/>
    </row>
    <row r="17" spans="1:16" s="201" customFormat="1" ht="14.25" customHeight="1">
      <c r="A17" s="324"/>
      <c r="B17" s="1786" t="s">
        <v>22</v>
      </c>
      <c r="C17" s="1787"/>
      <c r="D17" s="766">
        <f>+D18</f>
        <v>3999244</v>
      </c>
      <c r="E17" s="766">
        <f t="shared" ref="E17:K17" si="16">+E18</f>
        <v>0</v>
      </c>
      <c r="F17" s="766">
        <f t="shared" si="16"/>
        <v>598758</v>
      </c>
      <c r="G17" s="766">
        <f t="shared" si="16"/>
        <v>1623656</v>
      </c>
      <c r="H17" s="766">
        <f t="shared" si="16"/>
        <v>1550287</v>
      </c>
      <c r="I17" s="766">
        <f t="shared" si="16"/>
        <v>226543</v>
      </c>
      <c r="J17" s="766">
        <f t="shared" si="16"/>
        <v>0</v>
      </c>
      <c r="K17" s="766">
        <f t="shared" si="16"/>
        <v>0</v>
      </c>
      <c r="L17" s="766">
        <f>+L18</f>
        <v>0</v>
      </c>
      <c r="M17" s="3835"/>
      <c r="N17" s="565"/>
    </row>
    <row r="18" spans="1:16" s="201" customFormat="1" ht="14.25" customHeight="1">
      <c r="A18" s="324"/>
      <c r="B18" s="1952" t="s">
        <v>16</v>
      </c>
      <c r="C18" s="21"/>
      <c r="D18" s="764">
        <f>+D43+D31</f>
        <v>3999244</v>
      </c>
      <c r="E18" s="764">
        <f t="shared" ref="E18:K18" si="17">+E31</f>
        <v>0</v>
      </c>
      <c r="F18" s="764">
        <f>+F31+F43</f>
        <v>598758</v>
      </c>
      <c r="G18" s="764">
        <f t="shared" ref="G18:I18" si="18">+G31+G43</f>
        <v>1623656</v>
      </c>
      <c r="H18" s="764">
        <f t="shared" si="18"/>
        <v>1550287</v>
      </c>
      <c r="I18" s="764">
        <f t="shared" si="18"/>
        <v>226543</v>
      </c>
      <c r="J18" s="764">
        <f t="shared" si="17"/>
        <v>0</v>
      </c>
      <c r="K18" s="764">
        <f t="shared" si="17"/>
        <v>0</v>
      </c>
      <c r="L18" s="764">
        <f>+L31</f>
        <v>0</v>
      </c>
      <c r="M18" s="3835"/>
      <c r="N18" s="641"/>
      <c r="O18" s="362"/>
    </row>
    <row r="19" spans="1:16" s="201" customFormat="1" ht="14.25" customHeight="1">
      <c r="A19" s="324"/>
      <c r="B19" s="1788" t="s">
        <v>17</v>
      </c>
      <c r="C19" s="1789"/>
      <c r="D19" s="766">
        <f>+D20</f>
        <v>33993576</v>
      </c>
      <c r="E19" s="766">
        <f t="shared" ref="E19:K19" si="19">+E20</f>
        <v>0</v>
      </c>
      <c r="F19" s="766">
        <f t="shared" si="19"/>
        <v>5089442</v>
      </c>
      <c r="G19" s="766">
        <f t="shared" si="19"/>
        <v>13801078</v>
      </c>
      <c r="H19" s="766">
        <f t="shared" si="19"/>
        <v>13177439</v>
      </c>
      <c r="I19" s="766">
        <f t="shared" si="19"/>
        <v>1925617</v>
      </c>
      <c r="J19" s="766">
        <f t="shared" si="19"/>
        <v>0</v>
      </c>
      <c r="K19" s="766">
        <f t="shared" si="19"/>
        <v>0</v>
      </c>
      <c r="L19" s="766">
        <f>+L20</f>
        <v>0</v>
      </c>
      <c r="M19" s="3835"/>
      <c r="N19" s="641"/>
      <c r="O19" s="362"/>
    </row>
    <row r="20" spans="1:16" s="201" customFormat="1" ht="15" customHeight="1" thickBot="1">
      <c r="A20" s="325"/>
      <c r="B20" s="1953" t="s">
        <v>19</v>
      </c>
      <c r="C20" s="1954"/>
      <c r="D20" s="1955">
        <f>+D33+D45</f>
        <v>33993576</v>
      </c>
      <c r="E20" s="1955">
        <f t="shared" ref="E20:K20" si="20">+E33</f>
        <v>0</v>
      </c>
      <c r="F20" s="1955">
        <f>+F33+F45</f>
        <v>5089442</v>
      </c>
      <c r="G20" s="1955">
        <f t="shared" ref="G20:I20" si="21">+G33+G45</f>
        <v>13801078</v>
      </c>
      <c r="H20" s="1955">
        <f t="shared" si="21"/>
        <v>13177439</v>
      </c>
      <c r="I20" s="1955">
        <f t="shared" si="21"/>
        <v>1925617</v>
      </c>
      <c r="J20" s="1955">
        <f t="shared" si="20"/>
        <v>0</v>
      </c>
      <c r="K20" s="1955">
        <f t="shared" si="20"/>
        <v>0</v>
      </c>
      <c r="L20" s="1955">
        <f>+L33</f>
        <v>0</v>
      </c>
      <c r="M20" s="3836"/>
      <c r="N20" s="1790"/>
    </row>
    <row r="21" spans="1:16" ht="27.75" customHeight="1">
      <c r="A21" s="3837" t="s">
        <v>54</v>
      </c>
      <c r="B21" s="158" t="s">
        <v>488</v>
      </c>
      <c r="C21" s="495" t="s">
        <v>72</v>
      </c>
      <c r="D21" s="2273">
        <f>D22-D25</f>
        <v>37726477</v>
      </c>
      <c r="E21" s="2233"/>
      <c r="F21" s="2233"/>
      <c r="G21" s="2274"/>
      <c r="H21" s="2274"/>
      <c r="I21" s="2274"/>
      <c r="J21" s="2233"/>
      <c r="K21" s="2275"/>
      <c r="L21" s="2233"/>
      <c r="M21" s="2449"/>
      <c r="N21" s="3569" t="s">
        <v>481</v>
      </c>
    </row>
    <row r="22" spans="1:16" ht="12" customHeight="1">
      <c r="A22" s="3838"/>
      <c r="B22" s="1768" t="s">
        <v>9</v>
      </c>
      <c r="C22" s="2276"/>
      <c r="D22" s="2277">
        <f>+D23+D27</f>
        <v>38726099</v>
      </c>
      <c r="E22" s="2278">
        <v>0</v>
      </c>
      <c r="F22" s="497">
        <f>+F23+F27</f>
        <v>5797985</v>
      </c>
      <c r="G22" s="497">
        <f>+G23+G27</f>
        <v>15722439</v>
      </c>
      <c r="H22" s="497">
        <f>+H23+H27</f>
        <v>15011977</v>
      </c>
      <c r="I22" s="497">
        <f>+I23+I27</f>
        <v>2193698</v>
      </c>
      <c r="J22" s="2278">
        <v>0</v>
      </c>
      <c r="K22" s="2278">
        <v>0</v>
      </c>
      <c r="L22" s="2278">
        <v>0</v>
      </c>
      <c r="M22" s="2353">
        <f>+M23+M27</f>
        <v>32218391</v>
      </c>
      <c r="N22" s="3570"/>
      <c r="O22" s="1956"/>
    </row>
    <row r="23" spans="1:16" ht="12" customHeight="1">
      <c r="A23" s="3838"/>
      <c r="B23" s="2279" t="s">
        <v>22</v>
      </c>
      <c r="C23" s="3840" t="s">
        <v>479</v>
      </c>
      <c r="D23" s="2280">
        <f>+D24+D25+D26</f>
        <v>5808915</v>
      </c>
      <c r="E23" s="2281">
        <v>0</v>
      </c>
      <c r="F23" s="2282">
        <f>+F24+F25+F26</f>
        <v>869698</v>
      </c>
      <c r="G23" s="2282">
        <f>+G24+G25+G26</f>
        <v>2358366</v>
      </c>
      <c r="H23" s="2282">
        <f>+H24+H25+H26</f>
        <v>2251796</v>
      </c>
      <c r="I23" s="2282">
        <f>+I24+I25+I26</f>
        <v>329055</v>
      </c>
      <c r="J23" s="2281">
        <v>0</v>
      </c>
      <c r="K23" s="2281">
        <v>0</v>
      </c>
      <c r="L23" s="2281">
        <v>0</v>
      </c>
      <c r="M23" s="2450">
        <f>+M24+M26</f>
        <v>4229494</v>
      </c>
      <c r="N23" s="3570"/>
    </row>
    <row r="24" spans="1:16" ht="12" customHeight="1">
      <c r="A24" s="3838"/>
      <c r="B24" s="2283" t="s">
        <v>117</v>
      </c>
      <c r="C24" s="3841"/>
      <c r="D24" s="1152">
        <f>+F24+G24+H24+I24</f>
        <v>936682</v>
      </c>
      <c r="E24" s="2281">
        <v>0</v>
      </c>
      <c r="F24" s="1254">
        <v>0</v>
      </c>
      <c r="G24" s="1254">
        <v>76399</v>
      </c>
      <c r="H24" s="1254">
        <v>750598</v>
      </c>
      <c r="I24" s="1254">
        <v>109685</v>
      </c>
      <c r="J24" s="2281">
        <v>0</v>
      </c>
      <c r="K24" s="2281">
        <v>0</v>
      </c>
      <c r="L24" s="2281">
        <v>0</v>
      </c>
      <c r="M24" s="4139">
        <f>SUM(G24:K24)</f>
        <v>936682</v>
      </c>
      <c r="N24" s="3570"/>
    </row>
    <row r="25" spans="1:16" ht="12" customHeight="1">
      <c r="A25" s="3838"/>
      <c r="B25" s="2284" t="s">
        <v>30</v>
      </c>
      <c r="C25" s="3841"/>
      <c r="D25" s="1152">
        <f>+F25+G25+H25+I25</f>
        <v>999622</v>
      </c>
      <c r="E25" s="2285">
        <v>0</v>
      </c>
      <c r="F25" s="1254">
        <v>289899</v>
      </c>
      <c r="G25" s="1254">
        <v>709723</v>
      </c>
      <c r="H25" s="1254">
        <v>0</v>
      </c>
      <c r="I25" s="1254">
        <v>0</v>
      </c>
      <c r="J25" s="1609">
        <v>0</v>
      </c>
      <c r="K25" s="1609">
        <v>0</v>
      </c>
      <c r="L25" s="1609">
        <v>0</v>
      </c>
      <c r="M25" s="2319" t="s">
        <v>52</v>
      </c>
      <c r="N25" s="3570"/>
      <c r="P25" s="1956"/>
    </row>
    <row r="26" spans="1:16" ht="12" customHeight="1">
      <c r="A26" s="3838"/>
      <c r="B26" s="2286" t="s">
        <v>480</v>
      </c>
      <c r="C26" s="3841"/>
      <c r="D26" s="1152">
        <f>E26+L26+F26+G26+H26+I26+J26+K26</f>
        <v>3872611</v>
      </c>
      <c r="E26" s="2285">
        <v>0</v>
      </c>
      <c r="F26" s="1254">
        <v>579799</v>
      </c>
      <c r="G26" s="1254">
        <v>1572244</v>
      </c>
      <c r="H26" s="1254">
        <v>1501198</v>
      </c>
      <c r="I26" s="1254">
        <v>219370</v>
      </c>
      <c r="J26" s="1609">
        <v>0</v>
      </c>
      <c r="K26" s="1609">
        <v>0</v>
      </c>
      <c r="L26" s="1609">
        <v>0</v>
      </c>
      <c r="M26" s="4139">
        <f>SUM(G26:K26)</f>
        <v>3292812</v>
      </c>
      <c r="N26" s="3570"/>
    </row>
    <row r="27" spans="1:16" ht="12" customHeight="1">
      <c r="A27" s="3838"/>
      <c r="B27" s="2279" t="s">
        <v>17</v>
      </c>
      <c r="C27" s="3841"/>
      <c r="D27" s="2282">
        <f>+D28</f>
        <v>32917184</v>
      </c>
      <c r="E27" s="2285">
        <v>0</v>
      </c>
      <c r="F27" s="2282">
        <f>+F28</f>
        <v>4928287</v>
      </c>
      <c r="G27" s="2282">
        <f t="shared" ref="G27:I27" si="22">+G28</f>
        <v>13364073</v>
      </c>
      <c r="H27" s="2282">
        <f t="shared" si="22"/>
        <v>12760181</v>
      </c>
      <c r="I27" s="2282">
        <f t="shared" si="22"/>
        <v>1864643</v>
      </c>
      <c r="J27" s="2287">
        <v>0</v>
      </c>
      <c r="K27" s="2287">
        <v>0</v>
      </c>
      <c r="L27" s="1609">
        <v>0</v>
      </c>
      <c r="M27" s="2355">
        <f>+M28</f>
        <v>27988897</v>
      </c>
      <c r="N27" s="3570"/>
    </row>
    <row r="28" spans="1:16" ht="12" customHeight="1">
      <c r="A28" s="3838"/>
      <c r="B28" s="2286" t="s">
        <v>482</v>
      </c>
      <c r="C28" s="3842"/>
      <c r="D28" s="1152">
        <f>+E28+L28+F28+G28+H28+I28</f>
        <v>32917184</v>
      </c>
      <c r="E28" s="2285">
        <v>0</v>
      </c>
      <c r="F28" s="1254">
        <v>4928287</v>
      </c>
      <c r="G28" s="1254">
        <v>13364073</v>
      </c>
      <c r="H28" s="1254">
        <v>12760181</v>
      </c>
      <c r="I28" s="1254">
        <v>1864643</v>
      </c>
      <c r="J28" s="2287">
        <v>0</v>
      </c>
      <c r="K28" s="2287">
        <v>0</v>
      </c>
      <c r="L28" s="1609">
        <v>0</v>
      </c>
      <c r="M28" s="4139">
        <f>SUM(G28:K28)</f>
        <v>27988897</v>
      </c>
      <c r="N28" s="3764"/>
    </row>
    <row r="29" spans="1:16" ht="12" customHeight="1">
      <c r="A29" s="3838"/>
      <c r="B29" s="1768" t="s">
        <v>20</v>
      </c>
      <c r="C29" s="2276"/>
      <c r="D29" s="497">
        <f>+D30+D32</f>
        <v>36789795</v>
      </c>
      <c r="E29" s="2278">
        <f>+E30+E32</f>
        <v>0</v>
      </c>
      <c r="F29" s="1059">
        <f>+F30+F32</f>
        <v>5508086</v>
      </c>
      <c r="G29" s="1059">
        <f t="shared" ref="G29:I29" si="23">+G30+G32</f>
        <v>14936317</v>
      </c>
      <c r="H29" s="1059">
        <f t="shared" si="23"/>
        <v>14261379</v>
      </c>
      <c r="I29" s="1059">
        <f t="shared" si="23"/>
        <v>2084013</v>
      </c>
      <c r="J29" s="2278">
        <v>0</v>
      </c>
      <c r="K29" s="2278">
        <v>0</v>
      </c>
      <c r="L29" s="2278">
        <f>+L30+L32</f>
        <v>0</v>
      </c>
      <c r="M29" s="3882" t="s">
        <v>52</v>
      </c>
      <c r="N29" s="3570" t="s">
        <v>484</v>
      </c>
    </row>
    <row r="30" spans="1:16" ht="12" customHeight="1">
      <c r="A30" s="3838"/>
      <c r="B30" s="1806" t="s">
        <v>22</v>
      </c>
      <c r="C30" s="3843" t="s">
        <v>180</v>
      </c>
      <c r="D30" s="1242">
        <f>+D31</f>
        <v>3872611</v>
      </c>
      <c r="E30" s="1708">
        <f>+E31</f>
        <v>0</v>
      </c>
      <c r="F30" s="2282">
        <f>+F31</f>
        <v>579799</v>
      </c>
      <c r="G30" s="2282">
        <f t="shared" ref="G30:I30" si="24">+G31</f>
        <v>1572244</v>
      </c>
      <c r="H30" s="2282">
        <f t="shared" si="24"/>
        <v>1501198</v>
      </c>
      <c r="I30" s="2282">
        <f t="shared" si="24"/>
        <v>219370</v>
      </c>
      <c r="J30" s="1708">
        <v>0</v>
      </c>
      <c r="K30" s="1708">
        <v>0</v>
      </c>
      <c r="L30" s="1708">
        <f>+L31</f>
        <v>0</v>
      </c>
      <c r="M30" s="3883"/>
      <c r="N30" s="3570"/>
    </row>
    <row r="31" spans="1:16" ht="12" customHeight="1">
      <c r="A31" s="3838"/>
      <c r="B31" s="2286" t="s">
        <v>480</v>
      </c>
      <c r="C31" s="3844"/>
      <c r="D31" s="1152">
        <f>+F31+G31+H31+I31</f>
        <v>3872611</v>
      </c>
      <c r="E31" s="2285">
        <v>0</v>
      </c>
      <c r="F31" s="1254">
        <v>579799</v>
      </c>
      <c r="G31" s="1254">
        <v>1572244</v>
      </c>
      <c r="H31" s="1254">
        <v>1501198</v>
      </c>
      <c r="I31" s="1254">
        <v>219370</v>
      </c>
      <c r="J31" s="1609">
        <v>0</v>
      </c>
      <c r="K31" s="1609">
        <v>0</v>
      </c>
      <c r="L31" s="2285">
        <v>0</v>
      </c>
      <c r="M31" s="3883"/>
      <c r="N31" s="3570"/>
      <c r="P31" s="1956">
        <f>+D26+D38</f>
        <v>3999244</v>
      </c>
    </row>
    <row r="32" spans="1:16" ht="12" customHeight="1">
      <c r="A32" s="3838"/>
      <c r="B32" s="1808" t="s">
        <v>17</v>
      </c>
      <c r="C32" s="3844"/>
      <c r="D32" s="2282">
        <f t="shared" ref="D32:I32" si="25">+D33</f>
        <v>32917184</v>
      </c>
      <c r="E32" s="2285">
        <f t="shared" si="25"/>
        <v>0</v>
      </c>
      <c r="F32" s="2282">
        <f t="shared" si="25"/>
        <v>4928287</v>
      </c>
      <c r="G32" s="2282">
        <f t="shared" si="25"/>
        <v>13364073</v>
      </c>
      <c r="H32" s="2282">
        <f t="shared" si="25"/>
        <v>12760181</v>
      </c>
      <c r="I32" s="2282">
        <f t="shared" si="25"/>
        <v>1864643</v>
      </c>
      <c r="J32" s="1093">
        <v>0</v>
      </c>
      <c r="K32" s="1093">
        <v>0</v>
      </c>
      <c r="L32" s="1428">
        <f>+L33</f>
        <v>0</v>
      </c>
      <c r="M32" s="3883"/>
      <c r="N32" s="3570"/>
      <c r="P32" s="1956">
        <f>+D33+D45</f>
        <v>33993576</v>
      </c>
    </row>
    <row r="33" spans="1:17" ht="12" customHeight="1" thickBot="1">
      <c r="A33" s="3839"/>
      <c r="B33" s="297" t="s">
        <v>19</v>
      </c>
      <c r="C33" s="3845"/>
      <c r="D33" s="1405">
        <f>+E33+L33+F33+G33+H33+I33</f>
        <v>32917184</v>
      </c>
      <c r="E33" s="2288"/>
      <c r="F33" s="1258">
        <v>4928287</v>
      </c>
      <c r="G33" s="1258">
        <v>13364073</v>
      </c>
      <c r="H33" s="1258">
        <v>12760181</v>
      </c>
      <c r="I33" s="1258">
        <v>1864643</v>
      </c>
      <c r="J33" s="1429">
        <v>0</v>
      </c>
      <c r="K33" s="1429">
        <v>0</v>
      </c>
      <c r="L33" s="1429"/>
      <c r="M33" s="3884"/>
      <c r="N33" s="3571"/>
      <c r="P33" s="1956">
        <f>+P31+P32</f>
        <v>37992820</v>
      </c>
    </row>
    <row r="34" spans="1:17" ht="31.5" customHeight="1">
      <c r="A34" s="3837" t="s">
        <v>55</v>
      </c>
      <c r="B34" s="158" t="s">
        <v>489</v>
      </c>
      <c r="C34" s="495" t="s">
        <v>99</v>
      </c>
      <c r="D34" s="2273"/>
      <c r="E34" s="2233"/>
      <c r="F34" s="2233"/>
      <c r="G34" s="2233"/>
      <c r="H34" s="2233"/>
      <c r="I34" s="2233"/>
      <c r="J34" s="2233"/>
      <c r="K34" s="2275"/>
      <c r="L34" s="2233"/>
      <c r="M34" s="2449"/>
      <c r="N34" s="3569" t="s">
        <v>485</v>
      </c>
    </row>
    <row r="35" spans="1:17" ht="12" customHeight="1">
      <c r="A35" s="3838"/>
      <c r="B35" s="1768" t="s">
        <v>9</v>
      </c>
      <c r="C35" s="2276"/>
      <c r="D35" s="2277">
        <f>+D36+D39</f>
        <v>1266343</v>
      </c>
      <c r="E35" s="2278">
        <v>0</v>
      </c>
      <c r="F35" s="497">
        <f>+F36+F39</f>
        <v>189594</v>
      </c>
      <c r="G35" s="497">
        <f>+G36+G39</f>
        <v>514124</v>
      </c>
      <c r="H35" s="497">
        <f>+H36+H39</f>
        <v>490892</v>
      </c>
      <c r="I35" s="497">
        <f>+I36+I39</f>
        <v>71733</v>
      </c>
      <c r="J35" s="2278">
        <v>0</v>
      </c>
      <c r="K35" s="2278">
        <v>0</v>
      </c>
      <c r="L35" s="2278">
        <v>0</v>
      </c>
      <c r="M35" s="2353">
        <f>+M36+M39</f>
        <v>1076749</v>
      </c>
      <c r="N35" s="3570"/>
    </row>
    <row r="36" spans="1:17" ht="12" customHeight="1">
      <c r="A36" s="3838"/>
      <c r="B36" s="2279" t="s">
        <v>22</v>
      </c>
      <c r="C36" s="3840" t="s">
        <v>138</v>
      </c>
      <c r="D36" s="2280">
        <f>+D37+D38</f>
        <v>189951</v>
      </c>
      <c r="E36" s="2281">
        <v>0</v>
      </c>
      <c r="F36" s="2282">
        <f>+F37+F38</f>
        <v>28439</v>
      </c>
      <c r="G36" s="2282">
        <f t="shared" ref="G36:I36" si="26">+G37+G38</f>
        <v>77119</v>
      </c>
      <c r="H36" s="2282">
        <f t="shared" si="26"/>
        <v>73634</v>
      </c>
      <c r="I36" s="2282">
        <f t="shared" si="26"/>
        <v>10759</v>
      </c>
      <c r="J36" s="2281">
        <v>0</v>
      </c>
      <c r="K36" s="2281">
        <v>0</v>
      </c>
      <c r="L36" s="2281">
        <v>0</v>
      </c>
      <c r="M36" s="2450">
        <f>+M37+M38</f>
        <v>161512</v>
      </c>
      <c r="N36" s="3570"/>
    </row>
    <row r="37" spans="1:17" ht="12" customHeight="1">
      <c r="A37" s="3838"/>
      <c r="B37" s="2283" t="s">
        <v>117</v>
      </c>
      <c r="C37" s="3841"/>
      <c r="D37" s="1152">
        <f>+F37+G37+H37+I37</f>
        <v>63318</v>
      </c>
      <c r="E37" s="2281">
        <v>0</v>
      </c>
      <c r="F37" s="1254">
        <v>9480</v>
      </c>
      <c r="G37" s="1254">
        <v>25707</v>
      </c>
      <c r="H37" s="1254">
        <v>24545</v>
      </c>
      <c r="I37" s="1254">
        <v>3586</v>
      </c>
      <c r="J37" s="2281">
        <v>0</v>
      </c>
      <c r="K37" s="2281">
        <v>0</v>
      </c>
      <c r="L37" s="2281">
        <v>0</v>
      </c>
      <c r="M37" s="4139">
        <f>SUM(G37:K37)</f>
        <v>53838</v>
      </c>
      <c r="N37" s="3570"/>
      <c r="P37" s="1956"/>
    </row>
    <row r="38" spans="1:17" ht="12" customHeight="1">
      <c r="A38" s="3838"/>
      <c r="B38" s="2286" t="s">
        <v>480</v>
      </c>
      <c r="C38" s="3841"/>
      <c r="D38" s="1152">
        <f>E38+L38+F38+G38+H38+I38+J38+K38</f>
        <v>126633</v>
      </c>
      <c r="E38" s="2285">
        <v>0</v>
      </c>
      <c r="F38" s="1254">
        <v>18959</v>
      </c>
      <c r="G38" s="1254">
        <v>51412</v>
      </c>
      <c r="H38" s="1254">
        <v>49089</v>
      </c>
      <c r="I38" s="1254">
        <v>7173</v>
      </c>
      <c r="J38" s="1609">
        <v>0</v>
      </c>
      <c r="K38" s="1609">
        <v>0</v>
      </c>
      <c r="L38" s="1609">
        <v>0</v>
      </c>
      <c r="M38" s="4139">
        <f>SUM(G38:K38)</f>
        <v>107674</v>
      </c>
      <c r="N38" s="3570"/>
    </row>
    <row r="39" spans="1:17" ht="12" customHeight="1">
      <c r="A39" s="3838"/>
      <c r="B39" s="2279" t="s">
        <v>17</v>
      </c>
      <c r="C39" s="3841"/>
      <c r="D39" s="2282">
        <f>+D40</f>
        <v>1076392</v>
      </c>
      <c r="E39" s="2285">
        <v>0</v>
      </c>
      <c r="F39" s="2282">
        <f>+F40</f>
        <v>161155</v>
      </c>
      <c r="G39" s="2282">
        <f t="shared" ref="G39:I39" si="27">+G40</f>
        <v>437005</v>
      </c>
      <c r="H39" s="2282">
        <f t="shared" si="27"/>
        <v>417258</v>
      </c>
      <c r="I39" s="2282">
        <f t="shared" si="27"/>
        <v>60974</v>
      </c>
      <c r="J39" s="2287">
        <v>0</v>
      </c>
      <c r="K39" s="2287">
        <v>0</v>
      </c>
      <c r="L39" s="1609">
        <v>0</v>
      </c>
      <c r="M39" s="2355">
        <f>+M40</f>
        <v>915237</v>
      </c>
      <c r="N39" s="3570"/>
    </row>
    <row r="40" spans="1:17" ht="12" customHeight="1">
      <c r="A40" s="3838"/>
      <c r="B40" s="2286" t="s">
        <v>482</v>
      </c>
      <c r="C40" s="3842"/>
      <c r="D40" s="1152">
        <f>+E40+L40+F40+G40+H40+I40</f>
        <v>1076392</v>
      </c>
      <c r="E40" s="2285">
        <v>0</v>
      </c>
      <c r="F40" s="1254">
        <v>161155</v>
      </c>
      <c r="G40" s="1254">
        <v>437005</v>
      </c>
      <c r="H40" s="1254">
        <v>417258</v>
      </c>
      <c r="I40" s="1254">
        <v>60974</v>
      </c>
      <c r="J40" s="2287">
        <v>0</v>
      </c>
      <c r="K40" s="2287">
        <v>0</v>
      </c>
      <c r="L40" s="1609">
        <v>0</v>
      </c>
      <c r="M40" s="4139">
        <f>SUM(G40:K40)</f>
        <v>915237</v>
      </c>
      <c r="N40" s="3764"/>
    </row>
    <row r="41" spans="1:17" ht="12" customHeight="1">
      <c r="A41" s="3838"/>
      <c r="B41" s="1768" t="s">
        <v>20</v>
      </c>
      <c r="C41" s="2276"/>
      <c r="D41" s="497">
        <f>+D42+D44</f>
        <v>1203025</v>
      </c>
      <c r="E41" s="2278">
        <f>+E42+E44</f>
        <v>0</v>
      </c>
      <c r="F41" s="2277">
        <f>+F42+F44</f>
        <v>180114</v>
      </c>
      <c r="G41" s="2277">
        <f t="shared" ref="G41:I41" si="28">+G42+G44</f>
        <v>488417</v>
      </c>
      <c r="H41" s="2277">
        <f t="shared" si="28"/>
        <v>466347</v>
      </c>
      <c r="I41" s="2277">
        <f t="shared" si="28"/>
        <v>68147</v>
      </c>
      <c r="J41" s="2278">
        <v>0</v>
      </c>
      <c r="K41" s="2278">
        <v>0</v>
      </c>
      <c r="L41" s="2278">
        <f>+L42+L44</f>
        <v>0</v>
      </c>
      <c r="M41" s="3882" t="s">
        <v>52</v>
      </c>
      <c r="N41" s="3570" t="s">
        <v>484</v>
      </c>
    </row>
    <row r="42" spans="1:17" ht="12" customHeight="1">
      <c r="A42" s="3838"/>
      <c r="B42" s="1806" t="s">
        <v>22</v>
      </c>
      <c r="C42" s="3843" t="s">
        <v>180</v>
      </c>
      <c r="D42" s="1242">
        <f>+D43</f>
        <v>126633</v>
      </c>
      <c r="E42" s="1708">
        <f>+E43</f>
        <v>0</v>
      </c>
      <c r="F42" s="2282">
        <f>+F43</f>
        <v>18959</v>
      </c>
      <c r="G42" s="2282">
        <f t="shared" ref="G42:I42" si="29">+G43</f>
        <v>51412</v>
      </c>
      <c r="H42" s="2282">
        <f t="shared" si="29"/>
        <v>49089</v>
      </c>
      <c r="I42" s="2282">
        <f t="shared" si="29"/>
        <v>7173</v>
      </c>
      <c r="J42" s="1708">
        <v>0</v>
      </c>
      <c r="K42" s="1708">
        <v>0</v>
      </c>
      <c r="L42" s="1708">
        <f>+L43</f>
        <v>0</v>
      </c>
      <c r="M42" s="3883"/>
      <c r="N42" s="3570"/>
    </row>
    <row r="43" spans="1:17" ht="12" customHeight="1">
      <c r="A43" s="3838"/>
      <c r="B43" s="2286" t="s">
        <v>480</v>
      </c>
      <c r="C43" s="3844"/>
      <c r="D43" s="1152">
        <f>+F43+G43+H43+I43</f>
        <v>126633</v>
      </c>
      <c r="E43" s="2285">
        <v>0</v>
      </c>
      <c r="F43" s="1254">
        <v>18959</v>
      </c>
      <c r="G43" s="1254">
        <v>51412</v>
      </c>
      <c r="H43" s="1254">
        <v>49089</v>
      </c>
      <c r="I43" s="1254">
        <v>7173</v>
      </c>
      <c r="J43" s="1609">
        <v>0</v>
      </c>
      <c r="K43" s="1609">
        <v>0</v>
      </c>
      <c r="L43" s="2285">
        <v>0</v>
      </c>
      <c r="M43" s="3883"/>
      <c r="N43" s="3570"/>
    </row>
    <row r="44" spans="1:17" ht="12" customHeight="1">
      <c r="A44" s="3838"/>
      <c r="B44" s="1808" t="s">
        <v>17</v>
      </c>
      <c r="C44" s="3844"/>
      <c r="D44" s="2282">
        <f t="shared" ref="D44:I44" si="30">+D45</f>
        <v>1076392</v>
      </c>
      <c r="E44" s="2285">
        <f t="shared" si="30"/>
        <v>0</v>
      </c>
      <c r="F44" s="2282">
        <f t="shared" si="30"/>
        <v>161155</v>
      </c>
      <c r="G44" s="2282">
        <f t="shared" si="30"/>
        <v>437005</v>
      </c>
      <c r="H44" s="2282">
        <f t="shared" si="30"/>
        <v>417258</v>
      </c>
      <c r="I44" s="2282">
        <f t="shared" si="30"/>
        <v>60974</v>
      </c>
      <c r="J44" s="1093">
        <v>0</v>
      </c>
      <c r="K44" s="1093">
        <v>0</v>
      </c>
      <c r="L44" s="1428">
        <f>+L45</f>
        <v>0</v>
      </c>
      <c r="M44" s="3883"/>
      <c r="N44" s="3570"/>
    </row>
    <row r="45" spans="1:17" ht="12" customHeight="1" thickBot="1">
      <c r="A45" s="3839"/>
      <c r="B45" s="297" t="s">
        <v>19</v>
      </c>
      <c r="C45" s="3845"/>
      <c r="D45" s="1405">
        <f>+E45+L45+F45+G45+H45+I45</f>
        <v>1076392</v>
      </c>
      <c r="E45" s="2285">
        <v>0</v>
      </c>
      <c r="F45" s="1258">
        <v>161155</v>
      </c>
      <c r="G45" s="1258">
        <v>437005</v>
      </c>
      <c r="H45" s="1258">
        <v>417258</v>
      </c>
      <c r="I45" s="1258">
        <v>60974</v>
      </c>
      <c r="J45" s="1429">
        <v>0</v>
      </c>
      <c r="K45" s="1429">
        <v>0</v>
      </c>
      <c r="L45" s="2285">
        <v>0</v>
      </c>
      <c r="M45" s="3884"/>
      <c r="N45" s="3571"/>
    </row>
    <row r="46" spans="1:17" s="2637" customFormat="1" ht="24" customHeight="1" thickBot="1">
      <c r="A46" s="3885" t="s">
        <v>186</v>
      </c>
      <c r="B46" s="3885"/>
      <c r="C46" s="3885"/>
      <c r="D46" s="3885"/>
      <c r="E46" s="3885"/>
      <c r="F46" s="2635"/>
      <c r="G46" s="2636"/>
      <c r="H46" s="2636"/>
      <c r="I46" s="2636"/>
      <c r="J46" s="2636"/>
      <c r="K46" s="2636"/>
      <c r="L46" s="2635"/>
      <c r="M46" s="2636"/>
      <c r="N46" s="2636"/>
    </row>
    <row r="47" spans="1:17" s="1200" customFormat="1" ht="15.75" customHeight="1">
      <c r="A47" s="1054"/>
      <c r="B47" s="204" t="s">
        <v>67</v>
      </c>
      <c r="C47" s="181"/>
      <c r="D47" s="182">
        <f>+D48+D49</f>
        <v>74006029</v>
      </c>
      <c r="E47" s="182">
        <f t="shared" ref="E47" si="31">+E48+E49</f>
        <v>0</v>
      </c>
      <c r="F47" s="182">
        <f t="shared" ref="F47:M47" si="32">+F48+F49</f>
        <v>2354619</v>
      </c>
      <c r="G47" s="182">
        <f t="shared" si="32"/>
        <v>9647017</v>
      </c>
      <c r="H47" s="182">
        <f t="shared" si="32"/>
        <v>9647017</v>
      </c>
      <c r="I47" s="182">
        <f t="shared" si="32"/>
        <v>9647017</v>
      </c>
      <c r="J47" s="182">
        <f t="shared" si="32"/>
        <v>5007017</v>
      </c>
      <c r="K47" s="1055">
        <f t="shared" si="32"/>
        <v>4067017</v>
      </c>
      <c r="L47" s="182">
        <f t="shared" ref="L47" si="33">+L48+L49</f>
        <v>0</v>
      </c>
      <c r="M47" s="2348">
        <f t="shared" si="32"/>
        <v>71651410</v>
      </c>
      <c r="N47" s="2448"/>
      <c r="P47" s="266"/>
      <c r="Q47" s="266"/>
    </row>
    <row r="48" spans="1:17" s="1200" customFormat="1" ht="15.75" customHeight="1">
      <c r="A48" s="163"/>
      <c r="B48" s="196" t="s">
        <v>68</v>
      </c>
      <c r="C48" s="184"/>
      <c r="D48" s="185">
        <f>+D83+D88+D93</f>
        <v>60506029</v>
      </c>
      <c r="E48" s="1407">
        <f t="shared" ref="E48:K48" si="34">+E83+E88+E93</f>
        <v>0</v>
      </c>
      <c r="F48" s="1408">
        <f t="shared" si="34"/>
        <v>2354619</v>
      </c>
      <c r="G48" s="1408">
        <f t="shared" si="34"/>
        <v>5147017</v>
      </c>
      <c r="H48" s="1408">
        <f t="shared" si="34"/>
        <v>5147017</v>
      </c>
      <c r="I48" s="1408">
        <f t="shared" si="34"/>
        <v>5147017</v>
      </c>
      <c r="J48" s="1408">
        <f t="shared" si="34"/>
        <v>5007017</v>
      </c>
      <c r="K48" s="1408">
        <f t="shared" si="34"/>
        <v>4067017</v>
      </c>
      <c r="L48" s="1408">
        <f>+L83+L88+L93</f>
        <v>0</v>
      </c>
      <c r="M48" s="1483">
        <f>+M83+M88+M93</f>
        <v>58151410</v>
      </c>
      <c r="N48" s="13"/>
    </row>
    <row r="49" spans="1:17" s="1200" customFormat="1" ht="15.75" customHeight="1" thickBot="1">
      <c r="A49" s="163"/>
      <c r="B49" s="197" t="s">
        <v>8</v>
      </c>
      <c r="C49" s="489"/>
      <c r="D49" s="195">
        <f>+D97</f>
        <v>13500000</v>
      </c>
      <c r="E49" s="1409">
        <f t="shared" ref="E49:K49" si="35">+E70+E71+E72</f>
        <v>0</v>
      </c>
      <c r="F49" s="195">
        <f t="shared" si="35"/>
        <v>0</v>
      </c>
      <c r="G49" s="195">
        <f>+G97</f>
        <v>4500000</v>
      </c>
      <c r="H49" s="195">
        <f t="shared" ref="H49:I49" si="36">+H97</f>
        <v>4500000</v>
      </c>
      <c r="I49" s="195">
        <f t="shared" si="36"/>
        <v>4500000</v>
      </c>
      <c r="J49" s="195">
        <f t="shared" si="35"/>
        <v>0</v>
      </c>
      <c r="K49" s="195">
        <f t="shared" si="35"/>
        <v>0</v>
      </c>
      <c r="L49" s="195">
        <f>+L70+L71+L72</f>
        <v>0</v>
      </c>
      <c r="M49" s="1482">
        <f>+M97</f>
        <v>13500000</v>
      </c>
      <c r="N49" s="13"/>
    </row>
    <row r="50" spans="1:17" s="264" customFormat="1" ht="15" customHeight="1">
      <c r="A50" s="163"/>
      <c r="B50" s="1056" t="s">
        <v>9</v>
      </c>
      <c r="C50" s="1057"/>
      <c r="D50" s="1058">
        <f>+D51+D58</f>
        <v>78989222.640000001</v>
      </c>
      <c r="E50" s="1059">
        <f t="shared" ref="E50:K50" si="37">+E51+E58</f>
        <v>3089999.64</v>
      </c>
      <c r="F50" s="1059">
        <f t="shared" si="37"/>
        <v>4247813</v>
      </c>
      <c r="G50" s="1059">
        <f t="shared" si="37"/>
        <v>9647017</v>
      </c>
      <c r="H50" s="1059">
        <f t="shared" si="37"/>
        <v>9647017</v>
      </c>
      <c r="I50" s="1059">
        <f t="shared" si="37"/>
        <v>9647017</v>
      </c>
      <c r="J50" s="1059">
        <f t="shared" si="37"/>
        <v>5007017</v>
      </c>
      <c r="K50" s="1059">
        <f t="shared" si="37"/>
        <v>4067017</v>
      </c>
      <c r="L50" s="1059">
        <f>+L51+L58</f>
        <v>0</v>
      </c>
      <c r="M50" s="2375">
        <f>SUM(M51,M58)</f>
        <v>38015085</v>
      </c>
      <c r="N50" s="284"/>
      <c r="Q50" s="153"/>
    </row>
    <row r="51" spans="1:17" s="313" customFormat="1" ht="14.25" customHeight="1">
      <c r="A51" s="163"/>
      <c r="B51" s="1060" t="s">
        <v>10</v>
      </c>
      <c r="C51" s="1061"/>
      <c r="D51" s="1062">
        <f>SUM(D52:D57)</f>
        <v>78989222.640000001</v>
      </c>
      <c r="E51" s="1062">
        <f t="shared" ref="E51:K51" si="38">SUM(E52:E57)</f>
        <v>3089999.64</v>
      </c>
      <c r="F51" s="1062">
        <f t="shared" si="38"/>
        <v>4247813</v>
      </c>
      <c r="G51" s="1062">
        <f t="shared" si="38"/>
        <v>9647017</v>
      </c>
      <c r="H51" s="1062">
        <f t="shared" si="38"/>
        <v>9647017</v>
      </c>
      <c r="I51" s="1062">
        <f t="shared" si="38"/>
        <v>9647017</v>
      </c>
      <c r="J51" s="1062">
        <f t="shared" si="38"/>
        <v>5007017</v>
      </c>
      <c r="K51" s="1062">
        <f t="shared" si="38"/>
        <v>4067017</v>
      </c>
      <c r="L51" s="1062">
        <f>SUM(L52:L57)</f>
        <v>0</v>
      </c>
      <c r="M51" s="2447">
        <f>SUM(M52:M57)</f>
        <v>38015085</v>
      </c>
      <c r="N51" s="272"/>
      <c r="P51" s="314"/>
    </row>
    <row r="52" spans="1:17" s="313" customFormat="1" ht="14.25" customHeight="1">
      <c r="A52" s="163"/>
      <c r="B52" s="1063" t="s">
        <v>11</v>
      </c>
      <c r="C52" s="1061"/>
      <c r="D52" s="1064">
        <f>+D83+D88+D93+D97</f>
        <v>74006029</v>
      </c>
      <c r="E52" s="1064">
        <f t="shared" ref="E52:J52" si="39">+E83+E88+E93</f>
        <v>0</v>
      </c>
      <c r="F52" s="1064">
        <f t="shared" si="39"/>
        <v>2354619</v>
      </c>
      <c r="G52" s="1064">
        <f>+G83+G88+G93+G97</f>
        <v>9647017</v>
      </c>
      <c r="H52" s="1064">
        <f t="shared" ref="H52:I52" si="40">+H83+H88+H93+H97</f>
        <v>9647017</v>
      </c>
      <c r="I52" s="1064">
        <f t="shared" si="40"/>
        <v>9647017</v>
      </c>
      <c r="J52" s="1064">
        <f t="shared" si="39"/>
        <v>5007017</v>
      </c>
      <c r="K52" s="1064">
        <f>+K83+K88+K93</f>
        <v>4067017</v>
      </c>
      <c r="L52" s="1064">
        <f>+L83+L88+L93</f>
        <v>0</v>
      </c>
      <c r="M52" s="4139">
        <f>SUM(G52:K52)</f>
        <v>38015085</v>
      </c>
      <c r="N52" s="272"/>
      <c r="P52" s="314"/>
      <c r="Q52" s="314"/>
    </row>
    <row r="53" spans="1:17" s="264" customFormat="1" ht="14.25" customHeight="1" thickBot="1">
      <c r="A53" s="163"/>
      <c r="B53" s="1063" t="s">
        <v>30</v>
      </c>
      <c r="C53" s="1065"/>
      <c r="D53" s="1066">
        <f t="shared" ref="D53:K53" si="41">+D69+D82+D87+D92</f>
        <v>4983193.6400000006</v>
      </c>
      <c r="E53" s="1066">
        <f>+E69+E82+E87+E92</f>
        <v>3089999.64</v>
      </c>
      <c r="F53" s="1066">
        <f t="shared" si="41"/>
        <v>1893194</v>
      </c>
      <c r="G53" s="1066">
        <f t="shared" si="41"/>
        <v>0</v>
      </c>
      <c r="H53" s="1066">
        <f t="shared" si="41"/>
        <v>0</v>
      </c>
      <c r="I53" s="1066">
        <f t="shared" si="41"/>
        <v>0</v>
      </c>
      <c r="J53" s="1066">
        <f t="shared" si="41"/>
        <v>0</v>
      </c>
      <c r="K53" s="1066">
        <f t="shared" si="41"/>
        <v>0</v>
      </c>
      <c r="L53" s="1066">
        <f>+L69+L82+L87+L92</f>
        <v>0</v>
      </c>
      <c r="M53" s="2319" t="s">
        <v>52</v>
      </c>
      <c r="N53" s="284"/>
      <c r="P53" s="153"/>
      <c r="Q53" s="153"/>
    </row>
    <row r="54" spans="1:17" s="264" customFormat="1" ht="14.25" hidden="1" customHeight="1">
      <c r="A54" s="163"/>
      <c r="B54" s="1063" t="s">
        <v>111</v>
      </c>
      <c r="C54" s="1068"/>
      <c r="D54" s="1066">
        <f>+D70</f>
        <v>0</v>
      </c>
      <c r="E54" s="1066">
        <f t="shared" ref="E54:K54" si="42">+E70</f>
        <v>0</v>
      </c>
      <c r="F54" s="1066">
        <f t="shared" si="42"/>
        <v>0</v>
      </c>
      <c r="G54" s="1066">
        <f t="shared" si="42"/>
        <v>0</v>
      </c>
      <c r="H54" s="1066">
        <f t="shared" si="42"/>
        <v>0</v>
      </c>
      <c r="I54" s="1066">
        <f t="shared" si="42"/>
        <v>0</v>
      </c>
      <c r="J54" s="1066">
        <f t="shared" si="42"/>
        <v>0</v>
      </c>
      <c r="K54" s="1066">
        <f t="shared" si="42"/>
        <v>0</v>
      </c>
      <c r="L54" s="1066">
        <f>+L70</f>
        <v>0</v>
      </c>
      <c r="M54" s="1069"/>
      <c r="N54" s="1070"/>
      <c r="P54" s="153"/>
      <c r="Q54" s="153"/>
    </row>
    <row r="55" spans="1:17" s="313" customFormat="1" ht="14.25" hidden="1" customHeight="1">
      <c r="A55" s="491"/>
      <c r="B55" s="1071" t="s">
        <v>12</v>
      </c>
      <c r="C55" s="1065"/>
      <c r="D55" s="1068">
        <f>D71</f>
        <v>0</v>
      </c>
      <c r="E55" s="1068">
        <f t="shared" ref="E55:N55" si="43">E71</f>
        <v>0</v>
      </c>
      <c r="F55" s="1068">
        <f t="shared" si="43"/>
        <v>0</v>
      </c>
      <c r="G55" s="1068">
        <f t="shared" si="43"/>
        <v>0</v>
      </c>
      <c r="H55" s="1068">
        <f t="shared" si="43"/>
        <v>0</v>
      </c>
      <c r="I55" s="1068">
        <f t="shared" si="43"/>
        <v>0</v>
      </c>
      <c r="J55" s="1068">
        <f t="shared" si="43"/>
        <v>0</v>
      </c>
      <c r="K55" s="1068">
        <f t="shared" si="43"/>
        <v>0</v>
      </c>
      <c r="L55" s="1068">
        <f>L71</f>
        <v>0</v>
      </c>
      <c r="M55" s="1069">
        <f t="shared" si="43"/>
        <v>0</v>
      </c>
      <c r="N55" s="1068">
        <f t="shared" si="43"/>
        <v>0</v>
      </c>
      <c r="P55" s="314"/>
    </row>
    <row r="56" spans="1:17" s="273" customFormat="1" ht="14.25" hidden="1" customHeight="1">
      <c r="A56" s="491"/>
      <c r="B56" s="1071" t="s">
        <v>32</v>
      </c>
      <c r="C56" s="1065"/>
      <c r="D56" s="1068"/>
      <c r="E56" s="1068"/>
      <c r="F56" s="1068"/>
      <c r="G56" s="1068"/>
      <c r="H56" s="1068"/>
      <c r="I56" s="1068"/>
      <c r="J56" s="1068"/>
      <c r="K56" s="1068"/>
      <c r="L56" s="1068"/>
      <c r="M56" s="1073"/>
      <c r="N56" s="1072"/>
      <c r="P56" s="1074"/>
    </row>
    <row r="57" spans="1:17" s="264" customFormat="1" ht="14.25" hidden="1" customHeight="1">
      <c r="A57" s="163"/>
      <c r="B57" s="1071" t="s">
        <v>112</v>
      </c>
      <c r="C57" s="1065"/>
      <c r="D57" s="1068">
        <f t="shared" ref="D57" si="44">D72</f>
        <v>0</v>
      </c>
      <c r="E57" s="1068">
        <f t="shared" ref="E57:K57" si="45">E72</f>
        <v>0</v>
      </c>
      <c r="F57" s="1068">
        <f t="shared" si="45"/>
        <v>0</v>
      </c>
      <c r="G57" s="1068">
        <f t="shared" si="45"/>
        <v>0</v>
      </c>
      <c r="H57" s="1068">
        <f t="shared" si="45"/>
        <v>0</v>
      </c>
      <c r="I57" s="1068">
        <f t="shared" si="45"/>
        <v>0</v>
      </c>
      <c r="J57" s="1068">
        <f t="shared" si="45"/>
        <v>0</v>
      </c>
      <c r="K57" s="1068">
        <f t="shared" si="45"/>
        <v>0</v>
      </c>
      <c r="L57" s="1068">
        <f>L72</f>
        <v>0</v>
      </c>
      <c r="M57" s="1069">
        <f>M72</f>
        <v>0</v>
      </c>
      <c r="N57" s="1070"/>
      <c r="P57" s="153"/>
    </row>
    <row r="58" spans="1:17" s="313" customFormat="1" ht="14.25" hidden="1" customHeight="1">
      <c r="A58" s="123"/>
      <c r="B58" s="157" t="s">
        <v>17</v>
      </c>
      <c r="C58" s="1075"/>
      <c r="D58" s="1076">
        <f t="shared" ref="D58:K58" si="46">SUM(D59:D59)</f>
        <v>0</v>
      </c>
      <c r="E58" s="1076">
        <f t="shared" si="46"/>
        <v>0</v>
      </c>
      <c r="F58" s="1076">
        <f t="shared" si="46"/>
        <v>0</v>
      </c>
      <c r="G58" s="1076">
        <f t="shared" si="46"/>
        <v>0</v>
      </c>
      <c r="H58" s="1076">
        <f t="shared" si="46"/>
        <v>0</v>
      </c>
      <c r="I58" s="1076">
        <f t="shared" si="46"/>
        <v>0</v>
      </c>
      <c r="J58" s="1076">
        <f t="shared" si="46"/>
        <v>0</v>
      </c>
      <c r="K58" s="1076">
        <f t="shared" si="46"/>
        <v>0</v>
      </c>
      <c r="L58" s="1076">
        <f>SUM(L59:L59)</f>
        <v>0</v>
      </c>
      <c r="M58" s="1067" t="s">
        <v>52</v>
      </c>
      <c r="N58" s="490"/>
    </row>
    <row r="59" spans="1:17" s="264" customFormat="1" ht="14.25" hidden="1" customHeight="1">
      <c r="A59" s="139"/>
      <c r="B59" s="1077" t="s">
        <v>33</v>
      </c>
      <c r="C59" s="1078"/>
      <c r="D59" s="1079"/>
      <c r="E59" s="1079"/>
      <c r="F59" s="1079"/>
      <c r="G59" s="1079"/>
      <c r="H59" s="1079"/>
      <c r="I59" s="1079"/>
      <c r="J59" s="1079"/>
      <c r="K59" s="1079"/>
      <c r="L59" s="1079"/>
      <c r="M59" s="1067" t="s">
        <v>52</v>
      </c>
      <c r="N59" s="1080"/>
    </row>
    <row r="60" spans="1:17" s="313" customFormat="1" ht="14.25" hidden="1" customHeight="1">
      <c r="A60" s="123"/>
      <c r="B60" s="492" t="s">
        <v>20</v>
      </c>
      <c r="C60" s="162"/>
      <c r="D60" s="508">
        <f>+D61+D64</f>
        <v>0</v>
      </c>
      <c r="E60" s="508">
        <f t="shared" ref="E60:K60" si="47">+E61+E64</f>
        <v>0</v>
      </c>
      <c r="F60" s="508">
        <f t="shared" si="47"/>
        <v>0</v>
      </c>
      <c r="G60" s="508">
        <f t="shared" si="47"/>
        <v>0</v>
      </c>
      <c r="H60" s="508">
        <f t="shared" si="47"/>
        <v>0</v>
      </c>
      <c r="I60" s="508">
        <f t="shared" si="47"/>
        <v>0</v>
      </c>
      <c r="J60" s="508">
        <f t="shared" si="47"/>
        <v>0</v>
      </c>
      <c r="K60" s="508">
        <f t="shared" si="47"/>
        <v>0</v>
      </c>
      <c r="L60" s="508">
        <f>+L61+L64</f>
        <v>0</v>
      </c>
      <c r="M60" s="3870" t="s">
        <v>21</v>
      </c>
      <c r="N60" s="1081"/>
    </row>
    <row r="61" spans="1:17" s="264" customFormat="1" ht="14.25" hidden="1" customHeight="1">
      <c r="A61" s="139"/>
      <c r="B61" s="157" t="s">
        <v>10</v>
      </c>
      <c r="C61" s="1075"/>
      <c r="D61" s="1076">
        <f>+D62+D63</f>
        <v>0</v>
      </c>
      <c r="E61" s="1076">
        <f t="shared" ref="E61:K61" si="48">+E62+E63</f>
        <v>0</v>
      </c>
      <c r="F61" s="1076">
        <f t="shared" si="48"/>
        <v>0</v>
      </c>
      <c r="G61" s="1076">
        <f t="shared" si="48"/>
        <v>0</v>
      </c>
      <c r="H61" s="1076">
        <f t="shared" si="48"/>
        <v>0</v>
      </c>
      <c r="I61" s="1076">
        <f t="shared" si="48"/>
        <v>0</v>
      </c>
      <c r="J61" s="1076">
        <f t="shared" si="48"/>
        <v>0</v>
      </c>
      <c r="K61" s="1076">
        <f t="shared" si="48"/>
        <v>0</v>
      </c>
      <c r="L61" s="1076">
        <f>+L62+L63</f>
        <v>0</v>
      </c>
      <c r="M61" s="3871"/>
      <c r="N61" s="1080"/>
    </row>
    <row r="62" spans="1:17" s="264" customFormat="1" ht="14.25" hidden="1" customHeight="1">
      <c r="A62" s="139"/>
      <c r="B62" s="1071" t="s">
        <v>12</v>
      </c>
      <c r="C62" s="1065"/>
      <c r="D62" s="1068">
        <f>D77</f>
        <v>0</v>
      </c>
      <c r="E62" s="1068">
        <f t="shared" ref="E62:K62" si="49">E77</f>
        <v>0</v>
      </c>
      <c r="F62" s="1068">
        <f t="shared" si="49"/>
        <v>0</v>
      </c>
      <c r="G62" s="1068">
        <f t="shared" si="49"/>
        <v>0</v>
      </c>
      <c r="H62" s="1068">
        <f t="shared" si="49"/>
        <v>0</v>
      </c>
      <c r="I62" s="1068">
        <f t="shared" si="49"/>
        <v>0</v>
      </c>
      <c r="J62" s="1068">
        <f t="shared" si="49"/>
        <v>0</v>
      </c>
      <c r="K62" s="1068">
        <f t="shared" si="49"/>
        <v>0</v>
      </c>
      <c r="L62" s="1068">
        <f>L77</f>
        <v>0</v>
      </c>
      <c r="M62" s="3871"/>
      <c r="N62" s="1080"/>
      <c r="P62" s="153"/>
    </row>
    <row r="63" spans="1:17" s="264" customFormat="1" ht="14.25" hidden="1" customHeight="1">
      <c r="A63" s="139"/>
      <c r="B63" s="1071" t="s">
        <v>354</v>
      </c>
      <c r="C63" s="1065"/>
      <c r="D63" s="1068">
        <f t="shared" ref="D63" si="50">D78</f>
        <v>0</v>
      </c>
      <c r="E63" s="1068">
        <f t="shared" ref="E63:K63" si="51">E78</f>
        <v>0</v>
      </c>
      <c r="F63" s="1068">
        <f t="shared" si="51"/>
        <v>0</v>
      </c>
      <c r="G63" s="1068">
        <f t="shared" si="51"/>
        <v>0</v>
      </c>
      <c r="H63" s="1068">
        <f t="shared" si="51"/>
        <v>0</v>
      </c>
      <c r="I63" s="1068">
        <f t="shared" si="51"/>
        <v>0</v>
      </c>
      <c r="J63" s="1068">
        <f t="shared" si="51"/>
        <v>0</v>
      </c>
      <c r="K63" s="1068">
        <f t="shared" si="51"/>
        <v>0</v>
      </c>
      <c r="L63" s="1068">
        <f>L78</f>
        <v>0</v>
      </c>
      <c r="M63" s="3871"/>
      <c r="N63" s="1080"/>
      <c r="P63" s="153"/>
    </row>
    <row r="64" spans="1:17" s="264" customFormat="1" ht="14.25" hidden="1" customHeight="1">
      <c r="A64" s="139"/>
      <c r="B64" s="157" t="s">
        <v>17</v>
      </c>
      <c r="C64" s="1075"/>
      <c r="D64" s="1076">
        <f t="shared" ref="D64:K64" si="52">SUM(D65:D65)</f>
        <v>0</v>
      </c>
      <c r="E64" s="1076">
        <f t="shared" si="52"/>
        <v>0</v>
      </c>
      <c r="F64" s="1076">
        <f t="shared" si="52"/>
        <v>0</v>
      </c>
      <c r="G64" s="1076">
        <f t="shared" si="52"/>
        <v>0</v>
      </c>
      <c r="H64" s="1076">
        <f t="shared" si="52"/>
        <v>0</v>
      </c>
      <c r="I64" s="1076">
        <f t="shared" si="52"/>
        <v>0</v>
      </c>
      <c r="J64" s="1076">
        <f t="shared" si="52"/>
        <v>0</v>
      </c>
      <c r="K64" s="1076">
        <f t="shared" si="52"/>
        <v>0</v>
      </c>
      <c r="L64" s="1076">
        <f>SUM(L65:L65)</f>
        <v>0</v>
      </c>
      <c r="M64" s="3871"/>
      <c r="N64" s="1080"/>
      <c r="P64" s="153"/>
    </row>
    <row r="65" spans="1:18" s="264" customFormat="1" ht="14.25" hidden="1" customHeight="1" thickBot="1">
      <c r="A65" s="139"/>
      <c r="B65" s="1077" t="s">
        <v>33</v>
      </c>
      <c r="C65" s="1082"/>
      <c r="D65" s="1046"/>
      <c r="E65" s="1046"/>
      <c r="F65" s="1046"/>
      <c r="G65" s="1046"/>
      <c r="H65" s="1046"/>
      <c r="I65" s="1046"/>
      <c r="J65" s="1046"/>
      <c r="K65" s="1046"/>
      <c r="L65" s="1046"/>
      <c r="M65" s="3872"/>
      <c r="N65" s="1080"/>
      <c r="P65" s="153"/>
    </row>
    <row r="66" spans="1:18" s="285" customFormat="1" ht="38.25" hidden="1" customHeight="1">
      <c r="A66" s="3853" t="s">
        <v>54</v>
      </c>
      <c r="B66" s="1043"/>
      <c r="C66" s="495" t="s">
        <v>72</v>
      </c>
      <c r="D66" s="1083"/>
      <c r="E66" s="1107"/>
      <c r="F66" s="1107"/>
      <c r="G66" s="1107"/>
      <c r="H66" s="1107"/>
      <c r="I66" s="1084"/>
      <c r="J66" s="1107"/>
      <c r="K66" s="1083"/>
      <c r="L66" s="1107"/>
      <c r="M66" s="1085"/>
      <c r="N66" s="3797"/>
      <c r="P66" s="3873"/>
      <c r="Q66" s="3873"/>
      <c r="R66" s="3873"/>
    </row>
    <row r="67" spans="1:18" s="285" customFormat="1" ht="13.5" hidden="1" customHeight="1">
      <c r="A67" s="3886"/>
      <c r="B67" s="375" t="s">
        <v>9</v>
      </c>
      <c r="C67" s="1927"/>
      <c r="D67" s="497">
        <f>+D68+D73</f>
        <v>0</v>
      </c>
      <c r="E67" s="497">
        <f t="shared" ref="E67" si="53">+E68+E73</f>
        <v>0</v>
      </c>
      <c r="F67" s="1086">
        <f t="shared" ref="F67:K67" si="54">+F68</f>
        <v>0</v>
      </c>
      <c r="G67" s="1086">
        <f t="shared" si="54"/>
        <v>0</v>
      </c>
      <c r="H67" s="1086">
        <f t="shared" si="54"/>
        <v>0</v>
      </c>
      <c r="I67" s="1086">
        <f t="shared" si="54"/>
        <v>0</v>
      </c>
      <c r="J67" s="1086">
        <f t="shared" si="54"/>
        <v>0</v>
      </c>
      <c r="K67" s="1928">
        <f t="shared" si="54"/>
        <v>0</v>
      </c>
      <c r="L67" s="497">
        <f>+L68</f>
        <v>0</v>
      </c>
      <c r="M67" s="1087">
        <f>+M68+M73</f>
        <v>0</v>
      </c>
      <c r="N67" s="3798"/>
      <c r="O67" s="290"/>
      <c r="P67" s="3873"/>
      <c r="Q67" s="3873"/>
      <c r="R67" s="3873"/>
    </row>
    <row r="68" spans="1:18" s="285" customFormat="1" ht="13.5" hidden="1" customHeight="1">
      <c r="A68" s="3886"/>
      <c r="B68" s="1929" t="s">
        <v>22</v>
      </c>
      <c r="C68" s="3874" t="s">
        <v>113</v>
      </c>
      <c r="D68" s="1930">
        <f>SUM(D69:D72)</f>
        <v>0</v>
      </c>
      <c r="E68" s="1930">
        <f>+E69+E70+E71+E72</f>
        <v>0</v>
      </c>
      <c r="F68" s="1931">
        <f t="shared" ref="F68:K68" si="55">+F69+F70+F71+F72</f>
        <v>0</v>
      </c>
      <c r="G68" s="1931">
        <f t="shared" si="55"/>
        <v>0</v>
      </c>
      <c r="H68" s="1931">
        <f t="shared" si="55"/>
        <v>0</v>
      </c>
      <c r="I68" s="1931">
        <f t="shared" si="55"/>
        <v>0</v>
      </c>
      <c r="J68" s="1931">
        <f t="shared" si="55"/>
        <v>0</v>
      </c>
      <c r="K68" s="1932">
        <f t="shared" si="55"/>
        <v>0</v>
      </c>
      <c r="L68" s="1930">
        <f>+L69+L70+L71+L72</f>
        <v>0</v>
      </c>
      <c r="M68" s="1933">
        <f>+M70+M71+M72</f>
        <v>0</v>
      </c>
      <c r="N68" s="3798"/>
      <c r="P68" s="3873"/>
      <c r="Q68" s="3873"/>
      <c r="R68" s="3873"/>
    </row>
    <row r="69" spans="1:18" s="285" customFormat="1" ht="13.5" hidden="1" customHeight="1">
      <c r="A69" s="3886"/>
      <c r="B69" s="1088" t="s">
        <v>114</v>
      </c>
      <c r="C69" s="3875"/>
      <c r="D69" s="211">
        <f>E69+L69+F69+G69+H69+I69+J69+K69</f>
        <v>0</v>
      </c>
      <c r="E69" s="1090">
        <v>0</v>
      </c>
      <c r="F69" s="1934">
        <v>0</v>
      </c>
      <c r="G69" s="1934">
        <v>0</v>
      </c>
      <c r="H69" s="1934">
        <v>0</v>
      </c>
      <c r="I69" s="1934">
        <v>0</v>
      </c>
      <c r="J69" s="1934">
        <v>0</v>
      </c>
      <c r="K69" s="1935">
        <v>0</v>
      </c>
      <c r="L69" s="499">
        <v>0</v>
      </c>
      <c r="M69" s="1067" t="s">
        <v>52</v>
      </c>
      <c r="N69" s="3881"/>
      <c r="P69" s="3873"/>
      <c r="Q69" s="3873"/>
      <c r="R69" s="3873"/>
    </row>
    <row r="70" spans="1:18" s="285" customFormat="1" ht="13.5" hidden="1" customHeight="1">
      <c r="A70" s="3886"/>
      <c r="B70" s="1936" t="s">
        <v>115</v>
      </c>
      <c r="C70" s="3875"/>
      <c r="D70" s="211">
        <f>E70+L70+F70+G70+H70+I70+J70+K70</f>
        <v>0</v>
      </c>
      <c r="E70" s="1090">
        <v>0</v>
      </c>
      <c r="F70" s="1934">
        <v>0</v>
      </c>
      <c r="G70" s="1934">
        <v>0</v>
      </c>
      <c r="H70" s="1934">
        <v>0</v>
      </c>
      <c r="I70" s="1934">
        <v>0</v>
      </c>
      <c r="J70" s="1934">
        <v>0</v>
      </c>
      <c r="K70" s="1935">
        <v>0</v>
      </c>
      <c r="L70" s="1934">
        <v>0</v>
      </c>
      <c r="M70" s="1089">
        <f>SUM(F70:K70)</f>
        <v>0</v>
      </c>
      <c r="N70" s="3881"/>
      <c r="P70" s="3873"/>
      <c r="Q70" s="3873"/>
      <c r="R70" s="3873"/>
    </row>
    <row r="71" spans="1:18" s="285" customFormat="1" ht="12" hidden="1" customHeight="1">
      <c r="A71" s="3886"/>
      <c r="B71" s="109" t="s">
        <v>12</v>
      </c>
      <c r="C71" s="3875"/>
      <c r="D71" s="211">
        <f>E71+L71+F71+G71+H71+I71+J71+K71</f>
        <v>0</v>
      </c>
      <c r="E71" s="1090">
        <v>0</v>
      </c>
      <c r="F71" s="1937">
        <v>0</v>
      </c>
      <c r="G71" s="1937">
        <v>0</v>
      </c>
      <c r="H71" s="1937">
        <v>0</v>
      </c>
      <c r="I71" s="1937">
        <v>0</v>
      </c>
      <c r="J71" s="1937">
        <v>0</v>
      </c>
      <c r="K71" s="1938">
        <v>0</v>
      </c>
      <c r="L71" s="499">
        <v>0</v>
      </c>
      <c r="M71" s="1089">
        <f>SUM(F71:K71)</f>
        <v>0</v>
      </c>
      <c r="N71" s="3881"/>
      <c r="P71" s="3873"/>
      <c r="Q71" s="3873"/>
      <c r="R71" s="3873"/>
    </row>
    <row r="72" spans="1:18" s="285" customFormat="1" ht="13.5" hidden="1" customHeight="1">
      <c r="A72" s="3886"/>
      <c r="B72" s="109" t="s">
        <v>112</v>
      </c>
      <c r="C72" s="3875"/>
      <c r="D72" s="211">
        <f>E72+L72+F72+G72+H72+I72+J72+K72</f>
        <v>0</v>
      </c>
      <c r="E72" s="1090">
        <v>0</v>
      </c>
      <c r="F72" s="1909">
        <v>0</v>
      </c>
      <c r="G72" s="1937">
        <v>0</v>
      </c>
      <c r="H72" s="1937">
        <v>0</v>
      </c>
      <c r="I72" s="1937">
        <v>0</v>
      </c>
      <c r="J72" s="1937">
        <v>0</v>
      </c>
      <c r="K72" s="1938">
        <v>0</v>
      </c>
      <c r="L72" s="1934">
        <v>0</v>
      </c>
      <c r="M72" s="1089">
        <f>SUM(F72:K72)</f>
        <v>0</v>
      </c>
      <c r="N72" s="3881"/>
      <c r="P72" s="3873"/>
      <c r="Q72" s="3873"/>
      <c r="R72" s="3873"/>
    </row>
    <row r="73" spans="1:18" s="285" customFormat="1" ht="18.75" hidden="1" customHeight="1">
      <c r="A73" s="3886"/>
      <c r="B73" s="1936" t="s">
        <v>17</v>
      </c>
      <c r="C73" s="3876"/>
      <c r="D73" s="211">
        <f>+D74</f>
        <v>0</v>
      </c>
      <c r="E73" s="1090"/>
      <c r="F73" s="211"/>
      <c r="G73" s="1939"/>
      <c r="H73" s="1940"/>
      <c r="I73" s="1940"/>
      <c r="J73" s="1941"/>
      <c r="K73" s="1940"/>
      <c r="L73" s="499"/>
      <c r="M73" s="1942"/>
      <c r="N73" s="3881"/>
      <c r="P73" s="3873"/>
      <c r="Q73" s="3873"/>
      <c r="R73" s="3873"/>
    </row>
    <row r="74" spans="1:18" s="285" customFormat="1" ht="16.5" hidden="1" customHeight="1">
      <c r="A74" s="3886"/>
      <c r="B74" s="109" t="s">
        <v>33</v>
      </c>
      <c r="C74" s="1943"/>
      <c r="D74" s="211">
        <v>0</v>
      </c>
      <c r="E74" s="1090"/>
      <c r="F74" s="211"/>
      <c r="G74" s="1939"/>
      <c r="H74" s="1939"/>
      <c r="I74" s="1940"/>
      <c r="J74" s="1941"/>
      <c r="K74" s="1939"/>
      <c r="L74" s="1934"/>
      <c r="M74" s="1944"/>
      <c r="N74" s="3881"/>
      <c r="P74" s="3873"/>
      <c r="Q74" s="3873"/>
      <c r="R74" s="3873"/>
    </row>
    <row r="75" spans="1:18" s="285" customFormat="1" ht="13.5" hidden="1" customHeight="1">
      <c r="A75" s="3886"/>
      <c r="B75" s="375" t="s">
        <v>20</v>
      </c>
      <c r="C75" s="1927"/>
      <c r="D75" s="497">
        <f>D77+D78</f>
        <v>0</v>
      </c>
      <c r="E75" s="497">
        <f t="shared" ref="E75" si="56">E77+E78</f>
        <v>0</v>
      </c>
      <c r="F75" s="1086">
        <f t="shared" ref="F75:K75" si="57">+F76</f>
        <v>0</v>
      </c>
      <c r="G75" s="1086">
        <f t="shared" si="57"/>
        <v>0</v>
      </c>
      <c r="H75" s="1086">
        <f t="shared" si="57"/>
        <v>0</v>
      </c>
      <c r="I75" s="1086">
        <f t="shared" si="57"/>
        <v>0</v>
      </c>
      <c r="J75" s="1086">
        <f t="shared" si="57"/>
        <v>0</v>
      </c>
      <c r="K75" s="1928">
        <f t="shared" si="57"/>
        <v>0</v>
      </c>
      <c r="L75" s="497">
        <f>+L76</f>
        <v>0</v>
      </c>
      <c r="M75" s="3878" t="s">
        <v>52</v>
      </c>
      <c r="N75" s="3881"/>
      <c r="P75" s="3873"/>
      <c r="Q75" s="3873"/>
      <c r="R75" s="3873"/>
    </row>
    <row r="76" spans="1:18" s="273" customFormat="1" ht="13.5" hidden="1" customHeight="1">
      <c r="A76" s="3886"/>
      <c r="B76" s="470" t="s">
        <v>22</v>
      </c>
      <c r="C76" s="3877" t="s">
        <v>113</v>
      </c>
      <c r="D76" s="1091">
        <f>+D77+D78</f>
        <v>0</v>
      </c>
      <c r="E76" s="1091">
        <f t="shared" ref="E76" si="58">+E77+E78</f>
        <v>0</v>
      </c>
      <c r="F76" s="1093">
        <f t="shared" ref="F76:K76" si="59">+F77+F78</f>
        <v>0</v>
      </c>
      <c r="G76" s="1093">
        <f t="shared" si="59"/>
        <v>0</v>
      </c>
      <c r="H76" s="1093">
        <f t="shared" si="59"/>
        <v>0</v>
      </c>
      <c r="I76" s="1093">
        <f t="shared" si="59"/>
        <v>0</v>
      </c>
      <c r="J76" s="1093">
        <f t="shared" si="59"/>
        <v>0</v>
      </c>
      <c r="K76" s="1945">
        <f t="shared" si="59"/>
        <v>0</v>
      </c>
      <c r="L76" s="1091">
        <f>+L77+L78</f>
        <v>0</v>
      </c>
      <c r="M76" s="3879"/>
      <c r="N76" s="3881"/>
      <c r="P76" s="3873"/>
      <c r="Q76" s="3873"/>
      <c r="R76" s="3873"/>
    </row>
    <row r="77" spans="1:18" s="285" customFormat="1" ht="13.5" hidden="1" customHeight="1">
      <c r="A77" s="3886"/>
      <c r="B77" s="109" t="s">
        <v>12</v>
      </c>
      <c r="C77" s="3844"/>
      <c r="D77" s="211">
        <v>0</v>
      </c>
      <c r="E77" s="1090">
        <v>0</v>
      </c>
      <c r="F77" s="1937">
        <v>0</v>
      </c>
      <c r="G77" s="1937">
        <v>0</v>
      </c>
      <c r="H77" s="1937">
        <v>0</v>
      </c>
      <c r="I77" s="1937">
        <v>0</v>
      </c>
      <c r="J77" s="1937">
        <v>0</v>
      </c>
      <c r="K77" s="1938">
        <v>0</v>
      </c>
      <c r="L77" s="1090">
        <v>0</v>
      </c>
      <c r="M77" s="3879"/>
      <c r="N77" s="3881"/>
    </row>
    <row r="78" spans="1:18" s="285" customFormat="1" ht="15" hidden="1" customHeight="1" thickBot="1">
      <c r="A78" s="3887"/>
      <c r="B78" s="248" t="s">
        <v>112</v>
      </c>
      <c r="C78" s="3845"/>
      <c r="D78" s="1405">
        <v>0</v>
      </c>
      <c r="E78" s="1406">
        <v>0</v>
      </c>
      <c r="F78" s="509">
        <v>0</v>
      </c>
      <c r="G78" s="509">
        <v>0</v>
      </c>
      <c r="H78" s="509">
        <v>0</v>
      </c>
      <c r="I78" s="509">
        <v>0</v>
      </c>
      <c r="J78" s="509">
        <v>0</v>
      </c>
      <c r="K78" s="1946">
        <v>0</v>
      </c>
      <c r="L78" s="509">
        <v>0</v>
      </c>
      <c r="M78" s="3880"/>
      <c r="N78" s="3881"/>
    </row>
    <row r="79" spans="1:18" s="285" customFormat="1" ht="28.5" customHeight="1">
      <c r="A79" s="3853" t="s">
        <v>54</v>
      </c>
      <c r="B79" s="1043" t="s">
        <v>360</v>
      </c>
      <c r="C79" s="495" t="s">
        <v>99</v>
      </c>
      <c r="D79" s="2273"/>
      <c r="E79" s="2233"/>
      <c r="F79" s="2233"/>
      <c r="G79" s="2233"/>
      <c r="H79" s="2233"/>
      <c r="I79" s="2233"/>
      <c r="J79" s="2233"/>
      <c r="K79" s="2275"/>
      <c r="L79" s="2233"/>
      <c r="M79" s="2350"/>
      <c r="N79" s="3866" t="s">
        <v>369</v>
      </c>
    </row>
    <row r="80" spans="1:18" s="285" customFormat="1" ht="13.5" customHeight="1">
      <c r="A80" s="3854"/>
      <c r="B80" s="375" t="s">
        <v>9</v>
      </c>
      <c r="C80" s="2351"/>
      <c r="D80" s="2277">
        <f>+D81</f>
        <v>8000000</v>
      </c>
      <c r="E80" s="2277">
        <f t="shared" ref="E80:M80" si="60">+E81</f>
        <v>2740000</v>
      </c>
      <c r="F80" s="2277">
        <f t="shared" si="60"/>
        <v>1080000</v>
      </c>
      <c r="G80" s="2277">
        <f t="shared" si="60"/>
        <v>1080000</v>
      </c>
      <c r="H80" s="2277">
        <f t="shared" si="60"/>
        <v>1080000</v>
      </c>
      <c r="I80" s="2277">
        <f t="shared" si="60"/>
        <v>1080000</v>
      </c>
      <c r="J80" s="2277">
        <f t="shared" si="60"/>
        <v>940000</v>
      </c>
      <c r="K80" s="2352">
        <f t="shared" si="60"/>
        <v>0</v>
      </c>
      <c r="L80" s="2277">
        <f>+L81</f>
        <v>0</v>
      </c>
      <c r="M80" s="2353">
        <f t="shared" si="60"/>
        <v>4180000</v>
      </c>
      <c r="N80" s="3867"/>
    </row>
    <row r="81" spans="1:16" s="273" customFormat="1" ht="16.5" customHeight="1">
      <c r="A81" s="3854"/>
      <c r="B81" s="498" t="s">
        <v>22</v>
      </c>
      <c r="C81" s="3869" t="s">
        <v>116</v>
      </c>
      <c r="D81" s="1242">
        <f>+D82+D83</f>
        <v>8000000</v>
      </c>
      <c r="E81" s="1242">
        <f t="shared" ref="E81" si="61">+E82+E83</f>
        <v>2740000</v>
      </c>
      <c r="F81" s="1242">
        <f t="shared" ref="F81:K81" si="62">+F82+F83</f>
        <v>1080000</v>
      </c>
      <c r="G81" s="1242">
        <f t="shared" si="62"/>
        <v>1080000</v>
      </c>
      <c r="H81" s="1242">
        <f t="shared" si="62"/>
        <v>1080000</v>
      </c>
      <c r="I81" s="1242">
        <f t="shared" si="62"/>
        <v>1080000</v>
      </c>
      <c r="J81" s="1242">
        <f t="shared" si="62"/>
        <v>940000</v>
      </c>
      <c r="K81" s="2354">
        <f t="shared" si="62"/>
        <v>0</v>
      </c>
      <c r="L81" s="1242">
        <f>+L82+L83</f>
        <v>0</v>
      </c>
      <c r="M81" s="2355">
        <f>+M83</f>
        <v>4180000</v>
      </c>
      <c r="N81" s="3867"/>
    </row>
    <row r="82" spans="1:16" s="273" customFormat="1" ht="13.5" customHeight="1">
      <c r="A82" s="3854"/>
      <c r="B82" s="1088" t="s">
        <v>114</v>
      </c>
      <c r="C82" s="3851"/>
      <c r="D82" s="724">
        <f>E82+L82+F82+G82+H82+I82+J82+K82</f>
        <v>3460000</v>
      </c>
      <c r="E82" s="1378">
        <f>1660000+1080000</f>
        <v>2740000</v>
      </c>
      <c r="F82" s="1254">
        <v>720000</v>
      </c>
      <c r="G82" s="1254">
        <v>0</v>
      </c>
      <c r="H82" s="1254">
        <v>0</v>
      </c>
      <c r="I82" s="1254">
        <v>0</v>
      </c>
      <c r="J82" s="1254">
        <v>0</v>
      </c>
      <c r="K82" s="2356">
        <v>0</v>
      </c>
      <c r="L82" s="1254">
        <v>0</v>
      </c>
      <c r="M82" s="2390">
        <v>0</v>
      </c>
      <c r="N82" s="3867"/>
    </row>
    <row r="83" spans="1:16" s="273" customFormat="1" ht="13.5" customHeight="1" thickBot="1">
      <c r="A83" s="3855"/>
      <c r="B83" s="2357" t="s">
        <v>117</v>
      </c>
      <c r="C83" s="3852"/>
      <c r="D83" s="1257">
        <f>E83+L83+F83+G83+H83+I83+J83+K83</f>
        <v>4540000</v>
      </c>
      <c r="E83" s="1406">
        <v>0</v>
      </c>
      <c r="F83" s="1258">
        <f>1080000-720000</f>
        <v>360000</v>
      </c>
      <c r="G83" s="1258">
        <v>1080000</v>
      </c>
      <c r="H83" s="1258">
        <v>1080000</v>
      </c>
      <c r="I83" s="1258">
        <v>1080000</v>
      </c>
      <c r="J83" s="1258">
        <v>940000</v>
      </c>
      <c r="K83" s="2359">
        <v>0</v>
      </c>
      <c r="L83" s="2358">
        <v>0</v>
      </c>
      <c r="M83" s="2360">
        <f>SUM(G83:K83)</f>
        <v>4180000</v>
      </c>
      <c r="N83" s="3868"/>
    </row>
    <row r="84" spans="1:16" s="273" customFormat="1" ht="48.75" customHeight="1">
      <c r="A84" s="3853" t="s">
        <v>55</v>
      </c>
      <c r="B84" s="2361" t="s">
        <v>355</v>
      </c>
      <c r="C84" s="495" t="s">
        <v>99</v>
      </c>
      <c r="D84" s="2273"/>
      <c r="E84" s="2233"/>
      <c r="F84" s="2233"/>
      <c r="G84" s="2233"/>
      <c r="H84" s="2233"/>
      <c r="I84" s="2233"/>
      <c r="J84" s="2233"/>
      <c r="K84" s="2275"/>
      <c r="L84" s="2233"/>
      <c r="M84" s="2362"/>
      <c r="N84" s="3858" t="s">
        <v>266</v>
      </c>
      <c r="O84" s="1074">
        <f>+G93+H93+I93+J93+K93+G93+H93+I93+1916851-59217</f>
        <v>32527106</v>
      </c>
    </row>
    <row r="85" spans="1:16" s="273" customFormat="1" ht="13.5" customHeight="1" thickBot="1">
      <c r="A85" s="3854"/>
      <c r="B85" s="375" t="s">
        <v>9</v>
      </c>
      <c r="C85" s="2363"/>
      <c r="D85" s="2364">
        <f>+D86</f>
        <v>2799999.64</v>
      </c>
      <c r="E85" s="2364">
        <f t="shared" ref="E85" si="63">+E86</f>
        <v>349999.64</v>
      </c>
      <c r="F85" s="2364">
        <f t="shared" ref="F85:K85" si="64">+F86</f>
        <v>233333</v>
      </c>
      <c r="G85" s="2364">
        <f t="shared" si="64"/>
        <v>233333</v>
      </c>
      <c r="H85" s="2364">
        <f t="shared" si="64"/>
        <v>233333</v>
      </c>
      <c r="I85" s="2364">
        <f t="shared" si="64"/>
        <v>233333</v>
      </c>
      <c r="J85" s="2364">
        <f t="shared" si="64"/>
        <v>233333</v>
      </c>
      <c r="K85" s="2364">
        <f t="shared" si="64"/>
        <v>233333</v>
      </c>
      <c r="L85" s="2364">
        <f>+L86</f>
        <v>0</v>
      </c>
      <c r="M85" s="2365">
        <f>+M86</f>
        <v>2216667</v>
      </c>
      <c r="N85" s="3859"/>
    </row>
    <row r="86" spans="1:16" s="273" customFormat="1" ht="13.5" customHeight="1" thickBot="1">
      <c r="A86" s="3854"/>
      <c r="B86" s="498" t="s">
        <v>22</v>
      </c>
      <c r="C86" s="3850" t="s">
        <v>116</v>
      </c>
      <c r="D86" s="1094">
        <f>+D88+D87</f>
        <v>2799999.64</v>
      </c>
      <c r="E86" s="1094">
        <f>+E87</f>
        <v>349999.64</v>
      </c>
      <c r="F86" s="1094">
        <f t="shared" ref="F86:K86" si="65">+F87+F88</f>
        <v>233333</v>
      </c>
      <c r="G86" s="1094">
        <f t="shared" si="65"/>
        <v>233333</v>
      </c>
      <c r="H86" s="1094">
        <f t="shared" si="65"/>
        <v>233333</v>
      </c>
      <c r="I86" s="1094">
        <f t="shared" si="65"/>
        <v>233333</v>
      </c>
      <c r="J86" s="1094">
        <f t="shared" si="65"/>
        <v>233333</v>
      </c>
      <c r="K86" s="1094">
        <f t="shared" si="65"/>
        <v>233333</v>
      </c>
      <c r="L86" s="1094">
        <f>+L87+L88</f>
        <v>0</v>
      </c>
      <c r="M86" s="2355">
        <f>+M88</f>
        <v>2216667</v>
      </c>
      <c r="N86" s="3865"/>
    </row>
    <row r="87" spans="1:16" s="273" customFormat="1" ht="12.75" customHeight="1" thickBot="1">
      <c r="A87" s="3854"/>
      <c r="B87" s="1088" t="s">
        <v>114</v>
      </c>
      <c r="C87" s="3851"/>
      <c r="D87" s="211">
        <f>E87+L87+F87+G87+H87+I87+J87+K87</f>
        <v>505555.64</v>
      </c>
      <c r="E87" s="1090">
        <f>116666.64+233333</f>
        <v>349999.64</v>
      </c>
      <c r="F87" s="1095">
        <v>155556</v>
      </c>
      <c r="G87" s="1095">
        <v>0</v>
      </c>
      <c r="H87" s="1095">
        <v>0</v>
      </c>
      <c r="I87" s="1095"/>
      <c r="J87" s="1095"/>
      <c r="K87" s="1095"/>
      <c r="L87" s="1095">
        <v>0</v>
      </c>
      <c r="M87" s="2390">
        <v>0</v>
      </c>
      <c r="N87" s="3865"/>
    </row>
    <row r="88" spans="1:16" s="273" customFormat="1" ht="13.5" customHeight="1" thickBot="1">
      <c r="A88" s="3854"/>
      <c r="B88" s="2357" t="s">
        <v>117</v>
      </c>
      <c r="C88" s="3852"/>
      <c r="D88" s="718">
        <f>E88+L88+F88+G88+H88+I88+J88+K88+O88</f>
        <v>2294444</v>
      </c>
      <c r="E88" s="2366">
        <v>0</v>
      </c>
      <c r="F88" s="420">
        <f>233333-155556</f>
        <v>77777</v>
      </c>
      <c r="G88" s="420">
        <v>233333</v>
      </c>
      <c r="H88" s="420">
        <v>233333</v>
      </c>
      <c r="I88" s="420">
        <v>233333</v>
      </c>
      <c r="J88" s="420">
        <v>233333</v>
      </c>
      <c r="K88" s="420">
        <v>233333</v>
      </c>
      <c r="L88" s="420">
        <v>0</v>
      </c>
      <c r="M88" s="2167">
        <f>SUM(G88:K88)+1050002</f>
        <v>2216667</v>
      </c>
      <c r="N88" s="3860"/>
      <c r="O88" s="1092">
        <v>1050002</v>
      </c>
      <c r="P88" s="1074">
        <f>+O88+O93</f>
        <v>33636325</v>
      </c>
    </row>
    <row r="89" spans="1:16" s="285" customFormat="1" ht="42" customHeight="1" thickBot="1">
      <c r="A89" s="3855" t="s">
        <v>56</v>
      </c>
      <c r="B89" s="1043" t="s">
        <v>357</v>
      </c>
      <c r="C89" s="495" t="s">
        <v>99</v>
      </c>
      <c r="D89" s="2273"/>
      <c r="E89" s="2233"/>
      <c r="F89" s="2233"/>
      <c r="G89" s="2233"/>
      <c r="H89" s="2233"/>
      <c r="I89" s="2233"/>
      <c r="J89" s="2233"/>
      <c r="K89" s="2275"/>
      <c r="L89" s="2233"/>
      <c r="M89" s="2350"/>
      <c r="N89" s="3864" t="s">
        <v>315</v>
      </c>
    </row>
    <row r="90" spans="1:16" s="285" customFormat="1" ht="13.5" customHeight="1" thickBot="1">
      <c r="A90" s="3856"/>
      <c r="B90" s="375" t="s">
        <v>9</v>
      </c>
      <c r="C90" s="2363"/>
      <c r="D90" s="497">
        <f>+D91</f>
        <v>54689223</v>
      </c>
      <c r="E90" s="1086">
        <f t="shared" ref="E90:K90" si="66">+E91</f>
        <v>0</v>
      </c>
      <c r="F90" s="497">
        <f t="shared" si="66"/>
        <v>2934480</v>
      </c>
      <c r="G90" s="497">
        <f t="shared" si="66"/>
        <v>3833684</v>
      </c>
      <c r="H90" s="497">
        <f t="shared" si="66"/>
        <v>3833684</v>
      </c>
      <c r="I90" s="497">
        <f t="shared" si="66"/>
        <v>3833684</v>
      </c>
      <c r="J90" s="497">
        <f t="shared" si="66"/>
        <v>3833684</v>
      </c>
      <c r="K90" s="497">
        <f t="shared" si="66"/>
        <v>3833684</v>
      </c>
      <c r="L90" s="1086">
        <f>+L91</f>
        <v>0</v>
      </c>
      <c r="M90" s="2367">
        <f>+M91</f>
        <v>51754743</v>
      </c>
      <c r="N90" s="3865"/>
    </row>
    <row r="91" spans="1:16" s="273" customFormat="1" ht="13.5" customHeight="1" thickBot="1">
      <c r="A91" s="3856"/>
      <c r="B91" s="498" t="s">
        <v>22</v>
      </c>
      <c r="C91" s="3850" t="s">
        <v>116</v>
      </c>
      <c r="D91" s="1091">
        <f>+D92+D93</f>
        <v>54689223</v>
      </c>
      <c r="E91" s="1093">
        <f t="shared" ref="E91" si="67">+E92+E93</f>
        <v>0</v>
      </c>
      <c r="F91" s="1091">
        <f t="shared" ref="F91:K91" si="68">+F92+F93</f>
        <v>2934480</v>
      </c>
      <c r="G91" s="1091">
        <f t="shared" si="68"/>
        <v>3833684</v>
      </c>
      <c r="H91" s="1091">
        <f t="shared" si="68"/>
        <v>3833684</v>
      </c>
      <c r="I91" s="1091">
        <f t="shared" si="68"/>
        <v>3833684</v>
      </c>
      <c r="J91" s="1091">
        <f t="shared" si="68"/>
        <v>3833684</v>
      </c>
      <c r="K91" s="1091">
        <f t="shared" si="68"/>
        <v>3833684</v>
      </c>
      <c r="L91" s="1093">
        <f>+L92+L93</f>
        <v>0</v>
      </c>
      <c r="M91" s="2368">
        <f>+M92+M93</f>
        <v>51754743</v>
      </c>
      <c r="N91" s="3865"/>
      <c r="P91" s="1074"/>
    </row>
    <row r="92" spans="1:16" s="273" customFormat="1" ht="13.5" customHeight="1" thickBot="1">
      <c r="A92" s="3856"/>
      <c r="B92" s="1088" t="s">
        <v>114</v>
      </c>
      <c r="C92" s="3851"/>
      <c r="D92" s="211">
        <f>E92+L92+F92+G92+H92+I92+J92+K92</f>
        <v>1017638</v>
      </c>
      <c r="E92" s="2369">
        <v>0</v>
      </c>
      <c r="F92" s="1254">
        <v>1017638</v>
      </c>
      <c r="G92" s="503">
        <v>0</v>
      </c>
      <c r="H92" s="503">
        <v>0</v>
      </c>
      <c r="I92" s="503">
        <v>0</v>
      </c>
      <c r="J92" s="504">
        <v>0</v>
      </c>
      <c r="K92" s="504">
        <v>0</v>
      </c>
      <c r="L92" s="503">
        <v>0</v>
      </c>
      <c r="M92" s="2389">
        <v>0</v>
      </c>
      <c r="N92" s="3860"/>
    </row>
    <row r="93" spans="1:16" s="273" customFormat="1" ht="13.5" customHeight="1" thickBot="1">
      <c r="A93" s="3856"/>
      <c r="B93" s="2357" t="s">
        <v>117</v>
      </c>
      <c r="C93" s="3852"/>
      <c r="D93" s="718">
        <f>+F93+G93+H93+I93+J93+K93+O93</f>
        <v>53671585</v>
      </c>
      <c r="E93" s="2370">
        <v>0</v>
      </c>
      <c r="F93" s="1258">
        <f>2934480-1017638</f>
        <v>1916842</v>
      </c>
      <c r="G93" s="420">
        <f>3912640-78956</f>
        <v>3833684</v>
      </c>
      <c r="H93" s="420">
        <f>3912640-78956</f>
        <v>3833684</v>
      </c>
      <c r="I93" s="420">
        <f>3912640-78956</f>
        <v>3833684</v>
      </c>
      <c r="J93" s="420">
        <f>3912640-78956</f>
        <v>3833684</v>
      </c>
      <c r="K93" s="420">
        <f>3912640-78956</f>
        <v>3833684</v>
      </c>
      <c r="L93" s="472">
        <v>0</v>
      </c>
      <c r="M93" s="2679">
        <f>+K93+J93+I93+H93+G93+3833684+3833684+3833684+3833684+3833684+3833684+3833684+3833684+1916851</f>
        <v>51754743</v>
      </c>
      <c r="N93" s="3864"/>
      <c r="O93" s="2173">
        <v>32586323</v>
      </c>
    </row>
    <row r="94" spans="1:16" s="273" customFormat="1" ht="27.75" customHeight="1">
      <c r="A94" s="3857" t="s">
        <v>57</v>
      </c>
      <c r="B94" s="1043" t="s">
        <v>478</v>
      </c>
      <c r="C94" s="495" t="s">
        <v>72</v>
      </c>
      <c r="D94" s="2273"/>
      <c r="E94" s="2233"/>
      <c r="F94" s="2233"/>
      <c r="G94" s="2233"/>
      <c r="H94" s="2233"/>
      <c r="I94" s="2233"/>
      <c r="J94" s="2233"/>
      <c r="K94" s="2275"/>
      <c r="L94" s="2233"/>
      <c r="M94" s="2371"/>
      <c r="N94" s="3858" t="s">
        <v>477</v>
      </c>
      <c r="O94" s="1949"/>
    </row>
    <row r="95" spans="1:16" s="273" customFormat="1" ht="13.5" customHeight="1" thickBot="1">
      <c r="A95" s="3855"/>
      <c r="B95" s="1768" t="s">
        <v>9</v>
      </c>
      <c r="C95" s="2372"/>
      <c r="D95" s="2373">
        <f>+D96</f>
        <v>13500000</v>
      </c>
      <c r="E95" s="2374">
        <v>0</v>
      </c>
      <c r="F95" s="2373">
        <v>0</v>
      </c>
      <c r="G95" s="2373">
        <f>+G96</f>
        <v>4500000</v>
      </c>
      <c r="H95" s="2373">
        <f t="shared" ref="H95:I95" si="69">+H96</f>
        <v>4500000</v>
      </c>
      <c r="I95" s="2373">
        <f t="shared" si="69"/>
        <v>4500000</v>
      </c>
      <c r="J95" s="2374">
        <v>0</v>
      </c>
      <c r="K95" s="2374">
        <v>0</v>
      </c>
      <c r="L95" s="2374">
        <v>0</v>
      </c>
      <c r="M95" s="2375">
        <f>+M96</f>
        <v>13500000</v>
      </c>
      <c r="N95" s="3859"/>
      <c r="O95" s="1949"/>
    </row>
    <row r="96" spans="1:16" s="273" customFormat="1" ht="13.5" customHeight="1" thickBot="1">
      <c r="A96" s="3856"/>
      <c r="B96" s="2294" t="s">
        <v>22</v>
      </c>
      <c r="C96" s="3862" t="s">
        <v>476</v>
      </c>
      <c r="D96" s="2376">
        <f>+D97</f>
        <v>13500000</v>
      </c>
      <c r="E96" s="2377">
        <v>0</v>
      </c>
      <c r="F96" s="2376">
        <v>0</v>
      </c>
      <c r="G96" s="2376">
        <f>+G97</f>
        <v>4500000</v>
      </c>
      <c r="H96" s="2376">
        <f t="shared" ref="H96:I96" si="70">+H97</f>
        <v>4500000</v>
      </c>
      <c r="I96" s="2376">
        <f t="shared" si="70"/>
        <v>4500000</v>
      </c>
      <c r="J96" s="2377">
        <v>0</v>
      </c>
      <c r="K96" s="2377">
        <v>0</v>
      </c>
      <c r="L96" s="2377">
        <v>0</v>
      </c>
      <c r="M96" s="2378">
        <f>+M97</f>
        <v>13500000</v>
      </c>
      <c r="N96" s="3860"/>
      <c r="O96" s="1949"/>
    </row>
    <row r="97" spans="1:22" s="273" customFormat="1" ht="13.5" customHeight="1" thickBot="1">
      <c r="A97" s="3856"/>
      <c r="B97" s="2357" t="s">
        <v>117</v>
      </c>
      <c r="C97" s="3863"/>
      <c r="D97" s="1962">
        <f>+E97+L97+F97+G97+H97+I97</f>
        <v>13500000</v>
      </c>
      <c r="E97" s="2379">
        <v>0</v>
      </c>
      <c r="F97" s="2358">
        <v>0</v>
      </c>
      <c r="G97" s="2358">
        <v>4500000</v>
      </c>
      <c r="H97" s="2358">
        <v>4500000</v>
      </c>
      <c r="I97" s="2358">
        <v>4500000</v>
      </c>
      <c r="J97" s="2380">
        <v>0</v>
      </c>
      <c r="K97" s="2380">
        <v>0</v>
      </c>
      <c r="L97" s="4140">
        <v>0</v>
      </c>
      <c r="M97" s="2381">
        <f>+I97+H97+G97+J97+K97</f>
        <v>13500000</v>
      </c>
      <c r="N97" s="3861"/>
      <c r="O97" s="1949"/>
    </row>
    <row r="98" spans="1:22" s="1096" customFormat="1" ht="13.5" customHeight="1">
      <c r="A98" s="3847"/>
      <c r="B98" s="3847"/>
      <c r="C98" s="3847"/>
      <c r="D98" s="3847"/>
      <c r="E98" s="3847"/>
      <c r="F98" s="3847"/>
      <c r="G98" s="3847"/>
      <c r="H98" s="3847"/>
      <c r="I98" s="3847"/>
      <c r="J98" s="3847"/>
      <c r="K98" s="3847"/>
      <c r="L98" s="3847"/>
      <c r="M98" s="3847"/>
      <c r="N98" s="3848"/>
    </row>
    <row r="99" spans="1:22" s="264" customFormat="1" ht="12.75" customHeight="1">
      <c r="A99" s="3849" t="s">
        <v>356</v>
      </c>
      <c r="B99" s="3849"/>
      <c r="C99" s="3849"/>
      <c r="D99" s="3849"/>
      <c r="E99" s="3849"/>
      <c r="F99" s="3849"/>
      <c r="G99" s="3849"/>
      <c r="H99" s="3849"/>
      <c r="I99" s="3849"/>
      <c r="J99" s="3849"/>
      <c r="K99" s="3849"/>
      <c r="L99" s="3341"/>
      <c r="N99" s="153"/>
    </row>
    <row r="100" spans="1:22" s="264" customFormat="1" ht="12.75" customHeight="1">
      <c r="A100" s="3849" t="s">
        <v>486</v>
      </c>
      <c r="B100" s="3849"/>
      <c r="C100" s="3849"/>
      <c r="D100" s="3849"/>
      <c r="E100" s="3849"/>
      <c r="F100" s="3849"/>
      <c r="G100" s="3849"/>
      <c r="H100" s="3849"/>
      <c r="I100" s="3341"/>
      <c r="J100" s="3341"/>
      <c r="K100" s="3341"/>
      <c r="L100" s="3341"/>
    </row>
    <row r="101" spans="1:22" s="1096" customFormat="1" ht="13.5" customHeight="1">
      <c r="A101" s="3847"/>
      <c r="B101" s="3847"/>
      <c r="C101" s="3847"/>
      <c r="D101" s="3847"/>
      <c r="E101" s="3847"/>
      <c r="F101" s="3847"/>
      <c r="G101" s="3847"/>
      <c r="H101" s="3847"/>
      <c r="I101" s="3847"/>
      <c r="J101" s="3847"/>
      <c r="K101" s="3847"/>
      <c r="L101" s="3847"/>
      <c r="M101" s="3847"/>
      <c r="N101" s="3847"/>
    </row>
    <row r="102" spans="1:22" s="1097" customFormat="1" ht="12.75" customHeight="1" thickBot="1">
      <c r="A102" s="2137"/>
      <c r="E102" s="1098"/>
      <c r="F102" s="256"/>
      <c r="G102" s="256"/>
      <c r="H102" s="256"/>
      <c r="I102" s="256"/>
      <c r="J102" s="256"/>
      <c r="K102" s="256"/>
      <c r="L102" s="256"/>
      <c r="M102" s="256"/>
      <c r="N102" s="4141"/>
    </row>
    <row r="103" spans="1:22" s="285" customFormat="1" ht="10.5" hidden="1" customHeight="1" thickBot="1">
      <c r="A103" s="2019"/>
      <c r="B103" s="256"/>
      <c r="C103" s="259"/>
      <c r="D103" s="259"/>
      <c r="E103" s="256"/>
      <c r="F103" s="256"/>
      <c r="G103" s="256"/>
      <c r="H103" s="256"/>
      <c r="I103" s="256"/>
      <c r="J103" s="256"/>
      <c r="K103" s="256"/>
      <c r="L103" s="256"/>
      <c r="M103" s="256"/>
      <c r="N103" s="4142"/>
    </row>
    <row r="104" spans="1:22" s="1096" customFormat="1" ht="15.75" hidden="1" customHeight="1" thickBot="1">
      <c r="A104" s="2038"/>
      <c r="B104" s="256"/>
      <c r="C104" s="256"/>
      <c r="D104" s="256"/>
      <c r="E104" s="256"/>
      <c r="F104" s="1099">
        <v>2018</v>
      </c>
      <c r="G104" s="1099">
        <v>2019</v>
      </c>
      <c r="H104" s="1099">
        <v>2020</v>
      </c>
      <c r="I104" s="1099">
        <v>2021</v>
      </c>
      <c r="J104" s="1099">
        <v>2022</v>
      </c>
      <c r="K104" s="1099">
        <v>2023</v>
      </c>
      <c r="L104" s="1099"/>
      <c r="M104" s="4143">
        <v>2024</v>
      </c>
      <c r="N104" s="4144">
        <v>2025</v>
      </c>
      <c r="O104" s="1099">
        <v>2026</v>
      </c>
      <c r="P104" s="1099">
        <v>2027</v>
      </c>
      <c r="Q104" s="1099">
        <v>2028</v>
      </c>
      <c r="R104" s="1099">
        <v>2029</v>
      </c>
      <c r="S104" s="1099">
        <v>2030</v>
      </c>
      <c r="T104" s="1099">
        <v>2031</v>
      </c>
      <c r="U104" s="1099">
        <v>2032</v>
      </c>
    </row>
    <row r="105" spans="1:22" s="1096" customFormat="1" ht="15.75" hidden="1" customHeight="1" thickBot="1">
      <c r="A105" s="2019"/>
      <c r="B105" s="1100" t="s">
        <v>198</v>
      </c>
      <c r="C105" s="1100"/>
      <c r="D105" s="1101"/>
      <c r="E105" s="1100"/>
      <c r="F105" s="1102">
        <f>+F83+F88+F93</f>
        <v>2354619</v>
      </c>
      <c r="G105" s="1102">
        <f>+G83+G88+G93</f>
        <v>5147017</v>
      </c>
      <c r="H105" s="1102">
        <f>+H83+H88+H93</f>
        <v>5147017</v>
      </c>
      <c r="I105" s="1102">
        <f>+I83+I88+I93</f>
        <v>5147017</v>
      </c>
      <c r="J105" s="1102">
        <f t="shared" ref="J105" si="71">+J83+J88+J93</f>
        <v>5007017</v>
      </c>
      <c r="K105" s="1102">
        <f>+K83+K88+K93</f>
        <v>4067017</v>
      </c>
      <c r="L105" s="1102">
        <f>+L83+L88+L93</f>
        <v>0</v>
      </c>
      <c r="M105" s="2053">
        <f>4145973-78956</f>
        <v>4067017</v>
      </c>
      <c r="N105" s="2062">
        <f>4145973-78956</f>
        <v>4067017</v>
      </c>
      <c r="O105" s="1102">
        <f>4145973-78956</f>
        <v>4067017</v>
      </c>
      <c r="P105" s="1102">
        <f>4145973-78956</f>
        <v>4067017</v>
      </c>
      <c r="Q105" s="1102">
        <f>4029310-78956</f>
        <v>3950354</v>
      </c>
      <c r="R105" s="1102">
        <f>3912640-78956</f>
        <v>3833684</v>
      </c>
      <c r="S105" s="1102">
        <f>3912640-78956</f>
        <v>3833684</v>
      </c>
      <c r="T105" s="1102">
        <f>3912640-78956</f>
        <v>3833684</v>
      </c>
      <c r="U105" s="1102">
        <v>1916851</v>
      </c>
      <c r="V105" s="1102">
        <f>+M83+M88+M93</f>
        <v>58151410</v>
      </c>
    </row>
    <row r="106" spans="1:22" s="1096" customFormat="1" ht="15.75" hidden="1" customHeight="1" thickBot="1">
      <c r="A106" s="2019"/>
      <c r="B106" s="256"/>
      <c r="C106" s="256"/>
      <c r="D106" s="259"/>
      <c r="E106" s="256"/>
      <c r="F106" s="256"/>
      <c r="G106" s="256"/>
      <c r="H106" s="256"/>
      <c r="I106" s="256"/>
      <c r="J106" s="256"/>
      <c r="K106" s="256"/>
      <c r="L106" s="256"/>
      <c r="M106" s="256"/>
      <c r="N106" s="4142"/>
      <c r="U106" s="1103">
        <f>SUM(F105:U105)</f>
        <v>60506029</v>
      </c>
    </row>
    <row r="107" spans="1:22" s="1096" customFormat="1" ht="12" hidden="1" customHeight="1" thickBot="1">
      <c r="A107" s="2019"/>
      <c r="B107" s="256"/>
      <c r="C107" s="256"/>
      <c r="D107" s="259"/>
      <c r="E107" s="256"/>
      <c r="F107" s="256"/>
      <c r="G107" s="256"/>
      <c r="H107" s="256"/>
      <c r="I107" s="256"/>
      <c r="J107" s="256"/>
      <c r="K107" s="256"/>
      <c r="L107" s="256"/>
      <c r="M107" s="256"/>
      <c r="N107" s="4142"/>
      <c r="Q107" s="1103"/>
      <c r="U107" s="1103"/>
    </row>
    <row r="108" spans="1:22" s="1104" customFormat="1" ht="22.5" hidden="1" customHeight="1" thickBot="1">
      <c r="A108" s="2019"/>
      <c r="B108" s="2873" t="s">
        <v>332</v>
      </c>
      <c r="C108" s="2872"/>
      <c r="D108" s="2872"/>
      <c r="E108" s="2872"/>
      <c r="F108" s="2872"/>
      <c r="G108" s="2872"/>
      <c r="H108" s="2872"/>
      <c r="I108" s="2872"/>
      <c r="J108" s="2872"/>
      <c r="K108" s="2872"/>
      <c r="L108" s="2872"/>
      <c r="M108" s="256"/>
      <c r="N108" s="4142"/>
      <c r="U108" s="1105">
        <f>+U106-V105</f>
        <v>2354619</v>
      </c>
    </row>
    <row r="109" spans="1:22" s="285" customFormat="1" ht="12.75" hidden="1" customHeight="1" thickBot="1">
      <c r="A109" s="2019"/>
      <c r="B109" s="2873" t="s">
        <v>333</v>
      </c>
      <c r="C109" s="2872"/>
      <c r="D109" s="2838">
        <f>D41</f>
        <v>1203025</v>
      </c>
      <c r="E109" s="2838">
        <f t="shared" ref="E109:K109" si="72">E41</f>
        <v>0</v>
      </c>
      <c r="F109" s="2838">
        <f t="shared" si="72"/>
        <v>180114</v>
      </c>
      <c r="G109" s="2838">
        <f t="shared" si="72"/>
        <v>488417</v>
      </c>
      <c r="H109" s="2838">
        <f t="shared" si="72"/>
        <v>466347</v>
      </c>
      <c r="I109" s="2838">
        <f t="shared" si="72"/>
        <v>68147</v>
      </c>
      <c r="J109" s="2838">
        <f t="shared" si="72"/>
        <v>0</v>
      </c>
      <c r="K109" s="2838">
        <f t="shared" si="72"/>
        <v>0</v>
      </c>
      <c r="L109" s="2838">
        <f>L41</f>
        <v>0</v>
      </c>
      <c r="M109" s="256"/>
      <c r="N109" s="4142"/>
    </row>
    <row r="110" spans="1:22" s="285" customFormat="1" ht="12.75" hidden="1" customHeight="1">
      <c r="A110" s="2039"/>
      <c r="B110" s="2873" t="s">
        <v>334</v>
      </c>
      <c r="C110" s="2872"/>
      <c r="D110" s="2838">
        <f>D29</f>
        <v>36789795</v>
      </c>
      <c r="E110" s="2838">
        <f t="shared" ref="E110:K110" si="73">E29</f>
        <v>0</v>
      </c>
      <c r="F110" s="2838">
        <f t="shared" si="73"/>
        <v>5508086</v>
      </c>
      <c r="G110" s="2838">
        <f>G29</f>
        <v>14936317</v>
      </c>
      <c r="H110" s="2838">
        <f t="shared" si="73"/>
        <v>14261379</v>
      </c>
      <c r="I110" s="2838">
        <f t="shared" si="73"/>
        <v>2084013</v>
      </c>
      <c r="J110" s="2838">
        <f t="shared" si="73"/>
        <v>0</v>
      </c>
      <c r="K110" s="2838">
        <f t="shared" si="73"/>
        <v>0</v>
      </c>
      <c r="L110" s="2838">
        <f>L29</f>
        <v>0</v>
      </c>
      <c r="M110" s="256"/>
      <c r="N110" s="4145"/>
    </row>
    <row r="111" spans="1:22" s="285" customFormat="1" hidden="1">
      <c r="A111" s="255"/>
      <c r="B111" s="2873" t="s">
        <v>335</v>
      </c>
      <c r="C111" s="2872"/>
      <c r="D111" s="1547">
        <f>D109+D110</f>
        <v>37992820</v>
      </c>
      <c r="E111" s="1547">
        <f t="shared" ref="E111:K111" si="74">E109+E110</f>
        <v>0</v>
      </c>
      <c r="F111" s="1547">
        <f t="shared" si="74"/>
        <v>5688200</v>
      </c>
      <c r="G111" s="1547">
        <f t="shared" si="74"/>
        <v>15424734</v>
      </c>
      <c r="H111" s="1547">
        <f t="shared" si="74"/>
        <v>14727726</v>
      </c>
      <c r="I111" s="1547">
        <f t="shared" si="74"/>
        <v>2152160</v>
      </c>
      <c r="J111" s="1547">
        <f t="shared" si="74"/>
        <v>0</v>
      </c>
      <c r="K111" s="1547">
        <f t="shared" si="74"/>
        <v>0</v>
      </c>
      <c r="L111" s="1547">
        <f>L109+L110</f>
        <v>0</v>
      </c>
      <c r="M111" s="256"/>
      <c r="N111" s="320"/>
    </row>
    <row r="112" spans="1:22" s="1104" customFormat="1" ht="14.25" hidden="1" customHeight="1">
      <c r="A112" s="255"/>
      <c r="B112" s="1365" t="s">
        <v>40</v>
      </c>
      <c r="C112" s="1366"/>
      <c r="D112" s="1548">
        <f t="shared" ref="D112:L112" si="75">D111-D16</f>
        <v>0</v>
      </c>
      <c r="E112" s="1548">
        <f t="shared" si="75"/>
        <v>0</v>
      </c>
      <c r="F112" s="1548">
        <f t="shared" si="75"/>
        <v>0</v>
      </c>
      <c r="G112" s="1548">
        <f t="shared" si="75"/>
        <v>0</v>
      </c>
      <c r="H112" s="1548">
        <f t="shared" si="75"/>
        <v>0</v>
      </c>
      <c r="I112" s="1548">
        <f t="shared" si="75"/>
        <v>0</v>
      </c>
      <c r="J112" s="1548">
        <f t="shared" si="75"/>
        <v>0</v>
      </c>
      <c r="K112" s="1548">
        <f t="shared" si="75"/>
        <v>0</v>
      </c>
      <c r="L112" s="1548">
        <f t="shared" si="75"/>
        <v>0</v>
      </c>
      <c r="M112" s="256"/>
      <c r="N112" s="320"/>
    </row>
    <row r="113" spans="1:14" s="285" customFormat="1" ht="12.75" hidden="1" customHeight="1">
      <c r="A113" s="255"/>
      <c r="B113" s="256"/>
      <c r="C113" s="256"/>
      <c r="D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320"/>
    </row>
    <row r="114" spans="1:14" s="285" customFormat="1" ht="12.75" customHeight="1">
      <c r="A114" s="255"/>
      <c r="B114" s="256"/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320"/>
    </row>
    <row r="115" spans="1:14" s="285" customFormat="1">
      <c r="A115" s="255"/>
      <c r="B115" s="256"/>
      <c r="C115" s="256"/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320"/>
    </row>
    <row r="116" spans="1:14" s="285" customFormat="1">
      <c r="A116" s="255"/>
      <c r="B116" s="256"/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320"/>
    </row>
    <row r="117" spans="1:14" s="1104" customFormat="1" ht="33.75" customHeight="1">
      <c r="A117" s="255"/>
      <c r="B117" s="256"/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256"/>
      <c r="N117" s="320"/>
    </row>
    <row r="118" spans="1:14" s="285" customFormat="1" ht="12.75" customHeight="1">
      <c r="A118" s="255"/>
      <c r="B118" s="256"/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320"/>
    </row>
    <row r="119" spans="1:14" s="285" customFormat="1" ht="12.75" customHeight="1">
      <c r="A119" s="255"/>
      <c r="B119" s="256"/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320"/>
    </row>
    <row r="120" spans="1:14" s="285" customFormat="1" ht="12.75" customHeight="1">
      <c r="A120" s="255"/>
      <c r="B120" s="256"/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320"/>
    </row>
    <row r="121" spans="1:14" s="285" customFormat="1" ht="12.75" customHeight="1">
      <c r="A121" s="255"/>
      <c r="B121" s="256"/>
      <c r="C121" s="256"/>
      <c r="D121" s="256"/>
      <c r="E121" s="256"/>
      <c r="F121" s="256"/>
      <c r="G121" s="256"/>
      <c r="H121" s="256"/>
      <c r="I121" s="256"/>
      <c r="J121" s="256"/>
      <c r="K121" s="256"/>
      <c r="L121" s="256"/>
      <c r="M121" s="256"/>
      <c r="N121" s="320"/>
    </row>
    <row r="122" spans="1:14" s="285" customFormat="1">
      <c r="A122" s="255"/>
      <c r="B122" s="256"/>
      <c r="C122" s="256"/>
      <c r="D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320"/>
    </row>
    <row r="123" spans="1:14" s="1104" customFormat="1" ht="12" customHeight="1">
      <c r="A123" s="255"/>
      <c r="B123" s="256"/>
      <c r="C123" s="256"/>
      <c r="D123" s="256"/>
      <c r="E123" s="256"/>
      <c r="F123" s="256"/>
      <c r="G123" s="256"/>
      <c r="H123" s="256"/>
      <c r="I123" s="256"/>
      <c r="J123" s="256"/>
      <c r="K123" s="256"/>
      <c r="L123" s="256"/>
      <c r="M123" s="256"/>
      <c r="N123" s="320"/>
    </row>
    <row r="124" spans="1:14" s="285" customFormat="1" ht="12.75" customHeight="1">
      <c r="A124" s="255"/>
      <c r="B124" s="256"/>
      <c r="C124" s="256"/>
      <c r="D124" s="256"/>
      <c r="E124" s="256"/>
      <c r="F124" s="256"/>
      <c r="G124" s="256"/>
      <c r="H124" s="256"/>
      <c r="I124" s="256"/>
      <c r="J124" s="256"/>
      <c r="K124" s="256"/>
      <c r="L124" s="256"/>
      <c r="M124" s="256"/>
      <c r="N124" s="320"/>
    </row>
    <row r="125" spans="1:14" s="285" customFormat="1" ht="12.75" customHeight="1">
      <c r="A125" s="255"/>
      <c r="B125" s="256"/>
      <c r="C125" s="256"/>
      <c r="D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320"/>
    </row>
    <row r="126" spans="1:14" s="285" customFormat="1">
      <c r="A126" s="255"/>
      <c r="B126" s="256"/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320"/>
    </row>
    <row r="127" spans="1:14" s="285" customFormat="1">
      <c r="A127" s="255"/>
      <c r="B127" s="256"/>
      <c r="C127" s="256"/>
      <c r="D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320"/>
    </row>
    <row r="128" spans="1:14" s="1104" customFormat="1" ht="22.5" customHeight="1">
      <c r="A128" s="255"/>
      <c r="B128" s="256"/>
      <c r="C128" s="256"/>
      <c r="D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320"/>
    </row>
    <row r="129" spans="1:14" s="285" customFormat="1" ht="12.75" customHeight="1">
      <c r="A129" s="255"/>
      <c r="B129" s="256"/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256"/>
      <c r="N129" s="320"/>
    </row>
    <row r="130" spans="1:14" s="285" customFormat="1" ht="12.75" customHeight="1">
      <c r="A130" s="255"/>
      <c r="B130" s="256"/>
      <c r="C130" s="256"/>
      <c r="D130" s="256"/>
      <c r="E130" s="256"/>
      <c r="F130" s="256"/>
      <c r="G130" s="256"/>
      <c r="H130" s="256"/>
      <c r="I130" s="256"/>
      <c r="J130" s="256"/>
      <c r="K130" s="256"/>
      <c r="L130" s="256"/>
      <c r="M130" s="256"/>
      <c r="N130" s="320"/>
    </row>
    <row r="131" spans="1:14" s="285" customFormat="1">
      <c r="A131" s="255"/>
      <c r="B131" s="256"/>
      <c r="C131" s="256"/>
      <c r="D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320"/>
    </row>
    <row r="132" spans="1:14" s="285" customFormat="1">
      <c r="A132" s="255"/>
      <c r="B132" s="256"/>
      <c r="C132" s="256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320"/>
    </row>
    <row r="133" spans="1:14" s="1104" customFormat="1" ht="15" customHeight="1">
      <c r="A133" s="255"/>
      <c r="B133" s="256"/>
      <c r="C133" s="256"/>
      <c r="D133" s="256"/>
      <c r="E133" s="256"/>
      <c r="F133" s="256"/>
      <c r="G133" s="256"/>
      <c r="H133" s="256"/>
      <c r="I133" s="256"/>
      <c r="J133" s="256"/>
      <c r="K133" s="256"/>
      <c r="L133" s="256"/>
      <c r="M133" s="256"/>
      <c r="N133" s="320"/>
    </row>
    <row r="134" spans="1:14" s="285" customFormat="1" ht="12.75" customHeight="1">
      <c r="A134" s="255"/>
      <c r="B134" s="256"/>
      <c r="C134" s="256"/>
      <c r="D134" s="256"/>
      <c r="E134" s="256"/>
      <c r="F134" s="256"/>
      <c r="G134" s="256"/>
      <c r="H134" s="256"/>
      <c r="I134" s="256"/>
      <c r="J134" s="256"/>
      <c r="K134" s="256"/>
      <c r="L134" s="256"/>
      <c r="M134" s="256"/>
      <c r="N134" s="320"/>
    </row>
    <row r="135" spans="1:14" s="285" customFormat="1" ht="12.75" customHeight="1">
      <c r="A135" s="255"/>
      <c r="B135" s="256"/>
      <c r="C135" s="256"/>
      <c r="D135" s="256"/>
      <c r="E135" s="256"/>
      <c r="F135" s="256"/>
      <c r="G135" s="256"/>
      <c r="H135" s="256"/>
      <c r="I135" s="256"/>
      <c r="J135" s="256"/>
      <c r="K135" s="256"/>
      <c r="L135" s="256"/>
      <c r="M135" s="256"/>
      <c r="N135" s="320"/>
    </row>
    <row r="136" spans="1:14" s="285" customFormat="1">
      <c r="A136" s="255"/>
      <c r="B136" s="256"/>
      <c r="C136" s="256"/>
      <c r="D136" s="256"/>
      <c r="E136" s="256"/>
      <c r="F136" s="256"/>
      <c r="G136" s="256"/>
      <c r="H136" s="256"/>
      <c r="I136" s="256"/>
      <c r="J136" s="256"/>
      <c r="K136" s="256"/>
      <c r="L136" s="256"/>
      <c r="M136" s="256"/>
      <c r="N136" s="320"/>
    </row>
    <row r="137" spans="1:14" s="285" customFormat="1">
      <c r="A137" s="255"/>
      <c r="B137" s="256"/>
      <c r="C137" s="256"/>
      <c r="D137" s="256"/>
      <c r="E137" s="256"/>
      <c r="F137" s="256"/>
      <c r="G137" s="256"/>
      <c r="H137" s="256"/>
      <c r="I137" s="256"/>
      <c r="J137" s="256"/>
      <c r="K137" s="256"/>
      <c r="L137" s="256"/>
      <c r="M137" s="256"/>
      <c r="N137" s="320"/>
    </row>
    <row r="138" spans="1:14" s="1104" customFormat="1" ht="13.5" customHeight="1">
      <c r="A138" s="255"/>
      <c r="B138" s="256"/>
      <c r="C138" s="256"/>
      <c r="D138" s="256"/>
      <c r="E138" s="256"/>
      <c r="F138" s="256"/>
      <c r="G138" s="256"/>
      <c r="H138" s="256"/>
      <c r="I138" s="256"/>
      <c r="J138" s="256"/>
      <c r="K138" s="256"/>
      <c r="L138" s="256"/>
      <c r="M138" s="256"/>
      <c r="N138" s="320"/>
    </row>
    <row r="139" spans="1:14" s="285" customFormat="1" ht="12.75" customHeight="1">
      <c r="A139" s="255"/>
      <c r="B139" s="256"/>
      <c r="C139" s="256"/>
      <c r="D139" s="256"/>
      <c r="E139" s="256"/>
      <c r="F139" s="256"/>
      <c r="G139" s="256"/>
      <c r="H139" s="256"/>
      <c r="I139" s="256"/>
      <c r="J139" s="256"/>
      <c r="K139" s="256"/>
      <c r="L139" s="256"/>
      <c r="M139" s="256"/>
      <c r="N139" s="320"/>
    </row>
    <row r="140" spans="1:14" s="285" customFormat="1" ht="12.75" customHeight="1">
      <c r="A140" s="255"/>
      <c r="B140" s="256"/>
      <c r="C140" s="256"/>
      <c r="D140" s="256"/>
      <c r="E140" s="256"/>
      <c r="F140" s="256"/>
      <c r="G140" s="256"/>
      <c r="H140" s="256"/>
      <c r="I140" s="256"/>
      <c r="J140" s="256"/>
      <c r="K140" s="256"/>
      <c r="L140" s="256"/>
      <c r="M140" s="256"/>
      <c r="N140" s="320"/>
    </row>
    <row r="141" spans="1:14" s="285" customFormat="1">
      <c r="A141" s="255"/>
      <c r="B141" s="256"/>
      <c r="C141" s="256"/>
      <c r="D141" s="256"/>
      <c r="E141" s="256"/>
      <c r="F141" s="256"/>
      <c r="G141" s="256"/>
      <c r="H141" s="256"/>
      <c r="I141" s="256"/>
      <c r="J141" s="256"/>
      <c r="K141" s="256"/>
      <c r="L141" s="256"/>
      <c r="M141" s="256"/>
      <c r="N141" s="320"/>
    </row>
    <row r="142" spans="1:14" s="285" customFormat="1">
      <c r="A142" s="255"/>
      <c r="B142" s="256"/>
      <c r="C142" s="256"/>
      <c r="D142" s="256"/>
      <c r="E142" s="256"/>
      <c r="F142" s="256"/>
      <c r="G142" s="256"/>
      <c r="H142" s="256"/>
      <c r="I142" s="256"/>
      <c r="J142" s="256"/>
      <c r="K142" s="256"/>
      <c r="L142" s="256"/>
      <c r="M142" s="256"/>
      <c r="N142" s="320"/>
    </row>
    <row r="143" spans="1:14" s="285" customFormat="1">
      <c r="A143" s="255"/>
      <c r="B143" s="256"/>
      <c r="C143" s="256"/>
      <c r="D143" s="256"/>
      <c r="E143" s="256"/>
      <c r="F143" s="256"/>
      <c r="G143" s="256"/>
      <c r="H143" s="256"/>
      <c r="I143" s="256"/>
      <c r="J143" s="256"/>
      <c r="K143" s="256"/>
      <c r="L143" s="256"/>
      <c r="M143" s="256"/>
      <c r="N143" s="320"/>
    </row>
    <row r="144" spans="1:14" s="1104" customFormat="1" ht="22.5" customHeight="1">
      <c r="A144" s="255"/>
      <c r="B144" s="256"/>
      <c r="C144" s="256"/>
      <c r="D144" s="256"/>
      <c r="E144" s="256"/>
      <c r="F144" s="256"/>
      <c r="G144" s="256"/>
      <c r="H144" s="256"/>
      <c r="I144" s="256"/>
      <c r="J144" s="256"/>
      <c r="K144" s="256"/>
      <c r="L144" s="256"/>
      <c r="M144" s="256"/>
      <c r="N144" s="320"/>
    </row>
    <row r="145" spans="1:14" s="285" customFormat="1" ht="12.75" customHeight="1">
      <c r="A145" s="255"/>
      <c r="B145" s="256"/>
      <c r="C145" s="256"/>
      <c r="D145" s="256"/>
      <c r="E145" s="256"/>
      <c r="F145" s="256"/>
      <c r="G145" s="256"/>
      <c r="H145" s="256"/>
      <c r="I145" s="256"/>
      <c r="J145" s="256"/>
      <c r="K145" s="256"/>
      <c r="L145" s="256"/>
      <c r="M145" s="256"/>
      <c r="N145" s="320"/>
    </row>
    <row r="146" spans="1:14" s="285" customFormat="1" ht="12.75" customHeight="1">
      <c r="A146" s="255"/>
      <c r="B146" s="256"/>
      <c r="C146" s="256"/>
      <c r="D146" s="256"/>
      <c r="E146" s="256"/>
      <c r="F146" s="256"/>
      <c r="G146" s="256"/>
      <c r="H146" s="256"/>
      <c r="I146" s="256"/>
      <c r="J146" s="256"/>
      <c r="K146" s="256"/>
      <c r="L146" s="256"/>
      <c r="M146" s="256"/>
      <c r="N146" s="320"/>
    </row>
    <row r="147" spans="1:14" s="285" customFormat="1">
      <c r="A147" s="255"/>
      <c r="B147" s="256"/>
      <c r="C147" s="256"/>
      <c r="D147" s="256"/>
      <c r="E147" s="256"/>
      <c r="F147" s="256"/>
      <c r="G147" s="256"/>
      <c r="H147" s="256"/>
      <c r="I147" s="256"/>
      <c r="J147" s="256"/>
      <c r="K147" s="256"/>
      <c r="L147" s="256"/>
      <c r="M147" s="256"/>
      <c r="N147" s="320"/>
    </row>
    <row r="148" spans="1:14" s="285" customFormat="1">
      <c r="A148" s="255"/>
      <c r="B148" s="256"/>
      <c r="C148" s="256"/>
      <c r="D148" s="256"/>
      <c r="E148" s="256"/>
      <c r="F148" s="256"/>
      <c r="G148" s="256"/>
      <c r="H148" s="256"/>
      <c r="I148" s="256"/>
      <c r="J148" s="256"/>
      <c r="K148" s="256"/>
      <c r="L148" s="256"/>
      <c r="M148" s="256"/>
      <c r="N148" s="320"/>
    </row>
    <row r="149" spans="1:14" s="1104" customFormat="1" ht="12.75" customHeight="1">
      <c r="A149" s="255"/>
      <c r="B149" s="256"/>
      <c r="C149" s="256"/>
      <c r="D149" s="256"/>
      <c r="E149" s="256"/>
      <c r="F149" s="256"/>
      <c r="G149" s="256"/>
      <c r="H149" s="256"/>
      <c r="I149" s="256"/>
      <c r="J149" s="256"/>
      <c r="K149" s="256"/>
      <c r="L149" s="256"/>
      <c r="M149" s="256"/>
      <c r="N149" s="320"/>
    </row>
    <row r="150" spans="1:14" s="285" customFormat="1" ht="9.75" customHeight="1">
      <c r="A150" s="255"/>
      <c r="B150" s="256"/>
      <c r="C150" s="256"/>
      <c r="D150" s="256"/>
      <c r="E150" s="256"/>
      <c r="F150" s="256"/>
      <c r="G150" s="256"/>
      <c r="H150" s="256"/>
      <c r="I150" s="256"/>
      <c r="J150" s="256"/>
      <c r="K150" s="256"/>
      <c r="L150" s="256"/>
      <c r="M150" s="256"/>
      <c r="N150" s="320"/>
    </row>
    <row r="151" spans="1:14" s="285" customFormat="1" ht="12.75" customHeight="1">
      <c r="A151" s="255"/>
      <c r="B151" s="256"/>
      <c r="C151" s="256"/>
      <c r="D151" s="256"/>
      <c r="E151" s="256"/>
      <c r="F151" s="256"/>
      <c r="G151" s="256"/>
      <c r="H151" s="256"/>
      <c r="I151" s="256"/>
      <c r="J151" s="256"/>
      <c r="K151" s="256"/>
      <c r="L151" s="256"/>
      <c r="M151" s="256"/>
      <c r="N151" s="320"/>
    </row>
    <row r="152" spans="1:14" s="285" customFormat="1">
      <c r="A152" s="255"/>
      <c r="B152" s="256"/>
      <c r="C152" s="256"/>
      <c r="D152" s="256"/>
      <c r="E152" s="256"/>
      <c r="F152" s="256"/>
      <c r="G152" s="256"/>
      <c r="H152" s="256"/>
      <c r="I152" s="256"/>
      <c r="J152" s="256"/>
      <c r="K152" s="256"/>
      <c r="L152" s="256"/>
      <c r="M152" s="256"/>
      <c r="N152" s="320"/>
    </row>
    <row r="153" spans="1:14" s="285" customFormat="1">
      <c r="A153" s="255"/>
      <c r="B153" s="256"/>
      <c r="C153" s="256"/>
      <c r="D153" s="256"/>
      <c r="E153" s="256"/>
      <c r="F153" s="256"/>
      <c r="G153" s="256"/>
      <c r="H153" s="256"/>
      <c r="I153" s="256"/>
      <c r="J153" s="256"/>
      <c r="K153" s="256"/>
      <c r="L153" s="256"/>
      <c r="M153" s="256"/>
      <c r="N153" s="320"/>
    </row>
    <row r="154" spans="1:14" s="1104" customFormat="1" ht="13.5" customHeight="1">
      <c r="A154" s="255"/>
      <c r="B154" s="256"/>
      <c r="C154" s="256"/>
      <c r="D154" s="256"/>
      <c r="E154" s="256"/>
      <c r="F154" s="256"/>
      <c r="G154" s="256"/>
      <c r="H154" s="256"/>
      <c r="I154" s="256"/>
      <c r="J154" s="256"/>
      <c r="K154" s="256"/>
      <c r="L154" s="256"/>
      <c r="M154" s="256"/>
      <c r="N154" s="320"/>
    </row>
    <row r="155" spans="1:14" s="285" customFormat="1" ht="9.75" customHeight="1">
      <c r="A155" s="255"/>
      <c r="B155" s="256"/>
      <c r="C155" s="256"/>
      <c r="D155" s="256"/>
      <c r="E155" s="256"/>
      <c r="F155" s="256"/>
      <c r="G155" s="256"/>
      <c r="H155" s="256"/>
      <c r="I155" s="256"/>
      <c r="J155" s="256"/>
      <c r="K155" s="256"/>
      <c r="L155" s="256"/>
      <c r="M155" s="256"/>
      <c r="N155" s="320"/>
    </row>
    <row r="156" spans="1:14" s="285" customFormat="1" ht="12.75" customHeight="1">
      <c r="A156" s="255"/>
      <c r="B156" s="256"/>
      <c r="C156" s="256"/>
      <c r="D156" s="256"/>
      <c r="E156" s="256"/>
      <c r="F156" s="256"/>
      <c r="G156" s="256"/>
      <c r="H156" s="256"/>
      <c r="I156" s="256"/>
      <c r="J156" s="256"/>
      <c r="K156" s="256"/>
      <c r="L156" s="256"/>
      <c r="M156" s="256"/>
      <c r="N156" s="320"/>
    </row>
    <row r="157" spans="1:14" s="285" customFormat="1">
      <c r="A157" s="255"/>
      <c r="B157" s="256"/>
      <c r="C157" s="256"/>
      <c r="D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320"/>
    </row>
    <row r="158" spans="1:14" s="285" customFormat="1">
      <c r="A158" s="255"/>
      <c r="B158" s="256"/>
      <c r="C158" s="256"/>
      <c r="D158" s="256"/>
      <c r="E158" s="256"/>
      <c r="F158" s="256"/>
      <c r="G158" s="256"/>
      <c r="H158" s="256"/>
      <c r="I158" s="256"/>
      <c r="J158" s="256"/>
      <c r="K158" s="256"/>
      <c r="L158" s="256"/>
      <c r="M158" s="256"/>
      <c r="N158" s="320"/>
    </row>
    <row r="159" spans="1:14" s="285" customFormat="1">
      <c r="A159" s="255"/>
      <c r="B159" s="256"/>
      <c r="C159" s="256"/>
      <c r="D159" s="256"/>
      <c r="E159" s="256"/>
      <c r="F159" s="256"/>
      <c r="G159" s="256"/>
      <c r="H159" s="256"/>
      <c r="I159" s="256"/>
      <c r="J159" s="256"/>
      <c r="K159" s="256"/>
      <c r="L159" s="256"/>
      <c r="M159" s="256"/>
      <c r="N159" s="320"/>
    </row>
    <row r="160" spans="1:14" s="285" customFormat="1">
      <c r="A160" s="255"/>
      <c r="B160" s="256"/>
      <c r="C160" s="256"/>
      <c r="D160" s="256"/>
      <c r="E160" s="256"/>
      <c r="F160" s="256"/>
      <c r="G160" s="256"/>
      <c r="H160" s="256"/>
      <c r="I160" s="256"/>
      <c r="J160" s="256"/>
      <c r="K160" s="256"/>
      <c r="L160" s="256"/>
      <c r="M160" s="256"/>
      <c r="N160" s="320"/>
    </row>
    <row r="161" spans="1:14" s="285" customFormat="1">
      <c r="A161" s="255"/>
      <c r="B161" s="256"/>
      <c r="C161" s="256"/>
      <c r="D161" s="256"/>
      <c r="E161" s="256"/>
      <c r="F161" s="256"/>
      <c r="G161" s="256"/>
      <c r="H161" s="256"/>
      <c r="I161" s="256"/>
      <c r="J161" s="256"/>
      <c r="K161" s="256"/>
      <c r="L161" s="256"/>
      <c r="M161" s="256"/>
      <c r="N161" s="320"/>
    </row>
    <row r="162" spans="1:14" s="1104" customFormat="1" ht="22.5" customHeight="1">
      <c r="A162" s="255"/>
      <c r="B162" s="256"/>
      <c r="C162" s="256"/>
      <c r="D162" s="256"/>
      <c r="E162" s="256"/>
      <c r="F162" s="256"/>
      <c r="G162" s="256"/>
      <c r="H162" s="256"/>
      <c r="I162" s="256"/>
      <c r="J162" s="256"/>
      <c r="K162" s="256"/>
      <c r="L162" s="256"/>
      <c r="M162" s="256"/>
      <c r="N162" s="320"/>
    </row>
    <row r="163" spans="1:14" s="285" customFormat="1" ht="12.75" customHeight="1">
      <c r="A163" s="255"/>
      <c r="B163" s="256"/>
      <c r="C163" s="256"/>
      <c r="D163" s="256"/>
      <c r="E163" s="256"/>
      <c r="F163" s="256"/>
      <c r="G163" s="256"/>
      <c r="H163" s="256"/>
      <c r="I163" s="256"/>
      <c r="J163" s="256"/>
      <c r="K163" s="256"/>
      <c r="L163" s="256"/>
      <c r="M163" s="256"/>
      <c r="N163" s="320"/>
    </row>
    <row r="164" spans="1:14" s="285" customFormat="1" ht="12.75" customHeight="1">
      <c r="A164" s="255"/>
      <c r="B164" s="256"/>
      <c r="C164" s="256"/>
      <c r="D164" s="256"/>
      <c r="E164" s="256"/>
      <c r="F164" s="256"/>
      <c r="G164" s="256"/>
      <c r="H164" s="256"/>
      <c r="I164" s="256"/>
      <c r="J164" s="256"/>
      <c r="K164" s="256"/>
      <c r="L164" s="256"/>
      <c r="M164" s="256"/>
      <c r="N164" s="320"/>
    </row>
    <row r="165" spans="1:14" s="285" customFormat="1" ht="13.5" thickBot="1">
      <c r="A165" s="1732"/>
      <c r="B165" s="2862"/>
      <c r="C165" s="2862"/>
      <c r="D165" s="2862"/>
      <c r="E165" s="2862"/>
      <c r="F165" s="2862"/>
      <c r="G165" s="2862"/>
      <c r="H165" s="2862"/>
      <c r="I165" s="2862"/>
      <c r="J165" s="2862"/>
      <c r="K165" s="2862"/>
      <c r="L165" s="2862"/>
      <c r="M165" s="2862"/>
      <c r="N165" s="2863"/>
    </row>
    <row r="166" spans="1:14" s="285" customFormat="1">
      <c r="A166" s="255"/>
      <c r="B166" s="256"/>
      <c r="C166" s="256"/>
      <c r="D166" s="256"/>
      <c r="E166" s="256"/>
      <c r="F166" s="256"/>
      <c r="G166" s="256"/>
      <c r="H166" s="256"/>
      <c r="I166" s="256"/>
      <c r="J166" s="256"/>
      <c r="K166" s="256"/>
      <c r="L166" s="256"/>
      <c r="M166" s="256"/>
      <c r="N166" s="320"/>
    </row>
    <row r="167" spans="1:14" s="1104" customFormat="1" ht="34.5" customHeight="1">
      <c r="A167" s="255"/>
      <c r="B167" s="256"/>
      <c r="C167" s="256"/>
      <c r="D167" s="256"/>
      <c r="E167" s="256"/>
      <c r="F167" s="256"/>
      <c r="G167" s="256"/>
      <c r="H167" s="256"/>
      <c r="I167" s="256"/>
      <c r="J167" s="256"/>
      <c r="K167" s="256"/>
      <c r="L167" s="256"/>
      <c r="M167" s="256"/>
      <c r="N167" s="320"/>
    </row>
    <row r="168" spans="1:14" s="285" customFormat="1" ht="14.25" customHeight="1">
      <c r="A168" s="255"/>
      <c r="B168" s="256"/>
      <c r="C168" s="256"/>
      <c r="D168" s="256"/>
      <c r="E168" s="256"/>
      <c r="F168" s="256"/>
      <c r="G168" s="256"/>
      <c r="H168" s="256"/>
      <c r="I168" s="256"/>
      <c r="J168" s="256"/>
      <c r="K168" s="256"/>
      <c r="L168" s="256"/>
      <c r="M168" s="256"/>
      <c r="N168" s="320"/>
    </row>
    <row r="169" spans="1:14" s="285" customFormat="1" ht="12.75" customHeight="1">
      <c r="A169" s="255"/>
      <c r="B169" s="256"/>
      <c r="C169" s="256"/>
      <c r="D169" s="256"/>
      <c r="E169" s="256"/>
      <c r="F169" s="256"/>
      <c r="G169" s="256"/>
      <c r="H169" s="256"/>
      <c r="I169" s="256"/>
      <c r="J169" s="256"/>
      <c r="K169" s="256"/>
      <c r="L169" s="256"/>
      <c r="M169" s="256"/>
      <c r="N169" s="320"/>
    </row>
    <row r="170" spans="1:14" s="285" customFormat="1">
      <c r="A170" s="255"/>
      <c r="B170" s="256"/>
      <c r="C170" s="256"/>
      <c r="D170" s="256"/>
      <c r="E170" s="256"/>
      <c r="F170" s="256"/>
      <c r="G170" s="256"/>
      <c r="H170" s="256"/>
      <c r="I170" s="256"/>
      <c r="J170" s="256"/>
      <c r="K170" s="256"/>
      <c r="L170" s="256"/>
      <c r="M170" s="256"/>
      <c r="N170" s="320"/>
    </row>
    <row r="171" spans="1:14" s="285" customFormat="1" ht="13.5" thickBot="1">
      <c r="A171" s="1732"/>
      <c r="B171" s="256"/>
      <c r="C171" s="256"/>
      <c r="D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320"/>
    </row>
    <row r="172" spans="1:14" s="285" customFormat="1" ht="13.5" thickBot="1">
      <c r="A172" s="2019"/>
      <c r="B172" s="256"/>
      <c r="C172" s="256"/>
      <c r="D172" s="256"/>
      <c r="E172" s="256"/>
      <c r="F172" s="256"/>
      <c r="G172" s="256"/>
      <c r="H172" s="256"/>
      <c r="I172" s="256"/>
      <c r="J172" s="256"/>
      <c r="K172" s="256"/>
      <c r="L172" s="256"/>
      <c r="M172" s="256"/>
      <c r="N172" s="320"/>
    </row>
    <row r="173" spans="1:14" s="1104" customFormat="1" ht="36.75" customHeight="1" thickBot="1">
      <c r="A173" s="2019"/>
      <c r="B173" s="256"/>
      <c r="C173" s="256"/>
      <c r="D173" s="256"/>
      <c r="E173" s="256"/>
      <c r="F173" s="256"/>
      <c r="G173" s="256"/>
      <c r="H173" s="256"/>
      <c r="I173" s="256"/>
      <c r="J173" s="256"/>
      <c r="K173" s="256"/>
      <c r="L173" s="256"/>
      <c r="M173" s="256"/>
      <c r="N173" s="320"/>
    </row>
    <row r="174" spans="1:14" s="285" customFormat="1" ht="9.75" customHeight="1" thickBot="1">
      <c r="A174" s="2019"/>
      <c r="B174" s="256"/>
      <c r="C174" s="256"/>
      <c r="D174" s="256"/>
      <c r="E174" s="256"/>
      <c r="F174" s="256"/>
      <c r="G174" s="256"/>
      <c r="H174" s="256"/>
      <c r="I174" s="256"/>
      <c r="J174" s="256"/>
      <c r="K174" s="256"/>
      <c r="L174" s="256"/>
      <c r="M174" s="256"/>
      <c r="N174" s="320"/>
    </row>
    <row r="175" spans="1:14" s="285" customFormat="1" ht="12.75" customHeight="1" thickBot="1">
      <c r="A175" s="2019"/>
      <c r="B175" s="256"/>
      <c r="C175" s="256"/>
      <c r="D175" s="256"/>
      <c r="E175" s="256"/>
      <c r="F175" s="256"/>
      <c r="G175" s="256"/>
      <c r="H175" s="256"/>
      <c r="I175" s="256"/>
      <c r="J175" s="256"/>
      <c r="K175" s="256"/>
      <c r="L175" s="256"/>
      <c r="M175" s="256"/>
      <c r="N175" s="320"/>
    </row>
    <row r="176" spans="1:14" s="285" customFormat="1" ht="13.5" thickBot="1">
      <c r="A176" s="2019"/>
      <c r="B176" s="256"/>
      <c r="C176" s="256"/>
      <c r="D176" s="256"/>
      <c r="E176" s="256"/>
      <c r="F176" s="256"/>
      <c r="G176" s="256"/>
      <c r="H176" s="256"/>
      <c r="I176" s="256"/>
      <c r="J176" s="256"/>
      <c r="K176" s="256"/>
      <c r="L176" s="256"/>
      <c r="M176" s="256"/>
      <c r="N176" s="320"/>
    </row>
    <row r="177" spans="1:14" s="285" customFormat="1" ht="13.5" thickBot="1">
      <c r="A177" s="2019"/>
      <c r="B177" s="256"/>
      <c r="C177" s="256"/>
      <c r="D177" s="256"/>
      <c r="E177" s="256"/>
      <c r="F177" s="256"/>
      <c r="G177" s="256"/>
      <c r="H177" s="256"/>
      <c r="I177" s="256"/>
      <c r="J177" s="256"/>
      <c r="K177" s="256"/>
      <c r="L177" s="256"/>
      <c r="M177" s="256"/>
      <c r="N177" s="320"/>
    </row>
    <row r="178" spans="1:14" s="285" customFormat="1" ht="13.5" thickBot="1">
      <c r="A178" s="2019"/>
      <c r="B178" s="256"/>
      <c r="C178" s="256"/>
      <c r="D178" s="256"/>
      <c r="E178" s="256"/>
      <c r="F178" s="256"/>
      <c r="G178" s="256"/>
      <c r="H178" s="256"/>
      <c r="I178" s="256"/>
      <c r="J178" s="256"/>
      <c r="K178" s="256"/>
      <c r="L178" s="256"/>
      <c r="M178" s="256"/>
      <c r="N178" s="320"/>
    </row>
    <row r="179" spans="1:14" s="1104" customFormat="1" ht="33.75" customHeight="1" thickBot="1">
      <c r="A179" s="2019"/>
      <c r="B179" s="256"/>
      <c r="C179" s="256"/>
      <c r="D179" s="256"/>
      <c r="E179" s="256"/>
      <c r="F179" s="256"/>
      <c r="G179" s="256"/>
      <c r="H179" s="256"/>
      <c r="I179" s="256"/>
      <c r="J179" s="256"/>
      <c r="K179" s="256"/>
      <c r="L179" s="256"/>
      <c r="M179" s="256"/>
      <c r="N179" s="320"/>
    </row>
    <row r="180" spans="1:14" s="285" customFormat="1" ht="9.75" customHeight="1" thickBot="1">
      <c r="A180" s="2019"/>
      <c r="B180" s="256"/>
      <c r="C180" s="256"/>
      <c r="D180" s="256"/>
      <c r="E180" s="256"/>
      <c r="F180" s="256"/>
      <c r="G180" s="256"/>
      <c r="H180" s="256"/>
      <c r="I180" s="256"/>
      <c r="J180" s="256"/>
      <c r="K180" s="256"/>
      <c r="L180" s="256"/>
      <c r="M180" s="256"/>
      <c r="N180" s="320"/>
    </row>
    <row r="181" spans="1:14" s="285" customFormat="1" ht="12.75" customHeight="1" thickBot="1">
      <c r="A181" s="2019"/>
      <c r="B181" s="256"/>
      <c r="C181" s="256"/>
      <c r="D181" s="256"/>
      <c r="E181" s="256"/>
      <c r="F181" s="256"/>
      <c r="G181" s="256"/>
      <c r="H181" s="256"/>
      <c r="I181" s="256"/>
      <c r="J181" s="256"/>
      <c r="K181" s="256"/>
      <c r="L181" s="256"/>
      <c r="M181" s="256"/>
      <c r="N181" s="320"/>
    </row>
    <row r="182" spans="1:14" s="285" customFormat="1" ht="13.5" thickBot="1">
      <c r="A182" s="2019"/>
      <c r="B182" s="2862"/>
      <c r="C182" s="256"/>
      <c r="D182" s="256"/>
      <c r="E182" s="256"/>
      <c r="F182" s="256"/>
      <c r="G182" s="256"/>
      <c r="H182" s="256"/>
      <c r="I182" s="256"/>
      <c r="J182" s="256"/>
      <c r="K182" s="256"/>
      <c r="L182" s="256"/>
      <c r="M182" s="256"/>
      <c r="N182" s="320"/>
    </row>
    <row r="183" spans="1:14" s="285" customFormat="1" ht="13.5" thickBot="1">
      <c r="A183" s="2019"/>
      <c r="B183" s="2866"/>
      <c r="C183" s="256"/>
      <c r="D183" s="256"/>
      <c r="E183" s="256"/>
      <c r="F183" s="256"/>
      <c r="G183" s="256"/>
      <c r="H183" s="256"/>
      <c r="I183" s="256"/>
      <c r="J183" s="256"/>
      <c r="K183" s="256"/>
      <c r="L183" s="256"/>
      <c r="M183" s="256"/>
      <c r="N183" s="320"/>
    </row>
    <row r="184" spans="1:14" s="285" customFormat="1" ht="13.5" thickBot="1">
      <c r="A184" s="2019"/>
      <c r="B184" s="256"/>
      <c r="C184" s="256"/>
      <c r="D184" s="256"/>
      <c r="E184" s="256"/>
      <c r="F184" s="256"/>
      <c r="G184" s="256"/>
      <c r="H184" s="256"/>
      <c r="I184" s="256"/>
      <c r="J184" s="256"/>
      <c r="K184" s="256"/>
      <c r="L184" s="256"/>
      <c r="M184" s="256"/>
      <c r="N184" s="320"/>
    </row>
    <row r="185" spans="1:14" s="285" customFormat="1" ht="13.5" thickBot="1">
      <c r="A185" s="2019"/>
      <c r="B185" s="256"/>
      <c r="C185" s="256"/>
      <c r="D185" s="256"/>
      <c r="E185" s="256"/>
      <c r="F185" s="256"/>
      <c r="G185" s="256"/>
      <c r="H185" s="256"/>
      <c r="I185" s="256"/>
      <c r="J185" s="256"/>
      <c r="K185" s="256"/>
      <c r="L185" s="256"/>
      <c r="M185" s="256"/>
      <c r="N185" s="320"/>
    </row>
    <row r="186" spans="1:14" s="1106" customFormat="1" ht="14.25" customHeight="1" thickBot="1">
      <c r="A186" s="2019"/>
      <c r="B186" s="256"/>
      <c r="C186" s="256"/>
      <c r="D186" s="256"/>
      <c r="E186" s="256"/>
      <c r="F186" s="256"/>
      <c r="G186" s="256"/>
      <c r="H186" s="256"/>
      <c r="I186" s="256"/>
      <c r="J186" s="256"/>
      <c r="K186" s="256"/>
      <c r="L186" s="256"/>
      <c r="M186" s="256"/>
      <c r="N186" s="320"/>
    </row>
    <row r="187" spans="1:14" s="285" customFormat="1" ht="13.5" thickBot="1">
      <c r="A187" s="2019"/>
      <c r="B187" s="256"/>
      <c r="C187" s="256"/>
      <c r="D187" s="256"/>
      <c r="E187" s="256"/>
      <c r="F187" s="256"/>
      <c r="G187" s="256"/>
      <c r="H187" s="256"/>
      <c r="I187" s="256"/>
      <c r="J187" s="256"/>
      <c r="K187" s="256"/>
      <c r="L187" s="256"/>
      <c r="M187" s="256"/>
      <c r="N187" s="320"/>
    </row>
    <row r="188" spans="1:14" s="1097" customFormat="1" ht="23.25" customHeight="1" thickBot="1">
      <c r="A188" s="2019"/>
      <c r="B188" s="256"/>
      <c r="C188" s="256"/>
      <c r="D188" s="256"/>
      <c r="E188" s="256"/>
      <c r="F188" s="256"/>
      <c r="G188" s="256"/>
      <c r="H188" s="256"/>
      <c r="I188" s="256"/>
      <c r="J188" s="256"/>
      <c r="K188" s="256"/>
      <c r="L188" s="256"/>
      <c r="M188" s="256"/>
      <c r="N188" s="320"/>
    </row>
    <row r="189" spans="1:14" s="285" customFormat="1" ht="13.5" thickBot="1">
      <c r="A189" s="2019"/>
      <c r="B189" s="256"/>
      <c r="C189" s="256"/>
      <c r="D189" s="256"/>
      <c r="E189" s="256"/>
      <c r="F189" s="256"/>
      <c r="G189" s="256"/>
      <c r="H189" s="256"/>
      <c r="I189" s="256"/>
      <c r="J189" s="256"/>
      <c r="K189" s="256"/>
      <c r="L189" s="256"/>
      <c r="M189" s="256"/>
      <c r="N189" s="320"/>
    </row>
    <row r="190" spans="1:14" s="1096" customFormat="1" ht="15.75" customHeight="1" thickBot="1">
      <c r="A190" s="2019"/>
      <c r="B190" s="256"/>
      <c r="C190" s="256"/>
      <c r="D190" s="256"/>
      <c r="E190" s="256"/>
      <c r="F190" s="256"/>
      <c r="G190" s="256"/>
      <c r="H190" s="256"/>
      <c r="I190" s="256"/>
      <c r="J190" s="256"/>
      <c r="K190" s="256"/>
      <c r="L190" s="256"/>
      <c r="M190" s="256"/>
      <c r="N190" s="320"/>
    </row>
    <row r="191" spans="1:14" s="1096" customFormat="1" ht="12.75" customHeight="1" thickBot="1">
      <c r="A191" s="2019"/>
      <c r="B191" s="256"/>
      <c r="C191" s="256"/>
      <c r="D191" s="256"/>
      <c r="E191" s="256"/>
      <c r="F191" s="256"/>
      <c r="G191" s="256"/>
      <c r="H191" s="256"/>
      <c r="I191" s="256"/>
      <c r="J191" s="256"/>
      <c r="K191" s="256"/>
      <c r="L191" s="256"/>
      <c r="M191" s="256"/>
      <c r="N191" s="320"/>
    </row>
    <row r="192" spans="1:14" s="1096" customFormat="1" ht="12.75" customHeight="1" thickBot="1">
      <c r="A192" s="2019"/>
      <c r="B192" s="256"/>
      <c r="C192" s="256"/>
      <c r="D192" s="256"/>
      <c r="E192" s="256"/>
      <c r="F192" s="256"/>
      <c r="G192" s="256"/>
      <c r="H192" s="256"/>
      <c r="I192" s="256"/>
      <c r="J192" s="256"/>
      <c r="K192" s="256"/>
      <c r="L192" s="256"/>
      <c r="M192" s="256"/>
      <c r="N192" s="320"/>
    </row>
    <row r="193" spans="1:14" s="1096" customFormat="1" ht="12" customHeight="1" thickBot="1">
      <c r="A193" s="2019"/>
      <c r="B193" s="256"/>
      <c r="C193" s="256"/>
      <c r="D193" s="256"/>
      <c r="E193" s="256"/>
      <c r="F193" s="256"/>
      <c r="G193" s="256"/>
      <c r="H193" s="256"/>
      <c r="I193" s="256"/>
      <c r="J193" s="256"/>
      <c r="K193" s="256"/>
      <c r="L193" s="256"/>
      <c r="M193" s="256"/>
      <c r="N193" s="320"/>
    </row>
    <row r="194" spans="1:14" s="1106" customFormat="1" ht="24" customHeight="1" thickBot="1">
      <c r="A194" s="2019"/>
      <c r="B194" s="256"/>
      <c r="C194" s="256"/>
      <c r="D194" s="256"/>
      <c r="E194" s="256"/>
      <c r="F194" s="256"/>
      <c r="G194" s="256"/>
      <c r="H194" s="256"/>
      <c r="I194" s="256"/>
      <c r="J194" s="256"/>
      <c r="K194" s="256"/>
      <c r="L194" s="256"/>
      <c r="M194" s="256"/>
      <c r="N194" s="320"/>
    </row>
    <row r="195" spans="1:14" s="285" customFormat="1" ht="11.25" customHeight="1" thickBot="1">
      <c r="A195" s="2019"/>
      <c r="B195" s="256"/>
      <c r="C195" s="256"/>
      <c r="D195" s="256"/>
      <c r="E195" s="256"/>
      <c r="F195" s="256"/>
      <c r="G195" s="256"/>
      <c r="H195" s="256"/>
      <c r="I195" s="256"/>
      <c r="J195" s="256"/>
      <c r="K195" s="256"/>
      <c r="L195" s="256"/>
      <c r="M195" s="256"/>
      <c r="N195" s="320"/>
    </row>
    <row r="196" spans="1:14" s="285" customFormat="1" ht="12.75" customHeight="1" thickBot="1">
      <c r="A196" s="2019"/>
      <c r="B196" s="256"/>
      <c r="C196" s="256"/>
      <c r="D196" s="256"/>
      <c r="E196" s="256"/>
      <c r="F196" s="256"/>
      <c r="G196" s="256"/>
      <c r="H196" s="256"/>
      <c r="I196" s="256"/>
      <c r="J196" s="256"/>
      <c r="K196" s="256"/>
      <c r="L196" s="256"/>
      <c r="M196" s="2862"/>
      <c r="N196" s="2863"/>
    </row>
    <row r="197" spans="1:14" s="285" customFormat="1" ht="13.5" thickBot="1">
      <c r="A197" s="2019"/>
      <c r="B197" s="256"/>
      <c r="C197" s="2862"/>
      <c r="D197" s="256"/>
      <c r="E197" s="256"/>
      <c r="F197" s="256"/>
      <c r="G197" s="256"/>
      <c r="H197" s="256"/>
      <c r="I197" s="256"/>
      <c r="J197" s="256"/>
      <c r="K197" s="256"/>
      <c r="L197" s="256"/>
      <c r="M197" s="2864"/>
      <c r="N197" s="2865"/>
    </row>
    <row r="198" spans="1:14" s="285" customFormat="1" ht="13.5" thickBot="1">
      <c r="A198" s="2019"/>
      <c r="B198" s="256"/>
      <c r="C198" s="2864"/>
      <c r="D198" s="256"/>
      <c r="E198" s="256"/>
      <c r="F198" s="256"/>
      <c r="G198" s="256"/>
      <c r="H198" s="256"/>
      <c r="I198" s="256"/>
      <c r="J198" s="256"/>
      <c r="K198" s="256"/>
      <c r="L198" s="256"/>
      <c r="M198" s="2864"/>
      <c r="N198" s="2865"/>
    </row>
    <row r="199" spans="1:14" s="285" customFormat="1" ht="13.5" thickBot="1">
      <c r="A199" s="2019"/>
      <c r="B199" s="256"/>
      <c r="C199" s="2864"/>
      <c r="D199" s="256"/>
      <c r="E199" s="256"/>
      <c r="F199" s="256"/>
      <c r="G199" s="256"/>
      <c r="H199" s="256"/>
      <c r="I199" s="256"/>
      <c r="J199" s="256"/>
      <c r="K199" s="256"/>
      <c r="L199" s="256"/>
      <c r="M199" s="2864"/>
      <c r="N199" s="2865"/>
    </row>
    <row r="200" spans="1:14" s="285" customFormat="1" ht="13.5" thickBot="1">
      <c r="A200" s="2020"/>
      <c r="B200" s="256"/>
      <c r="C200" s="2864"/>
      <c r="D200" s="2862"/>
      <c r="E200" s="2862"/>
      <c r="F200" s="2862"/>
      <c r="G200" s="2862"/>
      <c r="H200" s="2862"/>
      <c r="I200" s="2862"/>
      <c r="J200" s="2862"/>
      <c r="K200" s="2862"/>
      <c r="L200" s="2862"/>
      <c r="M200" s="2864"/>
      <c r="N200" s="2865"/>
    </row>
    <row r="201" spans="1:14" s="285" customFormat="1" ht="21.75" customHeight="1" thickBot="1">
      <c r="A201" s="255"/>
      <c r="B201" s="256"/>
      <c r="C201" s="2866"/>
      <c r="D201" s="2866"/>
      <c r="E201" s="2866"/>
      <c r="F201" s="2866"/>
      <c r="G201" s="2866"/>
      <c r="H201" s="2866"/>
      <c r="I201" s="2866"/>
      <c r="J201" s="2866"/>
      <c r="K201" s="2866"/>
      <c r="L201" s="2866"/>
      <c r="M201" s="2866"/>
      <c r="N201" s="2865"/>
    </row>
    <row r="202" spans="1:14" s="285" customFormat="1" ht="12.75" customHeight="1" thickBot="1">
      <c r="A202" s="255"/>
      <c r="B202" s="256"/>
      <c r="C202" s="256"/>
      <c r="D202" s="256"/>
      <c r="E202" s="256"/>
      <c r="F202" s="256"/>
      <c r="G202" s="256"/>
      <c r="H202" s="256"/>
      <c r="I202" s="256"/>
      <c r="J202" s="256"/>
      <c r="K202" s="256"/>
      <c r="L202" s="256"/>
      <c r="M202" s="256"/>
      <c r="N202" s="2865"/>
    </row>
    <row r="203" spans="1:14" s="285" customFormat="1" ht="13.5" thickBot="1">
      <c r="A203" s="255"/>
      <c r="B203" s="256"/>
      <c r="C203" s="256"/>
      <c r="D203" s="256"/>
      <c r="E203" s="256"/>
      <c r="F203" s="256"/>
      <c r="G203" s="256"/>
      <c r="H203" s="256"/>
      <c r="I203" s="256"/>
      <c r="J203" s="256"/>
      <c r="K203" s="256"/>
      <c r="L203" s="256"/>
      <c r="M203" s="256"/>
      <c r="N203" s="2865"/>
    </row>
    <row r="204" spans="1:14" s="285" customFormat="1" ht="13.5" thickBot="1">
      <c r="A204" s="255"/>
      <c r="B204" s="256"/>
      <c r="C204" s="256"/>
      <c r="D204" s="256"/>
      <c r="E204" s="256"/>
      <c r="F204" s="256"/>
      <c r="G204" s="256"/>
      <c r="H204" s="256"/>
      <c r="I204" s="256"/>
      <c r="J204" s="256"/>
      <c r="K204" s="256"/>
      <c r="L204" s="256"/>
      <c r="M204" s="256"/>
      <c r="N204" s="2865"/>
    </row>
    <row r="205" spans="1:14" s="285" customFormat="1" ht="13.5" thickBot="1">
      <c r="A205" s="255"/>
      <c r="B205" s="256"/>
      <c r="C205" s="256"/>
      <c r="D205" s="256"/>
      <c r="E205" s="256"/>
      <c r="F205" s="256"/>
      <c r="G205" s="256"/>
      <c r="H205" s="256"/>
      <c r="I205" s="256"/>
      <c r="J205" s="256"/>
      <c r="K205" s="256"/>
      <c r="L205" s="256"/>
      <c r="M205" s="256"/>
      <c r="N205" s="2865"/>
    </row>
    <row r="206" spans="1:14" s="285" customFormat="1" ht="13.5" thickBot="1">
      <c r="A206" s="255"/>
      <c r="B206" s="256"/>
      <c r="C206" s="256"/>
      <c r="D206" s="256"/>
      <c r="E206" s="256"/>
      <c r="F206" s="256"/>
      <c r="G206" s="256"/>
      <c r="H206" s="256"/>
      <c r="I206" s="256"/>
      <c r="J206" s="256"/>
      <c r="K206" s="256"/>
      <c r="L206" s="256"/>
      <c r="M206" s="256"/>
      <c r="N206" s="2865"/>
    </row>
    <row r="207" spans="1:14" s="285" customFormat="1" ht="13.5" thickBot="1">
      <c r="A207" s="255"/>
      <c r="B207" s="256"/>
      <c r="C207" s="256"/>
      <c r="D207" s="256"/>
      <c r="E207" s="256"/>
      <c r="F207" s="256"/>
      <c r="G207" s="256"/>
      <c r="H207" s="256"/>
      <c r="I207" s="256"/>
      <c r="J207" s="256"/>
      <c r="K207" s="256"/>
      <c r="L207" s="256"/>
      <c r="M207" s="256"/>
      <c r="N207" s="2865"/>
    </row>
    <row r="208" spans="1:14" s="285" customFormat="1" ht="32.25" customHeight="1" thickBot="1">
      <c r="A208" s="255"/>
      <c r="B208" s="256"/>
      <c r="C208" s="256"/>
      <c r="D208" s="256"/>
      <c r="E208" s="256"/>
      <c r="F208" s="256"/>
      <c r="G208" s="256"/>
      <c r="H208" s="256"/>
      <c r="I208" s="256"/>
      <c r="J208" s="256"/>
      <c r="K208" s="256"/>
      <c r="L208" s="256"/>
      <c r="M208" s="256"/>
      <c r="N208" s="2865"/>
    </row>
    <row r="209" spans="1:14" s="285" customFormat="1" ht="15" customHeight="1" thickBot="1">
      <c r="A209" s="255"/>
      <c r="B209" s="256"/>
      <c r="C209" s="256"/>
      <c r="D209" s="256"/>
      <c r="E209" s="256"/>
      <c r="F209" s="256"/>
      <c r="G209" s="256"/>
      <c r="H209" s="256"/>
      <c r="I209" s="256"/>
      <c r="J209" s="256"/>
      <c r="K209" s="256"/>
      <c r="L209" s="256"/>
      <c r="M209" s="256"/>
      <c r="N209" s="2865"/>
    </row>
    <row r="210" spans="1:14" s="285" customFormat="1" ht="12.75" customHeight="1">
      <c r="A210" s="255"/>
      <c r="B210" s="256"/>
      <c r="C210" s="256"/>
      <c r="D210" s="256"/>
      <c r="E210" s="256"/>
      <c r="F210" s="256"/>
      <c r="G210" s="256"/>
      <c r="H210" s="256"/>
      <c r="I210" s="256"/>
      <c r="J210" s="256"/>
      <c r="K210" s="256"/>
      <c r="L210" s="256"/>
      <c r="M210" s="256"/>
      <c r="N210" s="2867"/>
    </row>
    <row r="211" spans="1:14" s="285" customFormat="1">
      <c r="A211" s="255"/>
      <c r="B211" s="256"/>
      <c r="C211" s="256"/>
      <c r="D211" s="256"/>
      <c r="E211" s="256"/>
      <c r="F211" s="256"/>
      <c r="G211" s="256"/>
      <c r="H211" s="256"/>
      <c r="I211" s="256"/>
      <c r="J211" s="256"/>
      <c r="K211" s="256"/>
      <c r="L211" s="256"/>
      <c r="M211" s="256"/>
      <c r="N211" s="320"/>
    </row>
    <row r="212" spans="1:14" s="285" customFormat="1">
      <c r="A212" s="255"/>
      <c r="B212" s="256"/>
      <c r="C212" s="256"/>
      <c r="D212" s="256"/>
      <c r="E212" s="256"/>
      <c r="F212" s="256"/>
      <c r="G212" s="256"/>
      <c r="H212" s="256"/>
      <c r="I212" s="256"/>
      <c r="J212" s="256"/>
      <c r="K212" s="256"/>
      <c r="L212" s="256"/>
      <c r="M212" s="256"/>
      <c r="N212" s="320"/>
    </row>
    <row r="213" spans="1:14" s="285" customFormat="1">
      <c r="A213" s="255"/>
      <c r="B213" s="256"/>
      <c r="C213" s="256"/>
      <c r="D213" s="256"/>
      <c r="E213" s="256"/>
      <c r="F213" s="256"/>
      <c r="G213" s="256"/>
      <c r="H213" s="256"/>
      <c r="I213" s="256"/>
      <c r="J213" s="256"/>
      <c r="K213" s="256"/>
      <c r="L213" s="256"/>
      <c r="M213" s="256"/>
      <c r="N213" s="320"/>
    </row>
    <row r="214" spans="1:14" s="285" customFormat="1" ht="11.25" customHeight="1">
      <c r="A214" s="255"/>
      <c r="B214" s="256"/>
      <c r="C214" s="256"/>
      <c r="D214" s="256"/>
      <c r="E214" s="256"/>
      <c r="F214" s="256"/>
      <c r="G214" s="256"/>
      <c r="H214" s="256"/>
      <c r="I214" s="256"/>
      <c r="J214" s="256"/>
      <c r="K214" s="256"/>
      <c r="L214" s="256"/>
      <c r="M214" s="256"/>
      <c r="N214" s="320"/>
    </row>
    <row r="215" spans="1:14" s="285" customFormat="1" ht="12.75" customHeight="1">
      <c r="A215" s="255"/>
      <c r="B215" s="256"/>
      <c r="C215" s="256"/>
      <c r="D215" s="256"/>
      <c r="E215" s="256"/>
      <c r="F215" s="256"/>
      <c r="G215" s="256"/>
      <c r="H215" s="256"/>
      <c r="I215" s="256"/>
      <c r="J215" s="256"/>
      <c r="K215" s="256"/>
      <c r="L215" s="256"/>
      <c r="M215" s="256"/>
      <c r="N215" s="320"/>
    </row>
    <row r="216" spans="1:14" s="285" customFormat="1" ht="12.75" customHeight="1">
      <c r="A216" s="255"/>
      <c r="B216" s="256"/>
      <c r="C216" s="256"/>
      <c r="D216" s="256"/>
      <c r="E216" s="256"/>
      <c r="F216" s="256"/>
      <c r="G216" s="256"/>
      <c r="H216" s="256"/>
      <c r="I216" s="256"/>
      <c r="J216" s="256"/>
      <c r="K216" s="256"/>
      <c r="L216" s="256"/>
      <c r="M216" s="256"/>
      <c r="N216" s="320"/>
    </row>
    <row r="217" spans="1:14" s="285" customFormat="1">
      <c r="A217" s="255"/>
      <c r="B217" s="256"/>
      <c r="C217" s="256"/>
      <c r="D217" s="256"/>
      <c r="E217" s="256"/>
      <c r="F217" s="256"/>
      <c r="G217" s="256"/>
      <c r="H217" s="256"/>
      <c r="I217" s="256"/>
      <c r="J217" s="256"/>
      <c r="K217" s="256"/>
      <c r="L217" s="256"/>
      <c r="M217" s="256"/>
      <c r="N217" s="320"/>
    </row>
    <row r="218" spans="1:14" s="285" customFormat="1">
      <c r="A218" s="255"/>
      <c r="B218" s="256"/>
      <c r="C218" s="256"/>
      <c r="D218" s="256"/>
      <c r="E218" s="256"/>
      <c r="F218" s="256"/>
      <c r="G218" s="256"/>
      <c r="H218" s="256"/>
      <c r="I218" s="256"/>
      <c r="J218" s="256"/>
      <c r="K218" s="256"/>
      <c r="L218" s="256"/>
      <c r="M218" s="256"/>
      <c r="N218" s="320"/>
    </row>
    <row r="219" spans="1:14" s="285" customFormat="1">
      <c r="A219" s="255"/>
      <c r="B219" s="256"/>
      <c r="C219" s="256"/>
      <c r="D219" s="256"/>
      <c r="E219" s="256"/>
      <c r="F219" s="256"/>
      <c r="G219" s="256"/>
      <c r="H219" s="256"/>
      <c r="I219" s="256"/>
      <c r="J219" s="256"/>
      <c r="K219" s="256"/>
      <c r="L219" s="256"/>
      <c r="M219" s="256"/>
      <c r="N219" s="320"/>
    </row>
    <row r="220" spans="1:14" s="285" customFormat="1">
      <c r="A220" s="255"/>
      <c r="B220" s="256"/>
      <c r="C220" s="256"/>
      <c r="D220" s="256"/>
      <c r="E220" s="256"/>
      <c r="F220" s="256"/>
      <c r="G220" s="256"/>
      <c r="H220" s="256"/>
      <c r="I220" s="256"/>
      <c r="J220" s="256"/>
      <c r="K220" s="256"/>
      <c r="L220" s="256"/>
      <c r="M220" s="256"/>
      <c r="N220" s="320"/>
    </row>
    <row r="221" spans="1:14" s="1104" customFormat="1" ht="24.75" customHeight="1">
      <c r="A221" s="255"/>
      <c r="B221" s="256"/>
      <c r="C221" s="256"/>
      <c r="D221" s="256"/>
      <c r="E221" s="256"/>
      <c r="F221" s="256"/>
      <c r="G221" s="256"/>
      <c r="H221" s="256"/>
      <c r="I221" s="256"/>
      <c r="J221" s="256"/>
      <c r="K221" s="256"/>
      <c r="L221" s="256"/>
      <c r="M221" s="256"/>
      <c r="N221" s="320"/>
    </row>
    <row r="222" spans="1:14" s="285" customFormat="1" ht="12.75" customHeight="1">
      <c r="A222" s="255"/>
      <c r="B222" s="256"/>
      <c r="C222" s="256"/>
      <c r="D222" s="256"/>
      <c r="E222" s="256"/>
      <c r="F222" s="256"/>
      <c r="G222" s="256"/>
      <c r="H222" s="256"/>
      <c r="I222" s="256"/>
      <c r="J222" s="256"/>
      <c r="K222" s="256"/>
      <c r="L222" s="256"/>
      <c r="M222" s="256"/>
      <c r="N222" s="320"/>
    </row>
    <row r="223" spans="1:14" s="285" customFormat="1" ht="12.75" customHeight="1">
      <c r="A223" s="255"/>
      <c r="B223" s="256"/>
      <c r="C223" s="256"/>
      <c r="D223" s="256"/>
      <c r="E223" s="256"/>
      <c r="F223" s="256"/>
      <c r="G223" s="256"/>
      <c r="H223" s="256"/>
      <c r="I223" s="256"/>
      <c r="J223" s="256"/>
      <c r="K223" s="256"/>
      <c r="L223" s="256"/>
      <c r="M223" s="256"/>
      <c r="N223" s="320"/>
    </row>
    <row r="224" spans="1:14" s="285" customFormat="1">
      <c r="A224" s="255"/>
      <c r="B224" s="256"/>
      <c r="C224" s="256"/>
      <c r="D224" s="256"/>
      <c r="E224" s="256"/>
      <c r="F224" s="256"/>
      <c r="G224" s="256"/>
      <c r="H224" s="256"/>
      <c r="I224" s="256"/>
      <c r="J224" s="256"/>
      <c r="K224" s="256"/>
      <c r="L224" s="256"/>
      <c r="M224" s="256"/>
      <c r="N224" s="320"/>
    </row>
    <row r="225" spans="1:14" s="285" customFormat="1">
      <c r="A225" s="255"/>
      <c r="B225" s="256"/>
      <c r="C225" s="256"/>
      <c r="D225" s="256"/>
      <c r="E225" s="256"/>
      <c r="F225" s="256"/>
      <c r="G225" s="256"/>
      <c r="H225" s="256"/>
      <c r="I225" s="256"/>
      <c r="J225" s="256"/>
      <c r="K225" s="256"/>
      <c r="L225" s="256"/>
      <c r="M225" s="256"/>
      <c r="N225" s="320"/>
    </row>
    <row r="226" spans="1:14" s="285" customFormat="1">
      <c r="A226" s="255"/>
      <c r="B226" s="256"/>
      <c r="C226" s="256"/>
      <c r="D226" s="256"/>
      <c r="E226" s="256"/>
      <c r="F226" s="256"/>
      <c r="G226" s="256"/>
      <c r="H226" s="256"/>
      <c r="I226" s="256"/>
      <c r="J226" s="256"/>
      <c r="K226" s="256"/>
      <c r="L226" s="256"/>
      <c r="M226" s="256"/>
      <c r="N226" s="320"/>
    </row>
    <row r="227" spans="1:14" s="1104" customFormat="1" ht="23.25" customHeight="1">
      <c r="A227" s="255"/>
      <c r="B227" s="256"/>
      <c r="C227" s="256"/>
      <c r="D227" s="256"/>
      <c r="E227" s="256"/>
      <c r="F227" s="256"/>
      <c r="G227" s="256"/>
      <c r="H227" s="256"/>
      <c r="I227" s="256"/>
      <c r="J227" s="256"/>
      <c r="K227" s="256"/>
      <c r="L227" s="256"/>
      <c r="M227" s="256"/>
      <c r="N227" s="320"/>
    </row>
    <row r="228" spans="1:14" s="285" customFormat="1" ht="15" customHeight="1">
      <c r="A228" s="255"/>
      <c r="B228" s="256"/>
      <c r="C228" s="256"/>
      <c r="D228" s="256"/>
      <c r="E228" s="256"/>
      <c r="F228" s="256"/>
      <c r="G228" s="256"/>
      <c r="H228" s="256"/>
      <c r="I228" s="256"/>
      <c r="J228" s="256"/>
      <c r="K228" s="256"/>
      <c r="L228" s="256"/>
      <c r="M228" s="256"/>
      <c r="N228" s="320"/>
    </row>
    <row r="229" spans="1:14" s="285" customFormat="1" ht="12.75" customHeight="1">
      <c r="A229" s="255"/>
      <c r="B229" s="256"/>
      <c r="C229" s="256"/>
      <c r="D229" s="256"/>
      <c r="E229" s="256"/>
      <c r="F229" s="256"/>
      <c r="G229" s="256"/>
      <c r="H229" s="256"/>
      <c r="I229" s="256"/>
      <c r="J229" s="256"/>
      <c r="K229" s="256"/>
      <c r="L229" s="256"/>
      <c r="M229" s="256"/>
      <c r="N229" s="320"/>
    </row>
    <row r="230" spans="1:14" s="285" customFormat="1">
      <c r="A230" s="255"/>
      <c r="B230" s="256"/>
      <c r="C230" s="256"/>
      <c r="D230" s="256"/>
      <c r="E230" s="256"/>
      <c r="F230" s="256"/>
      <c r="G230" s="256"/>
      <c r="H230" s="256"/>
      <c r="I230" s="256"/>
      <c r="J230" s="256"/>
      <c r="K230" s="256"/>
      <c r="L230" s="256"/>
      <c r="M230" s="256"/>
      <c r="N230" s="320"/>
    </row>
    <row r="231" spans="1:14" s="285" customFormat="1">
      <c r="A231" s="255"/>
      <c r="B231" s="256"/>
      <c r="C231" s="256"/>
      <c r="D231" s="256"/>
      <c r="E231" s="256"/>
      <c r="F231" s="256"/>
      <c r="G231" s="256"/>
      <c r="H231" s="256"/>
      <c r="I231" s="256"/>
      <c r="J231" s="256"/>
      <c r="K231" s="256"/>
      <c r="L231" s="256"/>
      <c r="M231" s="256"/>
      <c r="N231" s="320"/>
    </row>
    <row r="232" spans="1:14" s="1104" customFormat="1" ht="12.75" customHeight="1">
      <c r="A232" s="255"/>
      <c r="B232" s="256"/>
      <c r="C232" s="256"/>
      <c r="D232" s="256"/>
      <c r="E232" s="256"/>
      <c r="F232" s="256"/>
      <c r="G232" s="256"/>
      <c r="H232" s="256"/>
      <c r="I232" s="256"/>
      <c r="J232" s="256"/>
      <c r="K232" s="256"/>
      <c r="L232" s="256"/>
      <c r="M232" s="256"/>
      <c r="N232" s="320"/>
    </row>
    <row r="233" spans="1:14" s="285" customFormat="1" ht="9.75" customHeight="1">
      <c r="A233" s="255"/>
      <c r="B233" s="256"/>
      <c r="C233" s="256"/>
      <c r="D233" s="256"/>
      <c r="E233" s="256"/>
      <c r="F233" s="256"/>
      <c r="G233" s="256"/>
      <c r="H233" s="256"/>
      <c r="I233" s="256"/>
      <c r="J233" s="256"/>
      <c r="K233" s="256"/>
      <c r="L233" s="256"/>
      <c r="M233" s="256"/>
      <c r="N233" s="320"/>
    </row>
    <row r="234" spans="1:14" s="285" customFormat="1" ht="12.75" customHeight="1">
      <c r="A234" s="255"/>
      <c r="B234" s="256"/>
      <c r="C234" s="256"/>
      <c r="D234" s="256"/>
      <c r="E234" s="256"/>
      <c r="F234" s="256"/>
      <c r="G234" s="256"/>
      <c r="H234" s="256"/>
      <c r="I234" s="256"/>
      <c r="J234" s="256"/>
      <c r="K234" s="256"/>
      <c r="L234" s="256"/>
      <c r="M234" s="256"/>
      <c r="N234" s="320"/>
    </row>
    <row r="235" spans="1:14" s="285" customFormat="1">
      <c r="A235" s="255"/>
      <c r="B235" s="256"/>
      <c r="C235" s="256"/>
      <c r="D235" s="256"/>
      <c r="E235" s="256"/>
      <c r="F235" s="256"/>
      <c r="G235" s="256"/>
      <c r="H235" s="256"/>
      <c r="I235" s="256"/>
      <c r="J235" s="256"/>
      <c r="K235" s="256"/>
      <c r="L235" s="256"/>
      <c r="M235" s="256"/>
      <c r="N235" s="320"/>
    </row>
    <row r="236" spans="1:14" s="285" customFormat="1">
      <c r="A236" s="255"/>
      <c r="B236" s="256"/>
      <c r="C236" s="256"/>
      <c r="D236" s="256"/>
      <c r="E236" s="256"/>
      <c r="F236" s="256"/>
      <c r="G236" s="256"/>
      <c r="H236" s="256"/>
      <c r="I236" s="256"/>
      <c r="J236" s="256"/>
      <c r="K236" s="256"/>
      <c r="L236" s="256"/>
      <c r="M236" s="256"/>
      <c r="N236" s="320"/>
    </row>
    <row r="237" spans="1:14" s="1106" customFormat="1" ht="24" customHeight="1">
      <c r="A237" s="255"/>
      <c r="B237" s="256"/>
      <c r="C237" s="256"/>
      <c r="D237" s="256"/>
      <c r="E237" s="256"/>
      <c r="F237" s="256"/>
      <c r="G237" s="256"/>
      <c r="H237" s="256"/>
      <c r="I237" s="256"/>
      <c r="J237" s="256"/>
      <c r="K237" s="256"/>
      <c r="L237" s="256"/>
      <c r="M237" s="256"/>
      <c r="N237" s="320"/>
    </row>
    <row r="238" spans="1:14" s="285" customFormat="1" ht="11.25" customHeight="1">
      <c r="A238" s="255"/>
      <c r="B238" s="256"/>
      <c r="C238" s="256"/>
      <c r="D238" s="256"/>
      <c r="E238" s="256"/>
      <c r="F238" s="256"/>
      <c r="G238" s="256"/>
      <c r="H238" s="256"/>
      <c r="I238" s="256"/>
      <c r="J238" s="256"/>
      <c r="K238" s="256"/>
      <c r="L238" s="256"/>
      <c r="M238" s="256"/>
      <c r="N238" s="320"/>
    </row>
    <row r="239" spans="1:14" s="285" customFormat="1" ht="12.75" customHeight="1">
      <c r="A239" s="255"/>
      <c r="B239" s="256"/>
      <c r="C239" s="256"/>
      <c r="D239" s="256"/>
      <c r="E239" s="256"/>
      <c r="F239" s="256"/>
      <c r="G239" s="256"/>
      <c r="H239" s="256"/>
      <c r="I239" s="256"/>
      <c r="J239" s="256"/>
      <c r="K239" s="256"/>
      <c r="L239" s="256"/>
      <c r="M239" s="256"/>
      <c r="N239" s="320"/>
    </row>
    <row r="240" spans="1:14" s="285" customFormat="1">
      <c r="A240" s="255"/>
      <c r="B240" s="256"/>
      <c r="C240" s="256"/>
      <c r="D240" s="256"/>
      <c r="E240" s="256"/>
      <c r="F240" s="256"/>
      <c r="G240" s="256"/>
      <c r="H240" s="256"/>
      <c r="I240" s="256"/>
      <c r="J240" s="256"/>
      <c r="K240" s="256"/>
      <c r="L240" s="256"/>
      <c r="M240" s="256"/>
      <c r="N240" s="320"/>
    </row>
    <row r="241" spans="1:14" s="285" customFormat="1">
      <c r="A241" s="255"/>
      <c r="B241" s="256"/>
      <c r="C241" s="256"/>
      <c r="D241" s="256"/>
      <c r="E241" s="256"/>
      <c r="F241" s="256"/>
      <c r="G241" s="256"/>
      <c r="H241" s="256"/>
      <c r="I241" s="256"/>
      <c r="J241" s="256"/>
      <c r="K241" s="256"/>
      <c r="L241" s="256"/>
      <c r="M241" s="256"/>
      <c r="N241" s="320"/>
    </row>
    <row r="242" spans="1:14" s="285" customFormat="1">
      <c r="A242" s="255"/>
      <c r="B242" s="256"/>
      <c r="C242" s="256"/>
      <c r="D242" s="256"/>
      <c r="E242" s="256"/>
      <c r="F242" s="256"/>
      <c r="G242" s="256"/>
      <c r="H242" s="256"/>
      <c r="I242" s="256"/>
      <c r="J242" s="256"/>
      <c r="K242" s="256"/>
      <c r="L242" s="256"/>
      <c r="M242" s="256"/>
      <c r="N242" s="320"/>
    </row>
    <row r="243" spans="1:14" s="285" customFormat="1">
      <c r="A243" s="255"/>
      <c r="B243" s="256"/>
      <c r="C243" s="256"/>
      <c r="D243" s="256"/>
      <c r="E243" s="256"/>
      <c r="F243" s="256"/>
      <c r="G243" s="256"/>
      <c r="H243" s="256"/>
      <c r="I243" s="256"/>
      <c r="J243" s="256"/>
      <c r="K243" s="256"/>
      <c r="L243" s="256"/>
      <c r="M243" s="256"/>
      <c r="N243" s="320"/>
    </row>
    <row r="244" spans="1:14" s="285" customFormat="1" ht="12" customHeight="1" thickBot="1">
      <c r="A244" s="255"/>
      <c r="B244" s="256"/>
      <c r="C244" s="256"/>
      <c r="D244" s="256"/>
      <c r="E244" s="256"/>
      <c r="F244" s="256"/>
      <c r="G244" s="256"/>
      <c r="H244" s="256"/>
      <c r="I244" s="256"/>
      <c r="J244" s="256"/>
      <c r="K244" s="256"/>
      <c r="L244" s="256"/>
      <c r="M244" s="256"/>
      <c r="N244" s="2863"/>
    </row>
    <row r="245" spans="1:14" s="285" customFormat="1" ht="10.5" customHeight="1" thickBot="1">
      <c r="A245" s="255"/>
      <c r="B245" s="256"/>
      <c r="C245" s="256"/>
      <c r="D245" s="256"/>
      <c r="E245" s="256"/>
      <c r="F245" s="256"/>
      <c r="G245" s="256"/>
      <c r="H245" s="256"/>
      <c r="I245" s="256"/>
      <c r="J245" s="256"/>
      <c r="K245" s="256"/>
      <c r="L245" s="256"/>
      <c r="M245" s="256"/>
      <c r="N245" s="2865"/>
    </row>
    <row r="246" spans="1:14" s="285" customFormat="1" ht="13.5" thickBot="1">
      <c r="A246" s="255"/>
      <c r="B246" s="256"/>
      <c r="C246" s="256"/>
      <c r="D246" s="256"/>
      <c r="E246" s="256"/>
      <c r="F246" s="256"/>
      <c r="G246" s="256"/>
      <c r="H246" s="256"/>
      <c r="I246" s="256"/>
      <c r="J246" s="256"/>
      <c r="K246" s="256"/>
      <c r="L246" s="256"/>
      <c r="M246" s="256"/>
      <c r="N246" s="2865"/>
    </row>
    <row r="247" spans="1:14" s="285" customFormat="1" ht="13.5" thickBot="1">
      <c r="A247" s="255"/>
      <c r="B247" s="256"/>
      <c r="C247" s="256"/>
      <c r="D247" s="256"/>
      <c r="E247" s="256"/>
      <c r="F247" s="256"/>
      <c r="G247" s="256"/>
      <c r="H247" s="256"/>
      <c r="I247" s="256"/>
      <c r="J247" s="256"/>
      <c r="K247" s="256"/>
      <c r="L247" s="256"/>
      <c r="M247" s="256"/>
      <c r="N247" s="2865"/>
    </row>
    <row r="248" spans="1:14" s="285" customFormat="1" ht="13.5" thickBot="1">
      <c r="A248" s="255"/>
      <c r="B248" s="256"/>
      <c r="C248" s="256"/>
      <c r="D248" s="256"/>
      <c r="E248" s="256"/>
      <c r="F248" s="256"/>
      <c r="G248" s="256"/>
      <c r="H248" s="256"/>
      <c r="I248" s="256"/>
      <c r="J248" s="256"/>
      <c r="K248" s="256"/>
      <c r="L248" s="256"/>
      <c r="M248" s="256"/>
      <c r="N248" s="2865"/>
    </row>
    <row r="249" spans="1:14" s="285" customFormat="1" ht="13.5" thickBot="1">
      <c r="A249" s="255"/>
      <c r="B249" s="256"/>
      <c r="C249" s="256"/>
      <c r="D249" s="256"/>
      <c r="E249" s="256"/>
      <c r="F249" s="256"/>
      <c r="G249" s="256"/>
      <c r="H249" s="256"/>
      <c r="I249" s="256"/>
      <c r="J249" s="256"/>
      <c r="K249" s="256"/>
      <c r="L249" s="256"/>
      <c r="M249" s="256"/>
      <c r="N249" s="2865"/>
    </row>
    <row r="250" spans="1:14" s="285" customFormat="1" ht="13.5" thickBot="1">
      <c r="A250" s="255"/>
      <c r="B250" s="256"/>
      <c r="C250" s="256"/>
      <c r="D250" s="256"/>
      <c r="E250" s="256"/>
      <c r="F250" s="256"/>
      <c r="G250" s="256"/>
      <c r="H250" s="256"/>
      <c r="I250" s="256"/>
      <c r="J250" s="256"/>
      <c r="K250" s="256"/>
      <c r="L250" s="256"/>
      <c r="M250" s="256"/>
      <c r="N250" s="2865"/>
    </row>
    <row r="251" spans="1:14" s="285" customFormat="1" ht="32.25" customHeight="1" thickBot="1">
      <c r="A251" s="255"/>
      <c r="B251" s="256"/>
      <c r="C251" s="256"/>
      <c r="D251" s="256"/>
      <c r="E251" s="256"/>
      <c r="F251" s="256"/>
      <c r="G251" s="256"/>
      <c r="H251" s="256"/>
      <c r="I251" s="256"/>
      <c r="J251" s="256"/>
      <c r="K251" s="256"/>
      <c r="L251" s="256"/>
      <c r="M251" s="256"/>
      <c r="N251" s="2865"/>
    </row>
    <row r="252" spans="1:14" s="285" customFormat="1" ht="15" customHeight="1" thickBot="1">
      <c r="A252" s="255"/>
      <c r="B252" s="256"/>
      <c r="C252" s="256"/>
      <c r="D252" s="256"/>
      <c r="E252" s="256"/>
      <c r="F252" s="256"/>
      <c r="G252" s="256"/>
      <c r="H252" s="256"/>
      <c r="I252" s="256"/>
      <c r="J252" s="256"/>
      <c r="K252" s="256"/>
      <c r="L252" s="256"/>
      <c r="M252" s="256"/>
      <c r="N252" s="2865"/>
    </row>
    <row r="253" spans="1:14" s="285" customFormat="1" ht="12.75" customHeight="1" thickBot="1">
      <c r="A253" s="255"/>
      <c r="B253" s="256"/>
      <c r="C253" s="256"/>
      <c r="D253" s="256"/>
      <c r="E253" s="256"/>
      <c r="F253" s="256"/>
      <c r="G253" s="256"/>
      <c r="H253" s="256"/>
      <c r="I253" s="256"/>
      <c r="J253" s="256"/>
      <c r="K253" s="256"/>
      <c r="L253" s="256"/>
      <c r="M253" s="256"/>
      <c r="N253" s="2865"/>
    </row>
    <row r="254" spans="1:14" s="285" customFormat="1" ht="13.5" thickBot="1">
      <c r="A254" s="255"/>
      <c r="B254" s="256"/>
      <c r="C254" s="256"/>
      <c r="D254" s="256"/>
      <c r="E254" s="256"/>
      <c r="F254" s="256"/>
      <c r="G254" s="256"/>
      <c r="H254" s="256"/>
      <c r="I254" s="256"/>
      <c r="J254" s="256"/>
      <c r="K254" s="256"/>
      <c r="L254" s="256"/>
      <c r="M254" s="256"/>
      <c r="N254" s="2865"/>
    </row>
    <row r="255" spans="1:14" s="285" customFormat="1" ht="13.5" thickBot="1">
      <c r="A255" s="255"/>
      <c r="B255" s="256"/>
      <c r="C255" s="256"/>
      <c r="D255" s="256"/>
      <c r="E255" s="256"/>
      <c r="F255" s="256"/>
      <c r="G255" s="256"/>
      <c r="H255" s="256"/>
      <c r="I255" s="256"/>
      <c r="J255" s="256"/>
      <c r="K255" s="256"/>
      <c r="L255" s="256"/>
      <c r="M255" s="256"/>
      <c r="N255" s="4146"/>
    </row>
    <row r="256" spans="1:14" s="285" customFormat="1" ht="13.5" thickBot="1">
      <c r="A256" s="255"/>
      <c r="B256" s="256"/>
      <c r="C256" s="256"/>
      <c r="D256" s="256"/>
      <c r="E256" s="256"/>
      <c r="F256" s="256"/>
      <c r="G256" s="256"/>
      <c r="H256" s="256"/>
      <c r="I256" s="256"/>
      <c r="J256" s="256"/>
      <c r="K256" s="256"/>
      <c r="L256" s="256"/>
      <c r="M256" s="256"/>
      <c r="N256" s="4146"/>
    </row>
    <row r="257" spans="1:14" s="285" customFormat="1" ht="21.75" customHeight="1" thickBot="1">
      <c r="A257" s="255"/>
      <c r="B257" s="256"/>
      <c r="C257" s="256"/>
      <c r="D257" s="256"/>
      <c r="E257" s="256"/>
      <c r="F257" s="256"/>
      <c r="G257" s="256"/>
      <c r="H257" s="256"/>
      <c r="I257" s="256"/>
      <c r="J257" s="256"/>
      <c r="K257" s="256"/>
      <c r="L257" s="256"/>
      <c r="M257" s="256"/>
      <c r="N257" s="4146"/>
    </row>
    <row r="258" spans="1:14" s="285" customFormat="1" ht="12.75" customHeight="1">
      <c r="A258" s="255"/>
      <c r="B258" s="256"/>
      <c r="C258" s="256"/>
      <c r="D258" s="256"/>
      <c r="E258" s="256"/>
      <c r="F258" s="256"/>
      <c r="G258" s="256"/>
      <c r="H258" s="256"/>
      <c r="I258" s="256"/>
      <c r="J258" s="256"/>
      <c r="K258" s="256"/>
      <c r="L258" s="256"/>
      <c r="M258" s="256"/>
      <c r="N258" s="4147"/>
    </row>
    <row r="259" spans="1:14" s="285" customFormat="1" ht="12.75" customHeight="1">
      <c r="A259" s="255"/>
      <c r="B259" s="256"/>
      <c r="C259" s="256"/>
      <c r="D259" s="256"/>
      <c r="E259" s="256"/>
      <c r="F259" s="256"/>
      <c r="G259" s="256"/>
      <c r="H259" s="256"/>
      <c r="I259" s="256"/>
      <c r="J259" s="256"/>
      <c r="K259" s="256"/>
      <c r="L259" s="256"/>
      <c r="M259" s="256"/>
      <c r="N259" s="4148"/>
    </row>
    <row r="260" spans="1:14" s="285" customFormat="1">
      <c r="A260" s="255"/>
      <c r="B260" s="256"/>
      <c r="C260" s="256"/>
      <c r="D260" s="256"/>
      <c r="E260" s="256"/>
      <c r="F260" s="256"/>
      <c r="G260" s="256"/>
      <c r="H260" s="256"/>
      <c r="I260" s="256"/>
      <c r="J260" s="256"/>
      <c r="K260" s="256"/>
      <c r="L260" s="256"/>
      <c r="M260" s="256"/>
      <c r="N260" s="4148"/>
    </row>
    <row r="261" spans="1:14" s="285" customFormat="1">
      <c r="A261" s="255"/>
      <c r="B261" s="256"/>
      <c r="C261" s="256"/>
      <c r="D261" s="256"/>
      <c r="E261" s="256"/>
      <c r="F261" s="256"/>
      <c r="G261" s="256"/>
      <c r="H261" s="256"/>
      <c r="I261" s="256"/>
      <c r="J261" s="256"/>
      <c r="K261" s="256"/>
      <c r="L261" s="256"/>
      <c r="M261" s="256"/>
      <c r="N261" s="4148"/>
    </row>
    <row r="262" spans="1:14" s="285" customFormat="1">
      <c r="A262" s="255"/>
      <c r="B262" s="256"/>
      <c r="C262" s="256"/>
      <c r="D262" s="256"/>
      <c r="E262" s="256"/>
      <c r="F262" s="256"/>
      <c r="G262" s="256"/>
      <c r="H262" s="256"/>
      <c r="I262" s="256"/>
      <c r="J262" s="256"/>
      <c r="K262" s="256"/>
      <c r="L262" s="256"/>
      <c r="M262" s="256"/>
      <c r="N262" s="4148"/>
    </row>
    <row r="263" spans="1:14" s="285" customFormat="1">
      <c r="A263" s="255"/>
      <c r="B263" s="256"/>
      <c r="C263" s="256"/>
      <c r="D263" s="256"/>
      <c r="E263" s="256"/>
      <c r="F263" s="256"/>
      <c r="G263" s="256"/>
      <c r="H263" s="256"/>
      <c r="I263" s="256"/>
      <c r="J263" s="256"/>
      <c r="K263" s="256"/>
      <c r="L263" s="256"/>
      <c r="M263" s="256"/>
      <c r="N263" s="4148"/>
    </row>
    <row r="264" spans="1:14" s="1106" customFormat="1" ht="35.25" customHeight="1">
      <c r="A264" s="255"/>
      <c r="B264" s="256"/>
      <c r="C264" s="256"/>
      <c r="D264" s="256"/>
      <c r="E264" s="256"/>
      <c r="F264" s="256"/>
      <c r="G264" s="256"/>
      <c r="H264" s="256"/>
      <c r="I264" s="256"/>
      <c r="J264" s="256"/>
      <c r="K264" s="256"/>
      <c r="L264" s="256"/>
      <c r="M264" s="256"/>
      <c r="N264" s="4148"/>
    </row>
    <row r="265" spans="1:14" s="285" customFormat="1" ht="11.25" customHeight="1">
      <c r="A265" s="255"/>
      <c r="B265" s="256"/>
      <c r="C265" s="256"/>
      <c r="D265" s="256"/>
      <c r="E265" s="256"/>
      <c r="F265" s="256"/>
      <c r="G265" s="256"/>
      <c r="H265" s="256"/>
      <c r="I265" s="256"/>
      <c r="J265" s="256"/>
      <c r="K265" s="256"/>
      <c r="L265" s="256"/>
      <c r="M265" s="256"/>
      <c r="N265" s="4148"/>
    </row>
    <row r="266" spans="1:14" s="285" customFormat="1" ht="12.75" customHeight="1">
      <c r="A266" s="255"/>
      <c r="B266" s="256"/>
      <c r="C266" s="256"/>
      <c r="D266" s="256"/>
      <c r="E266" s="256"/>
      <c r="F266" s="256"/>
      <c r="G266" s="256"/>
      <c r="H266" s="256"/>
      <c r="I266" s="256"/>
      <c r="J266" s="256"/>
      <c r="K266" s="256"/>
      <c r="L266" s="256"/>
      <c r="M266" s="256"/>
      <c r="N266" s="4148"/>
    </row>
    <row r="267" spans="1:14" s="1106" customFormat="1" ht="14.25" customHeight="1">
      <c r="A267" s="255"/>
      <c r="B267" s="256"/>
      <c r="C267" s="256"/>
      <c r="D267" s="256"/>
      <c r="E267" s="256"/>
      <c r="F267" s="256"/>
      <c r="G267" s="256"/>
      <c r="H267" s="256"/>
      <c r="I267" s="256"/>
      <c r="J267" s="256"/>
      <c r="K267" s="256"/>
      <c r="L267" s="256"/>
      <c r="M267" s="256"/>
      <c r="N267" s="4148"/>
    </row>
    <row r="268" spans="1:14" s="285" customFormat="1" ht="11.25" customHeight="1">
      <c r="A268" s="255"/>
      <c r="B268" s="256"/>
      <c r="C268" s="256"/>
      <c r="D268" s="256"/>
      <c r="E268" s="256"/>
      <c r="F268" s="256"/>
      <c r="G268" s="256"/>
      <c r="H268" s="256"/>
      <c r="I268" s="256"/>
      <c r="J268" s="256"/>
      <c r="K268" s="256"/>
      <c r="L268" s="256"/>
      <c r="M268" s="256"/>
      <c r="N268" s="4148"/>
    </row>
    <row r="269" spans="1:14" s="285" customFormat="1" ht="12.75" customHeight="1">
      <c r="A269" s="255"/>
      <c r="B269" s="256"/>
      <c r="C269" s="256"/>
      <c r="D269" s="256"/>
      <c r="E269" s="256"/>
      <c r="F269" s="256"/>
      <c r="G269" s="256"/>
      <c r="H269" s="256"/>
      <c r="I269" s="256"/>
      <c r="J269" s="256"/>
      <c r="K269" s="256"/>
      <c r="L269" s="256"/>
      <c r="M269" s="256"/>
      <c r="N269" s="4148"/>
    </row>
    <row r="270" spans="1:14" s="1106" customFormat="1" ht="23.25" customHeight="1">
      <c r="A270" s="255"/>
      <c r="B270" s="256"/>
      <c r="C270" s="256"/>
      <c r="D270" s="256"/>
      <c r="E270" s="256"/>
      <c r="F270" s="256"/>
      <c r="G270" s="256"/>
      <c r="H270" s="256"/>
      <c r="I270" s="256"/>
      <c r="J270" s="256"/>
      <c r="K270" s="256"/>
      <c r="L270" s="256"/>
      <c r="M270" s="256"/>
      <c r="N270" s="4148"/>
    </row>
    <row r="271" spans="1:14" s="285" customFormat="1" ht="11.25" customHeight="1">
      <c r="A271" s="255"/>
      <c r="B271" s="256"/>
      <c r="C271" s="256"/>
      <c r="D271" s="256"/>
      <c r="E271" s="256"/>
      <c r="F271" s="256"/>
      <c r="G271" s="256"/>
      <c r="H271" s="256"/>
      <c r="I271" s="256"/>
      <c r="J271" s="256"/>
      <c r="K271" s="256"/>
      <c r="L271" s="256"/>
      <c r="M271" s="256"/>
      <c r="N271" s="4148"/>
    </row>
    <row r="272" spans="1:14" s="285" customFormat="1">
      <c r="A272" s="255"/>
      <c r="B272" s="256"/>
      <c r="C272" s="256"/>
      <c r="D272" s="256"/>
      <c r="E272" s="256"/>
      <c r="F272" s="256"/>
      <c r="G272" s="256"/>
      <c r="H272" s="256"/>
      <c r="I272" s="256"/>
      <c r="J272" s="256"/>
      <c r="K272" s="256"/>
      <c r="L272" s="256"/>
      <c r="M272" s="256"/>
      <c r="N272" s="4148"/>
    </row>
    <row r="273" spans="1:14" s="285" customFormat="1">
      <c r="A273" s="255"/>
      <c r="B273" s="256"/>
      <c r="C273" s="256"/>
      <c r="D273" s="256"/>
      <c r="E273" s="256"/>
      <c r="F273" s="256"/>
      <c r="G273" s="256"/>
      <c r="H273" s="256"/>
      <c r="I273" s="256"/>
      <c r="J273" s="256"/>
      <c r="K273" s="256"/>
      <c r="L273" s="256"/>
      <c r="M273" s="256"/>
      <c r="N273" s="4148"/>
    </row>
    <row r="274" spans="1:14" s="1106" customFormat="1" ht="23.25" customHeight="1">
      <c r="A274" s="255"/>
      <c r="B274" s="256"/>
      <c r="C274" s="256"/>
      <c r="D274" s="256"/>
      <c r="E274" s="256"/>
      <c r="F274" s="256"/>
      <c r="G274" s="256"/>
      <c r="H274" s="256"/>
      <c r="I274" s="256"/>
      <c r="J274" s="256"/>
      <c r="K274" s="256"/>
      <c r="L274" s="256"/>
      <c r="M274" s="256"/>
      <c r="N274" s="4148"/>
    </row>
    <row r="275" spans="1:14" s="285" customFormat="1" ht="11.25" customHeight="1">
      <c r="A275" s="255"/>
      <c r="B275" s="256"/>
      <c r="C275" s="256"/>
      <c r="D275" s="256"/>
      <c r="E275" s="256"/>
      <c r="F275" s="256"/>
      <c r="G275" s="256"/>
      <c r="H275" s="256"/>
      <c r="I275" s="256"/>
      <c r="J275" s="256"/>
      <c r="K275" s="256"/>
      <c r="L275" s="256"/>
      <c r="M275" s="256"/>
      <c r="N275" s="4148"/>
    </row>
    <row r="276" spans="1:14" s="285" customFormat="1">
      <c r="A276" s="255"/>
      <c r="B276" s="256"/>
      <c r="C276" s="256"/>
      <c r="D276" s="256"/>
      <c r="E276" s="256"/>
      <c r="F276" s="256"/>
      <c r="G276" s="256"/>
      <c r="H276" s="256"/>
      <c r="I276" s="256"/>
      <c r="J276" s="256"/>
      <c r="K276" s="256"/>
      <c r="L276" s="256"/>
      <c r="M276" s="256"/>
      <c r="N276" s="4148"/>
    </row>
    <row r="277" spans="1:14">
      <c r="N277" s="4148"/>
    </row>
    <row r="278" spans="1:14">
      <c r="N278" s="4148"/>
    </row>
    <row r="279" spans="1:14">
      <c r="N279" s="4148"/>
    </row>
    <row r="280" spans="1:14">
      <c r="N280" s="4148"/>
    </row>
    <row r="281" spans="1:14">
      <c r="N281" s="4148"/>
    </row>
    <row r="282" spans="1:14">
      <c r="N282" s="4148"/>
    </row>
    <row r="283" spans="1:14">
      <c r="N283" s="4148"/>
    </row>
    <row r="397" spans="1:1" ht="13.5" thickBot="1">
      <c r="A397" s="1732"/>
    </row>
    <row r="398" spans="1:1" ht="13.5" thickBot="1">
      <c r="A398" s="2019"/>
    </row>
    <row r="399" spans="1:1" ht="13.5" thickBot="1">
      <c r="A399" s="2019"/>
    </row>
    <row r="400" spans="1:1" ht="13.5" thickBot="1">
      <c r="A400" s="2019"/>
    </row>
    <row r="401" spans="1:14" ht="13.5" thickBot="1">
      <c r="A401" s="2019"/>
    </row>
    <row r="402" spans="1:14" ht="13.5" thickBot="1">
      <c r="A402" s="2019"/>
    </row>
    <row r="403" spans="1:14" ht="13.5" thickBot="1">
      <c r="A403" s="2019"/>
      <c r="M403" s="2862"/>
      <c r="N403" s="2863"/>
    </row>
    <row r="404" spans="1:14" ht="13.5" thickBot="1">
      <c r="A404" s="2019"/>
      <c r="C404" s="2862"/>
      <c r="M404" s="2864"/>
      <c r="N404" s="2865"/>
    </row>
    <row r="405" spans="1:14" ht="13.5" thickBot="1">
      <c r="A405" s="2019"/>
      <c r="C405" s="2864"/>
      <c r="D405" s="2862"/>
      <c r="E405" s="2862"/>
      <c r="F405" s="2862"/>
      <c r="G405" s="2862"/>
      <c r="H405" s="2862"/>
      <c r="I405" s="2862"/>
      <c r="J405" s="2862"/>
      <c r="K405" s="2862"/>
      <c r="L405" s="2862"/>
      <c r="M405" s="2864"/>
      <c r="N405" s="2865"/>
    </row>
    <row r="406" spans="1:14" ht="13.5" thickBot="1">
      <c r="A406" s="2019"/>
      <c r="C406" s="2866"/>
      <c r="D406" s="2866"/>
      <c r="E406" s="2866"/>
      <c r="F406" s="2866"/>
      <c r="G406" s="2866"/>
      <c r="H406" s="2866"/>
      <c r="I406" s="2866"/>
      <c r="J406" s="2866"/>
      <c r="K406" s="2866"/>
      <c r="L406" s="2866"/>
      <c r="M406" s="2866"/>
      <c r="N406" s="2865"/>
    </row>
    <row r="407" spans="1:14" ht="13.5" thickBot="1">
      <c r="A407" s="2019"/>
      <c r="N407" s="2865"/>
    </row>
    <row r="408" spans="1:14" ht="13.5" thickBot="1">
      <c r="A408" s="2019"/>
      <c r="N408" s="2865"/>
    </row>
    <row r="409" spans="1:14" ht="13.5" thickBot="1">
      <c r="A409" s="2019"/>
      <c r="N409" s="2865"/>
    </row>
    <row r="410" spans="1:14" ht="13.5" thickBot="1">
      <c r="A410" s="2019"/>
      <c r="N410" s="2865"/>
    </row>
    <row r="411" spans="1:14" ht="13.5" thickBot="1">
      <c r="A411" s="2019"/>
      <c r="N411" s="2867"/>
    </row>
    <row r="412" spans="1:14" ht="13.5" thickBot="1">
      <c r="A412" s="2019"/>
    </row>
    <row r="413" spans="1:14" ht="13.5" thickBot="1">
      <c r="A413" s="2019"/>
    </row>
    <row r="414" spans="1:14">
      <c r="A414" s="2020"/>
    </row>
    <row r="498" spans="1:14" ht="13.5" thickBot="1"/>
    <row r="499" spans="1:14" ht="33.75">
      <c r="A499" s="322"/>
      <c r="B499" s="323" t="s">
        <v>60</v>
      </c>
      <c r="C499" s="323"/>
      <c r="D499" s="2866"/>
      <c r="E499" s="2866"/>
      <c r="F499" s="2866"/>
      <c r="G499" s="2866"/>
      <c r="H499" s="2866"/>
      <c r="I499" s="2866"/>
      <c r="J499" s="2866"/>
      <c r="K499" s="2866"/>
      <c r="L499" s="2866"/>
      <c r="M499" s="2866"/>
      <c r="N499" s="2868"/>
    </row>
    <row r="500" spans="1:14">
      <c r="A500" s="324"/>
      <c r="N500" s="2869"/>
    </row>
    <row r="501" spans="1:14">
      <c r="A501" s="324"/>
      <c r="N501" s="2869"/>
    </row>
    <row r="502" spans="1:14">
      <c r="A502" s="324"/>
      <c r="N502" s="2869"/>
    </row>
    <row r="503" spans="1:14">
      <c r="A503" s="324"/>
      <c r="N503" s="2869"/>
    </row>
    <row r="504" spans="1:14">
      <c r="A504" s="324"/>
      <c r="N504" s="2869"/>
    </row>
    <row r="505" spans="1:14">
      <c r="A505" s="324"/>
      <c r="N505" s="2869"/>
    </row>
    <row r="506" spans="1:14">
      <c r="A506" s="324"/>
      <c r="N506" s="2869"/>
    </row>
    <row r="507" spans="1:14">
      <c r="A507" s="324"/>
      <c r="N507" s="2869"/>
    </row>
    <row r="508" spans="1:14">
      <c r="A508" s="324"/>
      <c r="N508" s="2869"/>
    </row>
    <row r="509" spans="1:14">
      <c r="A509" s="324"/>
      <c r="N509" s="2869"/>
    </row>
    <row r="510" spans="1:14" ht="13.5" thickBot="1">
      <c r="A510" s="325"/>
      <c r="B510" s="2862"/>
      <c r="C510" s="2862"/>
      <c r="D510" s="2862"/>
      <c r="E510" s="2862"/>
      <c r="F510" s="2862"/>
      <c r="G510" s="2862"/>
      <c r="H510" s="2862"/>
      <c r="I510" s="2862"/>
      <c r="J510" s="2862"/>
      <c r="K510" s="2862"/>
      <c r="L510" s="2862"/>
      <c r="M510" s="2862"/>
      <c r="N510" s="2870"/>
    </row>
    <row r="512" spans="1:14" ht="13.5" thickBot="1">
      <c r="N512" s="2863"/>
    </row>
    <row r="513" spans="1:14" ht="13.5" thickBot="1">
      <c r="N513" s="2865"/>
    </row>
    <row r="514" spans="1:14" ht="13.5" thickBot="1">
      <c r="N514" s="2865"/>
    </row>
    <row r="515" spans="1:14" ht="13.5" thickBot="1">
      <c r="N515" s="2865"/>
    </row>
    <row r="516" spans="1:14" ht="13.5" thickBot="1">
      <c r="M516" s="2862"/>
      <c r="N516" s="2865"/>
    </row>
    <row r="517" spans="1:14" ht="13.5" thickBot="1">
      <c r="M517" s="2864"/>
      <c r="N517" s="2865"/>
    </row>
    <row r="518" spans="1:14" ht="13.5" thickBot="1">
      <c r="M518" s="2864"/>
      <c r="N518" s="2865"/>
    </row>
    <row r="519" spans="1:14" ht="13.5" thickBot="1">
      <c r="M519" s="2864"/>
      <c r="N519" s="2865"/>
    </row>
    <row r="520" spans="1:14" ht="13.5" thickBot="1">
      <c r="M520" s="2864"/>
      <c r="N520" s="2865"/>
    </row>
    <row r="521" spans="1:14" ht="13.5" thickBot="1">
      <c r="A521" s="1732"/>
      <c r="B521" s="2862"/>
      <c r="C521" s="2862"/>
      <c r="D521" s="2862"/>
      <c r="E521" s="2862"/>
      <c r="F521" s="2862"/>
      <c r="G521" s="2862"/>
      <c r="H521" s="2862"/>
      <c r="I521" s="2862"/>
      <c r="J521" s="2862"/>
      <c r="K521" s="2862"/>
      <c r="L521" s="2862"/>
      <c r="M521" s="2864"/>
      <c r="N521" s="2865"/>
    </row>
    <row r="522" spans="1:14" ht="13.5" thickBot="1">
      <c r="A522" s="2019"/>
      <c r="B522" s="2866"/>
      <c r="C522" s="2866"/>
      <c r="D522" s="2866"/>
      <c r="E522" s="2866"/>
      <c r="F522" s="2866"/>
      <c r="G522" s="2866"/>
      <c r="H522" s="2866"/>
      <c r="I522" s="2866"/>
      <c r="J522" s="2866"/>
      <c r="K522" s="2866"/>
      <c r="L522" s="2866"/>
      <c r="M522" s="2866"/>
      <c r="N522" s="2865"/>
    </row>
    <row r="523" spans="1:14" ht="13.5" thickBot="1">
      <c r="A523" s="2019"/>
      <c r="N523" s="2865"/>
    </row>
    <row r="524" spans="1:14" ht="13.5" thickBot="1">
      <c r="A524" s="2019"/>
      <c r="N524" s="2865"/>
    </row>
    <row r="525" spans="1:14" ht="13.5" thickBot="1">
      <c r="A525" s="2019"/>
      <c r="N525" s="2865"/>
    </row>
    <row r="526" spans="1:14" ht="13.5" thickBot="1">
      <c r="A526" s="2019"/>
      <c r="N526" s="2865"/>
    </row>
    <row r="527" spans="1:14" ht="13.5" thickBot="1">
      <c r="A527" s="2019"/>
      <c r="N527" s="2865"/>
    </row>
    <row r="528" spans="1:14" ht="13.5" thickBot="1">
      <c r="A528" s="2019"/>
      <c r="N528" s="2865"/>
    </row>
    <row r="529" spans="1:14">
      <c r="A529" s="2020"/>
      <c r="N529" s="2867"/>
    </row>
  </sheetData>
  <mergeCells count="46">
    <mergeCell ref="D3:D4"/>
    <mergeCell ref="L3:L4"/>
    <mergeCell ref="M29:M33"/>
    <mergeCell ref="M41:M45"/>
    <mergeCell ref="A79:A83"/>
    <mergeCell ref="M3:M4"/>
    <mergeCell ref="A46:E46"/>
    <mergeCell ref="C42:C45"/>
    <mergeCell ref="A66:A78"/>
    <mergeCell ref="N79:N83"/>
    <mergeCell ref="C81:C83"/>
    <mergeCell ref="M60:M65"/>
    <mergeCell ref="P66:R76"/>
    <mergeCell ref="C68:C73"/>
    <mergeCell ref="C76:C78"/>
    <mergeCell ref="M75:M78"/>
    <mergeCell ref="N66:N78"/>
    <mergeCell ref="A101:N101"/>
    <mergeCell ref="A98:N98"/>
    <mergeCell ref="A100:H100"/>
    <mergeCell ref="A99:K99"/>
    <mergeCell ref="C86:C88"/>
    <mergeCell ref="A84:A88"/>
    <mergeCell ref="A89:A93"/>
    <mergeCell ref="A94:A97"/>
    <mergeCell ref="N94:N97"/>
    <mergeCell ref="C96:C97"/>
    <mergeCell ref="N89:N93"/>
    <mergeCell ref="C91:C93"/>
    <mergeCell ref="N84:N88"/>
    <mergeCell ref="N34:N40"/>
    <mergeCell ref="N41:N45"/>
    <mergeCell ref="A2:N2"/>
    <mergeCell ref="M16:M20"/>
    <mergeCell ref="A21:A33"/>
    <mergeCell ref="C23:C28"/>
    <mergeCell ref="C30:C33"/>
    <mergeCell ref="N21:N28"/>
    <mergeCell ref="N29:N33"/>
    <mergeCell ref="A34:A45"/>
    <mergeCell ref="C36:C40"/>
    <mergeCell ref="G3:K3"/>
    <mergeCell ref="N3:N4"/>
    <mergeCell ref="A3:A4"/>
    <mergeCell ref="B3:B4"/>
    <mergeCell ref="C3:C4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5" firstPageNumber="41" orientation="landscape" useFirstPageNumber="1" r:id="rId1"/>
  <headerFooter alignWithMargins="0">
    <oddHeader>&amp;C&amp;"Arial,Kursywa"Wieloletnia prognoza finansowa Województwa Zachodniopomorskiego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4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BX554"/>
  <sheetViews>
    <sheetView showGridLines="0" view="pageBreakPreview" topLeftCell="A4" zoomScaleSheetLayoutView="100" workbookViewId="0">
      <pane xSplit="2" ySplit="5" topLeftCell="E9" activePane="bottomRight" state="frozen"/>
      <selection activeCell="A4" sqref="A1:XFD1048576"/>
      <selection pane="topRight" activeCell="A4" sqref="A1:XFD1048576"/>
      <selection pane="bottomLeft" activeCell="A4" sqref="A1:XFD1048576"/>
      <selection pane="bottomRight" activeCell="A4" sqref="A1:XFD1048576"/>
    </sheetView>
  </sheetViews>
  <sheetFormatPr defaultColWidth="9.140625" defaultRowHeight="12.75"/>
  <cols>
    <col min="1" max="1" width="4.7109375" style="255" customWidth="1"/>
    <col min="2" max="2" width="61.42578125" style="256" customWidth="1"/>
    <col min="3" max="3" width="11.85546875" style="256" customWidth="1"/>
    <col min="4" max="4" width="14.5703125" style="256" customWidth="1"/>
    <col min="5" max="5" width="13.7109375" style="256" customWidth="1"/>
    <col min="6" max="6" width="9.85546875" style="256" customWidth="1"/>
    <col min="7" max="7" width="11.28515625" style="256" customWidth="1"/>
    <col min="8" max="8" width="11" style="256" customWidth="1"/>
    <col min="9" max="9" width="9.85546875" style="256" customWidth="1"/>
    <col min="10" max="11" width="10.42578125" style="256" bestFit="1" customWidth="1"/>
    <col min="12" max="12" width="10.42578125" style="256" hidden="1" customWidth="1"/>
    <col min="13" max="13" width="12.5703125" style="256" customWidth="1"/>
    <col min="14" max="14" width="13.5703125" style="320" customWidth="1"/>
    <col min="15" max="15" width="15.140625" style="256" hidden="1" customWidth="1"/>
    <col min="16" max="16" width="16.42578125" style="256" hidden="1" customWidth="1"/>
    <col min="17" max="17" width="9.5703125" style="256" hidden="1" customWidth="1"/>
    <col min="18" max="20" width="0" style="256" hidden="1" customWidth="1"/>
    <col min="21" max="16384" width="9.140625" style="256"/>
  </cols>
  <sheetData>
    <row r="1" spans="1:76" ht="3.75" customHeight="1">
      <c r="M1" s="3"/>
      <c r="N1" s="4"/>
    </row>
    <row r="2" spans="1:76" ht="15" customHeight="1">
      <c r="B2" s="258"/>
      <c r="E2" s="259"/>
      <c r="H2" s="261" t="s">
        <v>520</v>
      </c>
      <c r="I2" s="261"/>
      <c r="J2" s="261"/>
      <c r="K2" s="261"/>
      <c r="L2" s="261"/>
      <c r="M2" s="3"/>
      <c r="N2" s="4"/>
    </row>
    <row r="3" spans="1:76" ht="0.75" customHeight="1">
      <c r="F3" s="262"/>
      <c r="G3" s="262"/>
      <c r="H3" s="262"/>
      <c r="I3" s="262"/>
      <c r="J3" s="262"/>
      <c r="K3" s="262"/>
      <c r="L3" s="262"/>
      <c r="M3" s="3"/>
      <c r="N3" s="4"/>
    </row>
    <row r="4" spans="1:76" ht="3" customHeight="1">
      <c r="D4" s="259"/>
      <c r="E4" s="259"/>
      <c r="F4" s="259"/>
      <c r="G4" s="259"/>
      <c r="H4" s="259"/>
      <c r="I4" s="259"/>
      <c r="J4" s="259"/>
      <c r="K4" s="259"/>
      <c r="L4" s="259"/>
      <c r="M4" s="3"/>
      <c r="N4" s="4"/>
    </row>
    <row r="5" spans="1:76" s="263" customFormat="1" ht="40.5" customHeight="1" thickBot="1">
      <c r="A5" s="3924" t="s">
        <v>137</v>
      </c>
      <c r="B5" s="3924"/>
      <c r="C5" s="3924"/>
      <c r="D5" s="3924"/>
      <c r="E5" s="3924"/>
      <c r="F5" s="3924"/>
      <c r="G5" s="3924"/>
      <c r="H5" s="3924"/>
      <c r="I5" s="3924"/>
      <c r="J5" s="3924"/>
      <c r="K5" s="3924"/>
      <c r="L5" s="3924"/>
      <c r="M5" s="3924"/>
      <c r="N5" s="3924"/>
    </row>
    <row r="6" spans="1:76" s="265" customFormat="1" ht="55.5" customHeight="1" thickBot="1">
      <c r="A6" s="122"/>
      <c r="B6" s="3925" t="s">
        <v>66</v>
      </c>
      <c r="C6" s="3500" t="s">
        <v>62</v>
      </c>
      <c r="D6" s="3815" t="s">
        <v>107</v>
      </c>
      <c r="E6" s="2693" t="s">
        <v>216</v>
      </c>
      <c r="F6" s="3339" t="s">
        <v>542</v>
      </c>
      <c r="G6" s="3521" t="s">
        <v>544</v>
      </c>
      <c r="H6" s="3522"/>
      <c r="I6" s="3522"/>
      <c r="J6" s="3522"/>
      <c r="K6" s="3523"/>
      <c r="L6" s="3658">
        <v>2024</v>
      </c>
      <c r="M6" s="3509" t="s">
        <v>563</v>
      </c>
      <c r="N6" s="3817" t="s">
        <v>64</v>
      </c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</row>
    <row r="7" spans="1:76" s="265" customFormat="1" ht="14.25" customHeight="1">
      <c r="A7" s="2834"/>
      <c r="B7" s="3926"/>
      <c r="C7" s="3927"/>
      <c r="D7" s="3928"/>
      <c r="E7" s="1108" t="s">
        <v>541</v>
      </c>
      <c r="F7" s="2678" t="s">
        <v>5</v>
      </c>
      <c r="G7" s="2678" t="s">
        <v>169</v>
      </c>
      <c r="H7" s="2678" t="s">
        <v>170</v>
      </c>
      <c r="I7" s="2678" t="s">
        <v>210</v>
      </c>
      <c r="J7" s="2678" t="s">
        <v>211</v>
      </c>
      <c r="K7" s="2678" t="s">
        <v>209</v>
      </c>
      <c r="L7" s="3659"/>
      <c r="M7" s="3930"/>
      <c r="N7" s="3929"/>
      <c r="O7" s="153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</row>
    <row r="8" spans="1:76" s="265" customFormat="1" ht="12.75" customHeight="1">
      <c r="A8" s="2833">
        <v>1</v>
      </c>
      <c r="B8" s="2681">
        <v>2</v>
      </c>
      <c r="C8" s="1112">
        <v>2</v>
      </c>
      <c r="D8" s="1112">
        <v>3</v>
      </c>
      <c r="E8" s="1112">
        <v>4</v>
      </c>
      <c r="F8" s="769">
        <v>5</v>
      </c>
      <c r="G8" s="769">
        <v>6</v>
      </c>
      <c r="H8" s="769">
        <v>7</v>
      </c>
      <c r="I8" s="769">
        <v>8</v>
      </c>
      <c r="J8" s="769">
        <v>9</v>
      </c>
      <c r="K8" s="769">
        <v>10</v>
      </c>
      <c r="L8" s="769"/>
      <c r="M8" s="1210">
        <v>11</v>
      </c>
      <c r="N8" s="1211">
        <v>12</v>
      </c>
      <c r="O8" s="265" t="s">
        <v>204</v>
      </c>
    </row>
    <row r="9" spans="1:76" s="1200" customFormat="1" ht="16.5" customHeight="1">
      <c r="A9" s="163"/>
      <c r="B9" s="343" t="s">
        <v>67</v>
      </c>
      <c r="C9" s="2684"/>
      <c r="D9" s="330">
        <f>+D10+D11</f>
        <v>335590850</v>
      </c>
      <c r="E9" s="330">
        <f t="shared" ref="E9" si="0">+E10+E11</f>
        <v>57593242</v>
      </c>
      <c r="F9" s="330">
        <f t="shared" ref="F9:M9" si="1">+F10+F11</f>
        <v>37937794</v>
      </c>
      <c r="G9" s="193">
        <f t="shared" si="1"/>
        <v>52028772</v>
      </c>
      <c r="H9" s="193">
        <f t="shared" si="1"/>
        <v>81241012</v>
      </c>
      <c r="I9" s="193">
        <f t="shared" si="1"/>
        <v>55133386</v>
      </c>
      <c r="J9" s="193">
        <f t="shared" si="1"/>
        <v>26203709</v>
      </c>
      <c r="K9" s="193">
        <f t="shared" si="1"/>
        <v>25452935</v>
      </c>
      <c r="L9" s="330">
        <f>+L10+L11</f>
        <v>0</v>
      </c>
      <c r="M9" s="124">
        <f t="shared" si="1"/>
        <v>240059814</v>
      </c>
      <c r="N9" s="13"/>
      <c r="O9" s="266"/>
      <c r="P9" s="266"/>
    </row>
    <row r="10" spans="1:76" s="1200" customFormat="1">
      <c r="A10" s="163"/>
      <c r="B10" s="183" t="s">
        <v>68</v>
      </c>
      <c r="C10" s="350"/>
      <c r="D10" s="185">
        <f t="shared" ref="D10:K10" si="2">+D27+D72+D94-D102+D156+D186+D213-D217+D39</f>
        <v>234637602</v>
      </c>
      <c r="E10" s="185">
        <f t="shared" si="2"/>
        <v>55373851</v>
      </c>
      <c r="F10" s="185">
        <f t="shared" si="2"/>
        <v>35520519</v>
      </c>
      <c r="G10" s="185">
        <f t="shared" si="2"/>
        <v>33411645</v>
      </c>
      <c r="H10" s="185">
        <f t="shared" si="2"/>
        <v>32145430</v>
      </c>
      <c r="I10" s="185">
        <f t="shared" si="2"/>
        <v>26874013</v>
      </c>
      <c r="J10" s="185">
        <f t="shared" si="2"/>
        <v>26003709</v>
      </c>
      <c r="K10" s="185">
        <f t="shared" si="2"/>
        <v>25308435</v>
      </c>
      <c r="L10" s="185">
        <f>+L27+L72+L94-L102+L156+L186+L213-L217+L39</f>
        <v>0</v>
      </c>
      <c r="M10" s="443">
        <f>+M27+M72+M94+M156+M186+M213+M39</f>
        <v>143743232</v>
      </c>
      <c r="N10" s="13"/>
      <c r="O10" s="266"/>
      <c r="P10" s="266"/>
    </row>
    <row r="11" spans="1:76" s="1200" customFormat="1" ht="13.5" thickBot="1">
      <c r="A11" s="163"/>
      <c r="B11" s="186" t="s">
        <v>8</v>
      </c>
      <c r="C11" s="187"/>
      <c r="D11" s="188">
        <f>D60+D83+D119-D121+D170+D197+D226</f>
        <v>100953248</v>
      </c>
      <c r="E11" s="188">
        <f t="shared" ref="E11:K11" si="3">E60+E83+E119-E121+E170+E197+E226</f>
        <v>2219391</v>
      </c>
      <c r="F11" s="188">
        <f t="shared" si="3"/>
        <v>2417275</v>
      </c>
      <c r="G11" s="188">
        <f t="shared" si="3"/>
        <v>18617127</v>
      </c>
      <c r="H11" s="188">
        <f t="shared" si="3"/>
        <v>49095582</v>
      </c>
      <c r="I11" s="188">
        <f t="shared" si="3"/>
        <v>28259373</v>
      </c>
      <c r="J11" s="188">
        <f t="shared" si="3"/>
        <v>200000</v>
      </c>
      <c r="K11" s="188">
        <f t="shared" si="3"/>
        <v>144500</v>
      </c>
      <c r="L11" s="188">
        <f>L60+L83+L119-L121+L170+L197+L226</f>
        <v>0</v>
      </c>
      <c r="M11" s="14">
        <f>+M60+M83+M119+M170+M197+M226</f>
        <v>96316582</v>
      </c>
      <c r="N11" s="13"/>
      <c r="O11" s="266"/>
    </row>
    <row r="12" spans="1:76" s="269" customFormat="1" ht="13.5" customHeight="1">
      <c r="A12" s="127"/>
      <c r="B12" s="128" t="s">
        <v>9</v>
      </c>
      <c r="C12" s="129"/>
      <c r="D12" s="130">
        <f>+D13+D18</f>
        <v>337166574</v>
      </c>
      <c r="E12" s="130">
        <f t="shared" ref="E12" si="4">+E13+E18</f>
        <v>58374237</v>
      </c>
      <c r="F12" s="130">
        <f t="shared" ref="F12:K12" si="5">+F13+F18</f>
        <v>38368735</v>
      </c>
      <c r="G12" s="130">
        <f t="shared" si="5"/>
        <v>52123040</v>
      </c>
      <c r="H12" s="130">
        <f t="shared" si="5"/>
        <v>81318477</v>
      </c>
      <c r="I12" s="130">
        <f t="shared" si="5"/>
        <v>55197405</v>
      </c>
      <c r="J12" s="130">
        <f t="shared" si="5"/>
        <v>26267727</v>
      </c>
      <c r="K12" s="130">
        <f t="shared" si="5"/>
        <v>25516953</v>
      </c>
      <c r="L12" s="130">
        <f>+L13+L18</f>
        <v>0</v>
      </c>
      <c r="M12" s="164">
        <f>+M13+M18</f>
        <v>277997608</v>
      </c>
      <c r="N12" s="125"/>
      <c r="O12" s="266"/>
      <c r="P12" s="268"/>
    </row>
    <row r="13" spans="1:76" s="274" customFormat="1" ht="13.5" customHeight="1">
      <c r="A13" s="123"/>
      <c r="B13" s="131" t="s">
        <v>10</v>
      </c>
      <c r="C13" s="132"/>
      <c r="D13" s="270">
        <f>+D14+D15+D16+D17</f>
        <v>67637060</v>
      </c>
      <c r="E13" s="270">
        <f t="shared" ref="E13" si="6">+E14+E15+E16+E17</f>
        <v>10601198</v>
      </c>
      <c r="F13" s="270">
        <f t="shared" ref="F13:K13" si="7">+F14+F15+F16+F17</f>
        <v>6596641</v>
      </c>
      <c r="G13" s="270">
        <f t="shared" si="7"/>
        <v>10930921</v>
      </c>
      <c r="H13" s="270">
        <f t="shared" si="7"/>
        <v>17794141</v>
      </c>
      <c r="I13" s="270">
        <f t="shared" si="7"/>
        <v>15546957</v>
      </c>
      <c r="J13" s="270">
        <f t="shared" si="7"/>
        <v>3053228</v>
      </c>
      <c r="K13" s="270">
        <f t="shared" si="7"/>
        <v>3113974</v>
      </c>
      <c r="L13" s="270">
        <f>+L14+L15+L16+L17</f>
        <v>0</v>
      </c>
      <c r="M13" s="271">
        <f>+M14+M15+M16+M17</f>
        <v>56241133</v>
      </c>
      <c r="N13" s="272"/>
      <c r="O13" s="266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76" s="277" customFormat="1">
      <c r="A14" s="133"/>
      <c r="B14" s="134" t="s">
        <v>11</v>
      </c>
      <c r="C14" s="135"/>
      <c r="D14" s="275">
        <f t="shared" ref="D14:K14" si="8">+D96+D140+D215+D29+D41+D62</f>
        <v>63847150</v>
      </c>
      <c r="E14" s="275">
        <f t="shared" si="8"/>
        <v>9003470</v>
      </c>
      <c r="F14" s="275">
        <f t="shared" si="8"/>
        <v>5272545</v>
      </c>
      <c r="G14" s="275">
        <f t="shared" si="8"/>
        <v>10582821</v>
      </c>
      <c r="H14" s="275">
        <f t="shared" si="8"/>
        <v>17466210</v>
      </c>
      <c r="I14" s="275">
        <f t="shared" si="8"/>
        <v>15482938</v>
      </c>
      <c r="J14" s="275">
        <f t="shared" si="8"/>
        <v>2989210</v>
      </c>
      <c r="K14" s="275">
        <f t="shared" si="8"/>
        <v>3049956</v>
      </c>
      <c r="L14" s="275">
        <f>+L96+L140+L215+L29+L41+L62</f>
        <v>0</v>
      </c>
      <c r="M14" s="276">
        <f>SUM(F14:K14)</f>
        <v>54843680</v>
      </c>
      <c r="N14" s="125"/>
      <c r="O14" s="266"/>
      <c r="P14" s="277" t="s">
        <v>236</v>
      </c>
    </row>
    <row r="15" spans="1:76" s="277" customFormat="1">
      <c r="A15" s="133"/>
      <c r="B15" s="278" t="s">
        <v>12</v>
      </c>
      <c r="C15" s="279"/>
      <c r="D15" s="275">
        <f t="shared" ref="D15:K15" si="9">+D63+D74+D85+D216+D228+D45</f>
        <v>2214186</v>
      </c>
      <c r="E15" s="275">
        <f t="shared" si="9"/>
        <v>816733</v>
      </c>
      <c r="F15" s="275">
        <f t="shared" si="9"/>
        <v>893155</v>
      </c>
      <c r="G15" s="275">
        <f t="shared" si="9"/>
        <v>253832</v>
      </c>
      <c r="H15" s="275">
        <f t="shared" si="9"/>
        <v>250466</v>
      </c>
      <c r="I15" s="275">
        <f t="shared" si="9"/>
        <v>0</v>
      </c>
      <c r="J15" s="275">
        <f t="shared" si="9"/>
        <v>0</v>
      </c>
      <c r="K15" s="275">
        <f t="shared" si="9"/>
        <v>0</v>
      </c>
      <c r="L15" s="275">
        <f>+L63+L74+L85+L216+L228+L45</f>
        <v>0</v>
      </c>
      <c r="M15" s="276">
        <f>SUM(F15:K15)</f>
        <v>1397453</v>
      </c>
      <c r="N15" s="125"/>
      <c r="O15" s="266"/>
    </row>
    <row r="16" spans="1:76" s="277" customFormat="1" ht="15" hidden="1" customHeight="1">
      <c r="A16" s="133"/>
      <c r="B16" s="278" t="s">
        <v>15</v>
      </c>
      <c r="C16" s="279"/>
      <c r="D16" s="280">
        <f>+D141</f>
        <v>0</v>
      </c>
      <c r="E16" s="280">
        <f t="shared" ref="E16:K16" si="10">+E141</f>
        <v>0</v>
      </c>
      <c r="F16" s="280">
        <f t="shared" si="10"/>
        <v>0</v>
      </c>
      <c r="G16" s="280">
        <f t="shared" si="10"/>
        <v>0</v>
      </c>
      <c r="H16" s="280">
        <f t="shared" si="10"/>
        <v>0</v>
      </c>
      <c r="I16" s="280">
        <f t="shared" si="10"/>
        <v>0</v>
      </c>
      <c r="J16" s="280">
        <f t="shared" si="10"/>
        <v>0</v>
      </c>
      <c r="K16" s="280">
        <f t="shared" si="10"/>
        <v>0</v>
      </c>
      <c r="L16" s="280">
        <f>+L141</f>
        <v>0</v>
      </c>
      <c r="M16" s="276">
        <f>SUM(F16:K16)</f>
        <v>0</v>
      </c>
      <c r="N16" s="125"/>
      <c r="O16" s="266"/>
    </row>
    <row r="17" spans="1:26" s="277" customFormat="1" ht="12" customHeight="1">
      <c r="A17" s="133"/>
      <c r="B17" s="278" t="s">
        <v>30</v>
      </c>
      <c r="C17" s="279"/>
      <c r="D17" s="280">
        <f t="shared" ref="D17:K17" si="11">D102+D121+D217</f>
        <v>1575724</v>
      </c>
      <c r="E17" s="280">
        <f t="shared" si="11"/>
        <v>780995</v>
      </c>
      <c r="F17" s="280">
        <f t="shared" si="11"/>
        <v>430941</v>
      </c>
      <c r="G17" s="280">
        <f t="shared" si="11"/>
        <v>94268</v>
      </c>
      <c r="H17" s="280">
        <f t="shared" si="11"/>
        <v>77465</v>
      </c>
      <c r="I17" s="280">
        <f t="shared" si="11"/>
        <v>64019</v>
      </c>
      <c r="J17" s="280">
        <f t="shared" si="11"/>
        <v>64018</v>
      </c>
      <c r="K17" s="280">
        <f t="shared" si="11"/>
        <v>64018</v>
      </c>
      <c r="L17" s="280">
        <f>L102+L121+L217</f>
        <v>0</v>
      </c>
      <c r="M17" s="281">
        <f>M102+M121</f>
        <v>0</v>
      </c>
      <c r="N17" s="125"/>
      <c r="O17" s="266"/>
    </row>
    <row r="18" spans="1:26" s="274" customFormat="1">
      <c r="A18" s="123"/>
      <c r="B18" s="136" t="s">
        <v>17</v>
      </c>
      <c r="C18" s="137"/>
      <c r="D18" s="138">
        <f>SUM(D19)</f>
        <v>269529514</v>
      </c>
      <c r="E18" s="138">
        <f t="shared" ref="E18" si="12">SUM(E19)</f>
        <v>47773039</v>
      </c>
      <c r="F18" s="138">
        <f t="shared" ref="F18:M18" si="13">SUM(F19)</f>
        <v>31772094</v>
      </c>
      <c r="G18" s="138">
        <f t="shared" si="13"/>
        <v>41192119</v>
      </c>
      <c r="H18" s="138">
        <f t="shared" si="13"/>
        <v>63524336</v>
      </c>
      <c r="I18" s="138">
        <f t="shared" si="13"/>
        <v>39650448</v>
      </c>
      <c r="J18" s="138">
        <f t="shared" si="13"/>
        <v>23214499</v>
      </c>
      <c r="K18" s="138">
        <f t="shared" si="13"/>
        <v>22402979</v>
      </c>
      <c r="L18" s="138">
        <f>SUM(L19)</f>
        <v>0</v>
      </c>
      <c r="M18" s="271">
        <f t="shared" si="13"/>
        <v>221756475</v>
      </c>
      <c r="N18" s="272"/>
      <c r="O18" s="266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</row>
    <row r="19" spans="1:26" s="286" customFormat="1">
      <c r="A19" s="139"/>
      <c r="B19" s="282" t="s">
        <v>19</v>
      </c>
      <c r="C19" s="283"/>
      <c r="D19" s="275">
        <f t="shared" ref="D19:K19" si="14">+D31+D65+D76+D87+D106+D125+D143+D219+D230+D50</f>
        <v>269529514</v>
      </c>
      <c r="E19" s="275">
        <f t="shared" si="14"/>
        <v>47773039</v>
      </c>
      <c r="F19" s="275">
        <f t="shared" si="14"/>
        <v>31772094</v>
      </c>
      <c r="G19" s="275">
        <f t="shared" si="14"/>
        <v>41192119</v>
      </c>
      <c r="H19" s="275">
        <f t="shared" si="14"/>
        <v>63524336</v>
      </c>
      <c r="I19" s="275">
        <f t="shared" si="14"/>
        <v>39650448</v>
      </c>
      <c r="J19" s="275">
        <f t="shared" si="14"/>
        <v>23214499</v>
      </c>
      <c r="K19" s="275">
        <f t="shared" si="14"/>
        <v>22402979</v>
      </c>
      <c r="L19" s="275">
        <f>+L31+L65+L76+L87+L106+L125+L143+L219+L230+L50</f>
        <v>0</v>
      </c>
      <c r="M19" s="276">
        <f>SUM(F19:K19)</f>
        <v>221756475</v>
      </c>
      <c r="N19" s="284"/>
      <c r="O19" s="266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</row>
    <row r="20" spans="1:26" s="286" customFormat="1" ht="12.75" customHeight="1">
      <c r="A20" s="139"/>
      <c r="B20" s="66" t="s">
        <v>20</v>
      </c>
      <c r="C20" s="333"/>
      <c r="D20" s="334">
        <f>+D21+D24</f>
        <v>271743700</v>
      </c>
      <c r="E20" s="334">
        <f t="shared" ref="E20" si="15">+E21+E24</f>
        <v>44206144</v>
      </c>
      <c r="F20" s="334">
        <f t="shared" ref="F20:K20" si="16">+F21+F24</f>
        <v>31058560</v>
      </c>
      <c r="G20" s="334">
        <f t="shared" si="16"/>
        <v>42115448</v>
      </c>
      <c r="H20" s="334">
        <f t="shared" si="16"/>
        <v>52510997</v>
      </c>
      <c r="I20" s="334">
        <f t="shared" si="16"/>
        <v>41812431</v>
      </c>
      <c r="J20" s="334">
        <f t="shared" si="16"/>
        <v>23772239</v>
      </c>
      <c r="K20" s="334">
        <f t="shared" si="16"/>
        <v>22801167</v>
      </c>
      <c r="L20" s="334">
        <f>+L21+L24</f>
        <v>0</v>
      </c>
      <c r="M20" s="3888" t="s">
        <v>52</v>
      </c>
      <c r="N20" s="125"/>
      <c r="O20" s="290">
        <f>D77+D88+D115+D134+D147+D220+D54+D35+D66+D231</f>
        <v>271743700</v>
      </c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</row>
    <row r="21" spans="1:26" s="274" customFormat="1" ht="12" customHeight="1">
      <c r="A21" s="123"/>
      <c r="B21" s="131" t="s">
        <v>10</v>
      </c>
      <c r="C21" s="132"/>
      <c r="D21" s="270">
        <f>+D22+D23</f>
        <v>2214186</v>
      </c>
      <c r="E21" s="270">
        <f t="shared" ref="E21" si="17">+E22+E23</f>
        <v>782580</v>
      </c>
      <c r="F21" s="270">
        <f t="shared" ref="F21:K21" si="18">+F22+F23</f>
        <v>899520</v>
      </c>
      <c r="G21" s="270">
        <f t="shared" si="18"/>
        <v>267204</v>
      </c>
      <c r="H21" s="270">
        <f t="shared" si="18"/>
        <v>244649</v>
      </c>
      <c r="I21" s="270">
        <f t="shared" si="18"/>
        <v>20233</v>
      </c>
      <c r="J21" s="270">
        <f t="shared" si="18"/>
        <v>0</v>
      </c>
      <c r="K21" s="270">
        <f t="shared" si="18"/>
        <v>0</v>
      </c>
      <c r="L21" s="270">
        <f>+L22+L23</f>
        <v>0</v>
      </c>
      <c r="M21" s="3698"/>
      <c r="N21" s="272"/>
      <c r="O21" s="290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</row>
    <row r="22" spans="1:26" s="286" customFormat="1" ht="12">
      <c r="A22" s="139"/>
      <c r="B22" s="278" t="s">
        <v>12</v>
      </c>
      <c r="C22" s="287"/>
      <c r="D22" s="275">
        <f t="shared" ref="D22:K22" si="19">+D68+D79+D222+D233+D90+D56</f>
        <v>2214186</v>
      </c>
      <c r="E22" s="275">
        <f t="shared" si="19"/>
        <v>782580</v>
      </c>
      <c r="F22" s="275">
        <f t="shared" si="19"/>
        <v>899520</v>
      </c>
      <c r="G22" s="275">
        <f t="shared" si="19"/>
        <v>267204</v>
      </c>
      <c r="H22" s="275">
        <f t="shared" si="19"/>
        <v>244649</v>
      </c>
      <c r="I22" s="275">
        <f t="shared" si="19"/>
        <v>20233</v>
      </c>
      <c r="J22" s="275">
        <f t="shared" si="19"/>
        <v>0</v>
      </c>
      <c r="K22" s="275">
        <f t="shared" si="19"/>
        <v>0</v>
      </c>
      <c r="L22" s="275">
        <f>+L68+L79+L222+L233+L90+L56</f>
        <v>0</v>
      </c>
      <c r="M22" s="3698"/>
      <c r="N22" s="284"/>
      <c r="O22" s="290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</row>
    <row r="23" spans="1:26" s="286" customFormat="1" ht="12" hidden="1" customHeight="1">
      <c r="A23" s="139"/>
      <c r="B23" s="278" t="s">
        <v>15</v>
      </c>
      <c r="C23" s="287"/>
      <c r="D23" s="280">
        <f>+D149</f>
        <v>0</v>
      </c>
      <c r="E23" s="280">
        <f>+E149</f>
        <v>0</v>
      </c>
      <c r="F23" s="280">
        <f t="shared" ref="F23:K23" si="20">+F149</f>
        <v>0</v>
      </c>
      <c r="G23" s="280">
        <f t="shared" si="20"/>
        <v>0</v>
      </c>
      <c r="H23" s="280">
        <f t="shared" si="20"/>
        <v>0</v>
      </c>
      <c r="I23" s="280">
        <f t="shared" si="20"/>
        <v>0</v>
      </c>
      <c r="J23" s="280">
        <f t="shared" si="20"/>
        <v>0</v>
      </c>
      <c r="K23" s="280">
        <f t="shared" si="20"/>
        <v>0</v>
      </c>
      <c r="L23" s="280">
        <f>+L149</f>
        <v>0</v>
      </c>
      <c r="M23" s="3698"/>
      <c r="N23" s="284"/>
      <c r="O23" s="290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</row>
    <row r="24" spans="1:26" s="274" customFormat="1" ht="12" customHeight="1">
      <c r="A24" s="123"/>
      <c r="B24" s="136" t="s">
        <v>17</v>
      </c>
      <c r="C24" s="137"/>
      <c r="D24" s="138">
        <f>+D25</f>
        <v>269529514</v>
      </c>
      <c r="E24" s="138">
        <f t="shared" ref="E24" si="21">+E25</f>
        <v>43423564</v>
      </c>
      <c r="F24" s="138">
        <f t="shared" ref="F24:K24" si="22">+F25</f>
        <v>30159040</v>
      </c>
      <c r="G24" s="138">
        <f t="shared" si="22"/>
        <v>41848244</v>
      </c>
      <c r="H24" s="138">
        <f t="shared" si="22"/>
        <v>52266348</v>
      </c>
      <c r="I24" s="138">
        <f t="shared" si="22"/>
        <v>41792198</v>
      </c>
      <c r="J24" s="138">
        <f t="shared" si="22"/>
        <v>23772239</v>
      </c>
      <c r="K24" s="138">
        <f t="shared" si="22"/>
        <v>22801167</v>
      </c>
      <c r="L24" s="138">
        <f>+L25</f>
        <v>0</v>
      </c>
      <c r="M24" s="3698"/>
      <c r="N24" s="272"/>
      <c r="O24" s="290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</row>
    <row r="25" spans="1:26" s="286" customFormat="1" ht="12" customHeight="1" thickBot="1">
      <c r="A25" s="140"/>
      <c r="B25" s="288" t="s">
        <v>19</v>
      </c>
      <c r="C25" s="141"/>
      <c r="D25" s="142">
        <f t="shared" ref="D25:K25" si="23">+D37+D70+D81+D92+D117+D136+D151+D224+D235+D58</f>
        <v>269529514</v>
      </c>
      <c r="E25" s="142">
        <f t="shared" si="23"/>
        <v>43423564</v>
      </c>
      <c r="F25" s="142">
        <f t="shared" si="23"/>
        <v>30159040</v>
      </c>
      <c r="G25" s="142">
        <f t="shared" si="23"/>
        <v>41848244</v>
      </c>
      <c r="H25" s="142">
        <f t="shared" si="23"/>
        <v>52266348</v>
      </c>
      <c r="I25" s="142">
        <f t="shared" si="23"/>
        <v>41792198</v>
      </c>
      <c r="J25" s="142">
        <f t="shared" si="23"/>
        <v>23772239</v>
      </c>
      <c r="K25" s="142">
        <f t="shared" si="23"/>
        <v>22801167</v>
      </c>
      <c r="L25" s="142">
        <f>+L37+L70+L81+L92+L117+L136+L151+L224+L235+L58</f>
        <v>0</v>
      </c>
      <c r="M25" s="3699"/>
      <c r="N25" s="289"/>
      <c r="O25" s="290">
        <f>D19-D25</f>
        <v>0</v>
      </c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</row>
    <row r="26" spans="1:26" s="285" customFormat="1" ht="25.5" customHeight="1">
      <c r="A26" s="3900" t="s">
        <v>54</v>
      </c>
      <c r="B26" s="143" t="s">
        <v>487</v>
      </c>
      <c r="C26" s="144" t="s">
        <v>99</v>
      </c>
      <c r="D26" s="160"/>
      <c r="E26" s="159"/>
      <c r="F26" s="159"/>
      <c r="G26" s="159"/>
      <c r="H26" s="159"/>
      <c r="I26" s="159"/>
      <c r="J26" s="159"/>
      <c r="K26" s="219"/>
      <c r="L26" s="159"/>
      <c r="M26" s="291"/>
      <c r="N26" s="3931" t="s">
        <v>289</v>
      </c>
      <c r="O26" s="290"/>
    </row>
    <row r="27" spans="1:26" s="285" customFormat="1" ht="14.25" customHeight="1">
      <c r="A27" s="3901"/>
      <c r="B27" s="17" t="s">
        <v>9</v>
      </c>
      <c r="C27" s="2485"/>
      <c r="D27" s="292">
        <f>+D28+D30</f>
        <v>1966760</v>
      </c>
      <c r="E27" s="292">
        <f t="shared" ref="E27" si="24">+E28+E30</f>
        <v>382714</v>
      </c>
      <c r="F27" s="292">
        <f t="shared" ref="F27:J27" si="25">+F28+F30</f>
        <v>235896</v>
      </c>
      <c r="G27" s="292">
        <f t="shared" si="25"/>
        <v>281170</v>
      </c>
      <c r="H27" s="292">
        <f t="shared" si="25"/>
        <v>281170</v>
      </c>
      <c r="I27" s="292">
        <f t="shared" si="25"/>
        <v>280970</v>
      </c>
      <c r="J27" s="292">
        <f t="shared" si="25"/>
        <v>504840</v>
      </c>
      <c r="K27" s="292"/>
      <c r="L27" s="292">
        <f>+L28+L30</f>
        <v>0</v>
      </c>
      <c r="M27" s="2486">
        <f>M28+M30</f>
        <v>1348150</v>
      </c>
      <c r="N27" s="3932"/>
      <c r="O27" s="266"/>
    </row>
    <row r="28" spans="1:26" s="1468" customFormat="1" ht="12">
      <c r="A28" s="3901"/>
      <c r="B28" s="470" t="s">
        <v>22</v>
      </c>
      <c r="C28" s="3905" t="s">
        <v>138</v>
      </c>
      <c r="D28" s="293">
        <f>+D29</f>
        <v>2000</v>
      </c>
      <c r="E28" s="293">
        <f t="shared" ref="E28" si="26">+E29</f>
        <v>10</v>
      </c>
      <c r="F28" s="293">
        <f t="shared" ref="F28:J28" si="27">+F29</f>
        <v>290</v>
      </c>
      <c r="G28" s="293">
        <f t="shared" si="27"/>
        <v>400</v>
      </c>
      <c r="H28" s="293">
        <f t="shared" si="27"/>
        <v>400</v>
      </c>
      <c r="I28" s="293">
        <f t="shared" si="27"/>
        <v>200</v>
      </c>
      <c r="J28" s="293">
        <f t="shared" si="27"/>
        <v>700</v>
      </c>
      <c r="K28" s="293"/>
      <c r="L28" s="293">
        <f>+L29</f>
        <v>0</v>
      </c>
      <c r="M28" s="294">
        <f>+M29</f>
        <v>1700</v>
      </c>
      <c r="N28" s="3932"/>
      <c r="O28" s="1467"/>
    </row>
    <row r="29" spans="1:26" s="1468" customFormat="1" ht="12">
      <c r="A29" s="3901"/>
      <c r="B29" s="146" t="s">
        <v>11</v>
      </c>
      <c r="C29" s="3934"/>
      <c r="D29" s="211">
        <f>E29+L29+F29+G29+H29+I29+J29+K29</f>
        <v>2000</v>
      </c>
      <c r="E29" s="1006">
        <v>10</v>
      </c>
      <c r="F29" s="1006">
        <f>400+90+300-500</f>
        <v>290</v>
      </c>
      <c r="G29" s="1006">
        <v>400</v>
      </c>
      <c r="H29" s="1006">
        <v>400</v>
      </c>
      <c r="I29" s="1006">
        <v>200</v>
      </c>
      <c r="J29" s="1006">
        <f>200+500</f>
        <v>700</v>
      </c>
      <c r="K29" s="2487"/>
      <c r="L29" s="1006">
        <f>300-300</f>
        <v>0</v>
      </c>
      <c r="M29" s="524">
        <f>SUM(G29:K29)</f>
        <v>1700</v>
      </c>
      <c r="N29" s="3932"/>
      <c r="O29" s="1469"/>
    </row>
    <row r="30" spans="1:26" s="285" customFormat="1" ht="12" customHeight="1">
      <c r="A30" s="3901"/>
      <c r="B30" s="515" t="s">
        <v>17</v>
      </c>
      <c r="C30" s="3875"/>
      <c r="D30" s="295">
        <f>+D31</f>
        <v>1964760</v>
      </c>
      <c r="E30" s="295">
        <f t="shared" ref="E30:J30" si="28">E31</f>
        <v>382704</v>
      </c>
      <c r="F30" s="295">
        <f t="shared" si="28"/>
        <v>235606</v>
      </c>
      <c r="G30" s="295">
        <f t="shared" si="28"/>
        <v>280770</v>
      </c>
      <c r="H30" s="295">
        <f t="shared" si="28"/>
        <v>280770</v>
      </c>
      <c r="I30" s="295">
        <f t="shared" si="28"/>
        <v>280770</v>
      </c>
      <c r="J30" s="295">
        <f t="shared" si="28"/>
        <v>504140</v>
      </c>
      <c r="K30" s="295"/>
      <c r="L30" s="295">
        <f>L31</f>
        <v>0</v>
      </c>
      <c r="M30" s="294">
        <f>+M31</f>
        <v>1346450</v>
      </c>
      <c r="N30" s="3932"/>
      <c r="O30" s="290"/>
      <c r="P30" s="290"/>
    </row>
    <row r="31" spans="1:26" s="1200" customFormat="1">
      <c r="A31" s="3901"/>
      <c r="B31" s="1007" t="s">
        <v>19</v>
      </c>
      <c r="C31" s="3876"/>
      <c r="D31" s="211">
        <f>E31+L31+F31+G31+H31+I31+J31+K31</f>
        <v>1964760</v>
      </c>
      <c r="E31" s="1006">
        <f>+E33+E34</f>
        <v>382704</v>
      </c>
      <c r="F31" s="211">
        <f>SUM(F33:F34)</f>
        <v>235606</v>
      </c>
      <c r="G31" s="211">
        <f t="shared" ref="G31:J31" si="29">SUM(G33:G34)</f>
        <v>280770</v>
      </c>
      <c r="H31" s="211">
        <f t="shared" si="29"/>
        <v>280770</v>
      </c>
      <c r="I31" s="211">
        <f t="shared" si="29"/>
        <v>280770</v>
      </c>
      <c r="J31" s="211">
        <f t="shared" si="29"/>
        <v>504140</v>
      </c>
      <c r="K31" s="2488"/>
      <c r="L31" s="211">
        <f>SUM(L33:L34)</f>
        <v>0</v>
      </c>
      <c r="M31" s="524">
        <f>SUM(G31:K31)</f>
        <v>1346450</v>
      </c>
      <c r="N31" s="3932"/>
      <c r="O31" s="266"/>
    </row>
    <row r="32" spans="1:26" s="1200" customFormat="1" hidden="1">
      <c r="A32" s="3901"/>
      <c r="B32" s="2489" t="s">
        <v>327</v>
      </c>
      <c r="C32" s="3337"/>
      <c r="D32" s="724"/>
      <c r="E32" s="2490"/>
      <c r="F32" s="2490"/>
      <c r="G32" s="2490"/>
      <c r="H32" s="2490"/>
      <c r="I32" s="2490"/>
      <c r="J32" s="2490"/>
      <c r="K32" s="2490"/>
      <c r="L32" s="2490"/>
      <c r="M32" s="2491"/>
      <c r="N32" s="3932"/>
      <c r="O32" s="266"/>
    </row>
    <row r="33" spans="1:15" s="1200" customFormat="1" hidden="1">
      <c r="A33" s="3901"/>
      <c r="B33" s="2492" t="s">
        <v>245</v>
      </c>
      <c r="C33" s="3340"/>
      <c r="D33" s="759">
        <f>SUM(E33:J33)</f>
        <v>1881600</v>
      </c>
      <c r="E33" s="2493">
        <f>187905+180138</f>
        <v>368043</v>
      </c>
      <c r="F33" s="2493">
        <f>268800+19862-74305</f>
        <v>214357</v>
      </c>
      <c r="G33" s="2493">
        <v>268800</v>
      </c>
      <c r="H33" s="2493">
        <v>268800</v>
      </c>
      <c r="I33" s="2493">
        <v>268800</v>
      </c>
      <c r="J33" s="2493">
        <f>268800+80895+68800+74305</f>
        <v>492800</v>
      </c>
      <c r="K33" s="2493"/>
      <c r="L33" s="2493"/>
      <c r="M33" s="2494">
        <f>SUM(F33:K33)</f>
        <v>1513557</v>
      </c>
      <c r="N33" s="3932"/>
      <c r="O33" s="266"/>
    </row>
    <row r="34" spans="1:15" s="1200" customFormat="1" hidden="1">
      <c r="A34" s="3901"/>
      <c r="B34" s="2492" t="s">
        <v>100</v>
      </c>
      <c r="C34" s="3340"/>
      <c r="D34" s="724">
        <f>+E34+L34+F34+G34+H34+I34+J34</f>
        <v>83160</v>
      </c>
      <c r="E34" s="2495">
        <f>4517+10144</f>
        <v>14661</v>
      </c>
      <c r="F34" s="2495">
        <f>11970+7453+1826</f>
        <v>21249</v>
      </c>
      <c r="G34" s="2495">
        <v>11970</v>
      </c>
      <c r="H34" s="2495">
        <v>11970</v>
      </c>
      <c r="I34" s="2495">
        <v>11970</v>
      </c>
      <c r="J34" s="2495">
        <v>11340</v>
      </c>
      <c r="K34" s="2495"/>
      <c r="L34" s="2495"/>
      <c r="M34" s="2496">
        <f>SUM(F34:K34)</f>
        <v>68499</v>
      </c>
      <c r="N34" s="3932"/>
      <c r="O34" s="266"/>
    </row>
    <row r="35" spans="1:15" s="1200" customFormat="1" ht="12.75" customHeight="1">
      <c r="A35" s="3430"/>
      <c r="B35" s="17" t="s">
        <v>20</v>
      </c>
      <c r="C35" s="148"/>
      <c r="D35" s="292">
        <f>+D36</f>
        <v>1964760</v>
      </c>
      <c r="E35" s="292">
        <f t="shared" ref="E35:K35" si="30">+E36</f>
        <v>0</v>
      </c>
      <c r="F35" s="292">
        <f t="shared" si="30"/>
        <v>473192</v>
      </c>
      <c r="G35" s="292">
        <f t="shared" si="30"/>
        <v>213918</v>
      </c>
      <c r="H35" s="292">
        <f t="shared" si="30"/>
        <v>280770</v>
      </c>
      <c r="I35" s="292">
        <f t="shared" si="30"/>
        <v>280770</v>
      </c>
      <c r="J35" s="292">
        <f t="shared" si="30"/>
        <v>317922</v>
      </c>
      <c r="K35" s="292">
        <f t="shared" si="30"/>
        <v>398188</v>
      </c>
      <c r="L35" s="292">
        <f>+L36</f>
        <v>0</v>
      </c>
      <c r="M35" s="3889" t="s">
        <v>52</v>
      </c>
      <c r="N35" s="3932"/>
      <c r="O35" s="266">
        <f>F35-'[1]Tab. 6E - Administracja'!$G$35</f>
        <v>0</v>
      </c>
    </row>
    <row r="36" spans="1:15" s="1200" customFormat="1" ht="12.75" customHeight="1">
      <c r="A36" s="3430"/>
      <c r="B36" s="1599" t="s">
        <v>17</v>
      </c>
      <c r="C36" s="3875" t="s">
        <v>138</v>
      </c>
      <c r="D36" s="295">
        <f>+D37</f>
        <v>1964760</v>
      </c>
      <c r="E36" s="295">
        <f t="shared" ref="E36:K36" si="31">E37</f>
        <v>0</v>
      </c>
      <c r="F36" s="295">
        <f t="shared" si="31"/>
        <v>473192</v>
      </c>
      <c r="G36" s="295">
        <f t="shared" si="31"/>
        <v>213918</v>
      </c>
      <c r="H36" s="295">
        <f t="shared" si="31"/>
        <v>280770</v>
      </c>
      <c r="I36" s="295">
        <f t="shared" si="31"/>
        <v>280770</v>
      </c>
      <c r="J36" s="295">
        <f t="shared" si="31"/>
        <v>317922</v>
      </c>
      <c r="K36" s="295">
        <f t="shared" si="31"/>
        <v>398188</v>
      </c>
      <c r="L36" s="295">
        <f>L37</f>
        <v>0</v>
      </c>
      <c r="M36" s="3700"/>
      <c r="N36" s="3932"/>
    </row>
    <row r="37" spans="1:15" s="1200" customFormat="1" ht="12" customHeight="1" thickBot="1">
      <c r="A37" s="3431"/>
      <c r="B37" s="297" t="s">
        <v>19</v>
      </c>
      <c r="C37" s="3907"/>
      <c r="D37" s="211">
        <f>E37+L37+F37+G37+H37+I37+J37+K37</f>
        <v>1964760</v>
      </c>
      <c r="E37" s="1006">
        <v>0</v>
      </c>
      <c r="F37" s="2488">
        <f>280770+192422</f>
        <v>473192</v>
      </c>
      <c r="G37" s="2488">
        <f>288223-74305</f>
        <v>213918</v>
      </c>
      <c r="H37" s="2488">
        <v>280770</v>
      </c>
      <c r="I37" s="2488">
        <v>280770</v>
      </c>
      <c r="J37" s="2488">
        <f>280770+37152</f>
        <v>317922</v>
      </c>
      <c r="K37" s="2488">
        <f>361035+37153</f>
        <v>398188</v>
      </c>
      <c r="L37" s="2488">
        <f>192422-192422</f>
        <v>0</v>
      </c>
      <c r="M37" s="3701"/>
      <c r="N37" s="3933"/>
      <c r="O37" s="266">
        <f>D37-D31</f>
        <v>0</v>
      </c>
    </row>
    <row r="38" spans="1:15" s="1200" customFormat="1" ht="30" customHeight="1">
      <c r="A38" s="3900" t="s">
        <v>55</v>
      </c>
      <c r="B38" s="143" t="s">
        <v>343</v>
      </c>
      <c r="C38" s="2497" t="s">
        <v>99</v>
      </c>
      <c r="D38" s="328"/>
      <c r="E38" s="328"/>
      <c r="F38" s="328"/>
      <c r="G38" s="328"/>
      <c r="H38" s="328"/>
      <c r="I38" s="328"/>
      <c r="J38" s="328"/>
      <c r="K38" s="1947"/>
      <c r="L38" s="328"/>
      <c r="M38" s="160"/>
      <c r="N38" s="3931" t="s">
        <v>264</v>
      </c>
      <c r="O38" s="1200" t="s">
        <v>350</v>
      </c>
    </row>
    <row r="39" spans="1:15" s="1200" customFormat="1" ht="12" customHeight="1">
      <c r="A39" s="3901"/>
      <c r="B39" s="492" t="s">
        <v>9</v>
      </c>
      <c r="C39" s="1121"/>
      <c r="D39" s="2498">
        <f t="shared" ref="D39:H39" si="32">+D40+D49</f>
        <v>1304492</v>
      </c>
      <c r="E39" s="2498">
        <f t="shared" si="32"/>
        <v>332221</v>
      </c>
      <c r="F39" s="2498">
        <f t="shared" si="32"/>
        <v>283658</v>
      </c>
      <c r="G39" s="2498">
        <f t="shared" si="32"/>
        <v>288743</v>
      </c>
      <c r="H39" s="2498">
        <f t="shared" si="32"/>
        <v>399870</v>
      </c>
      <c r="I39" s="2499">
        <v>0</v>
      </c>
      <c r="J39" s="2498"/>
      <c r="K39" s="2498"/>
      <c r="L39" s="2498">
        <f>+L40+L49</f>
        <v>0</v>
      </c>
      <c r="M39" s="2500">
        <f>+M40+M49</f>
        <v>688613</v>
      </c>
      <c r="N39" s="3932"/>
      <c r="O39" s="266"/>
    </row>
    <row r="40" spans="1:15" s="1200" customFormat="1" ht="12" customHeight="1">
      <c r="A40" s="3901"/>
      <c r="B40" s="470" t="s">
        <v>22</v>
      </c>
      <c r="C40" s="3599" t="s">
        <v>138</v>
      </c>
      <c r="D40" s="1122">
        <f>+D41+D45</f>
        <v>199543</v>
      </c>
      <c r="E40" s="1122">
        <f>+E41+E45</f>
        <v>52506</v>
      </c>
      <c r="F40" s="1122">
        <f t="shared" ref="F40:H40" si="33">+F41+F45</f>
        <v>41747</v>
      </c>
      <c r="G40" s="1122">
        <f t="shared" si="33"/>
        <v>43646</v>
      </c>
      <c r="H40" s="1122">
        <f t="shared" si="33"/>
        <v>61644</v>
      </c>
      <c r="I40" s="1600">
        <v>0</v>
      </c>
      <c r="J40" s="1122"/>
      <c r="K40" s="1122"/>
      <c r="L40" s="1122">
        <f>+L41+L45</f>
        <v>0</v>
      </c>
      <c r="M40" s="1123">
        <f>+M41+M45</f>
        <v>105290</v>
      </c>
      <c r="N40" s="3932"/>
    </row>
    <row r="41" spans="1:15" s="1200" customFormat="1" ht="12" customHeight="1">
      <c r="A41" s="3901"/>
      <c r="B41" s="146" t="s">
        <v>11</v>
      </c>
      <c r="C41" s="3934"/>
      <c r="D41" s="1113">
        <f>E41+L41+F41+G41+H41+I41+J41+K41</f>
        <v>69549</v>
      </c>
      <c r="E41" s="1124">
        <f>+E43+E44</f>
        <v>19598</v>
      </c>
      <c r="F41" s="1601">
        <f t="shared" ref="F41:H41" si="34">+F43+F44</f>
        <v>13959</v>
      </c>
      <c r="G41" s="1601">
        <f t="shared" si="34"/>
        <v>14814</v>
      </c>
      <c r="H41" s="1601">
        <f t="shared" si="34"/>
        <v>21178</v>
      </c>
      <c r="I41" s="1602">
        <v>0</v>
      </c>
      <c r="J41" s="348"/>
      <c r="K41" s="348"/>
      <c r="L41" s="1601">
        <f>+L43+L44</f>
        <v>0</v>
      </c>
      <c r="M41" s="524">
        <f>SUM(G41:K41)</f>
        <v>35992</v>
      </c>
      <c r="N41" s="3932"/>
    </row>
    <row r="42" spans="1:15" s="1200" customFormat="1" ht="12" hidden="1" customHeight="1">
      <c r="A42" s="3901"/>
      <c r="B42" s="146" t="s">
        <v>139</v>
      </c>
      <c r="C42" s="3934"/>
      <c r="D42" s="1113"/>
      <c r="E42" s="1124"/>
      <c r="F42" s="1601"/>
      <c r="G42" s="1601"/>
      <c r="H42" s="1601"/>
      <c r="I42" s="1602"/>
      <c r="J42" s="348"/>
      <c r="K42" s="348"/>
      <c r="L42" s="1601"/>
      <c r="M42" s="1123"/>
      <c r="N42" s="3932"/>
    </row>
    <row r="43" spans="1:15" s="1200" customFormat="1" ht="12" hidden="1" customHeight="1">
      <c r="A43" s="3901"/>
      <c r="B43" s="1583" t="s">
        <v>245</v>
      </c>
      <c r="C43" s="3934"/>
      <c r="D43" s="1113">
        <f>E43+L43+F43+G43+H43+I43+J43+K43</f>
        <v>43007</v>
      </c>
      <c r="E43" s="1124">
        <f>3610+217+9123</f>
        <v>12950</v>
      </c>
      <c r="F43" s="1125">
        <f>9240+555+674-364</f>
        <v>10105</v>
      </c>
      <c r="G43" s="147">
        <f>9240+555+362</f>
        <v>10157</v>
      </c>
      <c r="H43" s="147">
        <f>9240+555</f>
        <v>9795</v>
      </c>
      <c r="I43" s="1602">
        <v>0</v>
      </c>
      <c r="J43" s="348"/>
      <c r="K43" s="348"/>
      <c r="L43" s="1125">
        <v>0</v>
      </c>
      <c r="M43" s="524">
        <f>SUM(F43:K43)</f>
        <v>30057</v>
      </c>
      <c r="N43" s="3932"/>
    </row>
    <row r="44" spans="1:15" s="1200" customFormat="1" ht="12" hidden="1" customHeight="1">
      <c r="A44" s="3901"/>
      <c r="B44" s="739" t="s">
        <v>100</v>
      </c>
      <c r="C44" s="3934"/>
      <c r="D44" s="1113">
        <f>E44+L44+F44+G44+H44+I44+J44+K44</f>
        <v>26542</v>
      </c>
      <c r="E44" s="1124">
        <f>286+90+540+5732</f>
        <v>6648</v>
      </c>
      <c r="F44" s="1601">
        <f>4474-555+9675-9740</f>
        <v>3854</v>
      </c>
      <c r="G44" s="1601">
        <f>4474-555+738</f>
        <v>4657</v>
      </c>
      <c r="H44" s="1601">
        <f>4364-555+7574</f>
        <v>11383</v>
      </c>
      <c r="I44" s="2501">
        <v>0</v>
      </c>
      <c r="J44" s="1601"/>
      <c r="K44" s="1601"/>
      <c r="L44" s="1601">
        <v>0</v>
      </c>
      <c r="M44" s="524">
        <f>SUM(F44:K44)</f>
        <v>19894</v>
      </c>
      <c r="N44" s="3932"/>
    </row>
    <row r="45" spans="1:15" s="2846" customFormat="1">
      <c r="A45" s="3901"/>
      <c r="B45" s="2502" t="s">
        <v>12</v>
      </c>
      <c r="C45" s="3934"/>
      <c r="D45" s="1113">
        <f>+E45+L45+F45+G45+H45</f>
        <v>129994</v>
      </c>
      <c r="E45" s="2503">
        <f>+E47+E48</f>
        <v>32908</v>
      </c>
      <c r="F45" s="2504">
        <f>+F47+F48</f>
        <v>27788</v>
      </c>
      <c r="G45" s="2504">
        <f>+G47+G48</f>
        <v>28832</v>
      </c>
      <c r="H45" s="2504">
        <f>+H47+H48</f>
        <v>40466</v>
      </c>
      <c r="I45" s="2505">
        <v>0</v>
      </c>
      <c r="J45" s="2504"/>
      <c r="K45" s="2504"/>
      <c r="L45" s="2504">
        <f>+L47+L48</f>
        <v>0</v>
      </c>
      <c r="M45" s="524">
        <f>SUM(G45:K45)</f>
        <v>69298</v>
      </c>
      <c r="N45" s="3932"/>
    </row>
    <row r="46" spans="1:15" s="1200" customFormat="1" ht="11.25" hidden="1" customHeight="1">
      <c r="A46" s="3901"/>
      <c r="B46" s="146" t="s">
        <v>139</v>
      </c>
      <c r="C46" s="3934"/>
      <c r="D46" s="1125"/>
      <c r="E46" s="147"/>
      <c r="F46" s="147"/>
      <c r="G46" s="147"/>
      <c r="H46" s="147"/>
      <c r="I46" s="1603"/>
      <c r="J46" s="147"/>
      <c r="K46" s="147"/>
      <c r="L46" s="147"/>
      <c r="M46" s="1126"/>
      <c r="N46" s="3932"/>
    </row>
    <row r="47" spans="1:15" s="1200" customFormat="1" ht="13.5" hidden="1" customHeight="1">
      <c r="A47" s="3901"/>
      <c r="B47" s="1583" t="s">
        <v>245</v>
      </c>
      <c r="C47" s="3934"/>
      <c r="D47" s="1125">
        <f>+E47+L47+F47+G47+H47</f>
        <v>86006</v>
      </c>
      <c r="E47" s="147">
        <f>7221+433+18247</f>
        <v>25901</v>
      </c>
      <c r="F47" s="147">
        <f>18480+1108+1345-733</f>
        <v>20200</v>
      </c>
      <c r="G47" s="147">
        <f>18480+1108+729</f>
        <v>20317</v>
      </c>
      <c r="H47" s="147">
        <f>18480+1108</f>
        <v>19588</v>
      </c>
      <c r="I47" s="1603">
        <v>0</v>
      </c>
      <c r="J47" s="147"/>
      <c r="K47" s="147"/>
      <c r="L47" s="147">
        <v>0</v>
      </c>
      <c r="M47" s="524">
        <f>SUM(F47:K47)</f>
        <v>60105</v>
      </c>
      <c r="N47" s="3932"/>
      <c r="O47" s="266"/>
    </row>
    <row r="48" spans="1:15" s="1200" customFormat="1" hidden="1">
      <c r="A48" s="3901"/>
      <c r="B48" s="2506" t="s">
        <v>100</v>
      </c>
      <c r="C48" s="3934"/>
      <c r="D48" s="1125">
        <f>+E48+L48+F48+G48+H48</f>
        <v>43988</v>
      </c>
      <c r="E48" s="147">
        <f>552+178-57+6334</f>
        <v>7007</v>
      </c>
      <c r="F48" s="147">
        <f>8148-1108+18718-18170</f>
        <v>7588</v>
      </c>
      <c r="G48" s="147">
        <f>8148-1108+1475</f>
        <v>8515</v>
      </c>
      <c r="H48" s="147">
        <f>8148-1108+13838</f>
        <v>20878</v>
      </c>
      <c r="I48" s="1603">
        <v>0</v>
      </c>
      <c r="J48" s="147"/>
      <c r="K48" s="147"/>
      <c r="L48" s="147">
        <v>0</v>
      </c>
      <c r="M48" s="524">
        <f>SUM(F48:K48)</f>
        <v>36981</v>
      </c>
      <c r="N48" s="3932"/>
    </row>
    <row r="49" spans="1:15" s="1200" customFormat="1" ht="12.75" customHeight="1">
      <c r="A49" s="3901"/>
      <c r="B49" s="515" t="s">
        <v>17</v>
      </c>
      <c r="C49" s="3875"/>
      <c r="D49" s="1127">
        <f>+D50</f>
        <v>1104949</v>
      </c>
      <c r="E49" s="1127">
        <f>+E50</f>
        <v>279715</v>
      </c>
      <c r="F49" s="1127">
        <f t="shared" ref="F49:H49" si="35">+F50</f>
        <v>241911</v>
      </c>
      <c r="G49" s="1127">
        <f t="shared" si="35"/>
        <v>245097</v>
      </c>
      <c r="H49" s="1127">
        <f t="shared" si="35"/>
        <v>338226</v>
      </c>
      <c r="I49" s="1128">
        <v>0</v>
      </c>
      <c r="J49" s="1127"/>
      <c r="K49" s="1127"/>
      <c r="L49" s="1127">
        <f>+L50</f>
        <v>0</v>
      </c>
      <c r="M49" s="1123">
        <f>+M50</f>
        <v>583323</v>
      </c>
      <c r="N49" s="3932"/>
    </row>
    <row r="50" spans="1:15" s="1200" customFormat="1" ht="12" customHeight="1">
      <c r="A50" s="3901"/>
      <c r="B50" s="1007" t="s">
        <v>19</v>
      </c>
      <c r="C50" s="3876"/>
      <c r="D50" s="1560">
        <f>E50+L50+F50+G50+H50+I50+J50+K50</f>
        <v>1104949</v>
      </c>
      <c r="E50" s="1124">
        <f>+E52+E53</f>
        <v>279715</v>
      </c>
      <c r="F50" s="2507">
        <f t="shared" ref="F50:H50" si="36">+F52+F53</f>
        <v>241911</v>
      </c>
      <c r="G50" s="2507">
        <f t="shared" si="36"/>
        <v>245097</v>
      </c>
      <c r="H50" s="2507">
        <f t="shared" si="36"/>
        <v>338226</v>
      </c>
      <c r="I50" s="2508">
        <v>0</v>
      </c>
      <c r="J50" s="2507"/>
      <c r="K50" s="2507"/>
      <c r="L50" s="2507">
        <f>+L52+L53</f>
        <v>0</v>
      </c>
      <c r="M50" s="524">
        <f>SUM(G50:K50)</f>
        <v>583323</v>
      </c>
      <c r="N50" s="3932"/>
    </row>
    <row r="51" spans="1:15" s="1200" customFormat="1" ht="12" hidden="1" customHeight="1">
      <c r="A51" s="3901"/>
      <c r="B51" s="1604" t="s">
        <v>139</v>
      </c>
      <c r="C51" s="3340"/>
      <c r="D51" s="147"/>
      <c r="E51" s="1603"/>
      <c r="F51" s="2509"/>
      <c r="G51" s="2509"/>
      <c r="H51" s="2509"/>
      <c r="I51" s="986"/>
      <c r="J51" s="2509"/>
      <c r="K51" s="2509"/>
      <c r="L51" s="2509"/>
      <c r="M51" s="1126"/>
      <c r="N51" s="3932"/>
    </row>
    <row r="52" spans="1:15" s="1200" customFormat="1" ht="12" hidden="1" customHeight="1">
      <c r="A52" s="3901"/>
      <c r="B52" s="1583" t="s">
        <v>245</v>
      </c>
      <c r="C52" s="3340"/>
      <c r="D52" s="147">
        <f>+L52+F52+G52+H52+E52</f>
        <v>731081</v>
      </c>
      <c r="E52" s="1605">
        <f>61378+3683+155101</f>
        <v>220162</v>
      </c>
      <c r="F52" s="1129">
        <f>157080+9425+11439-6257</f>
        <v>171687</v>
      </c>
      <c r="G52" s="1129">
        <f>157080+9425+6222</f>
        <v>172727</v>
      </c>
      <c r="H52" s="1129">
        <f>157080+9425</f>
        <v>166505</v>
      </c>
      <c r="I52" s="1130">
        <v>0</v>
      </c>
      <c r="J52" s="1129"/>
      <c r="K52" s="1129"/>
      <c r="L52" s="1129">
        <v>0</v>
      </c>
      <c r="M52" s="524">
        <f>SUM(F52:K52)</f>
        <v>510919</v>
      </c>
      <c r="N52" s="3932"/>
    </row>
    <row r="53" spans="1:15" s="1200" customFormat="1" ht="12" hidden="1" customHeight="1">
      <c r="A53" s="3901"/>
      <c r="B53" s="2506" t="s">
        <v>100</v>
      </c>
      <c r="C53" s="3340"/>
      <c r="D53" s="1125">
        <f>+L53+F53+G53+H53+E53</f>
        <v>373868</v>
      </c>
      <c r="E53" s="90">
        <f>4689+1516-483+53831</f>
        <v>59553</v>
      </c>
      <c r="F53" s="90">
        <f>69258-9425+159091-148700</f>
        <v>70224</v>
      </c>
      <c r="G53" s="90">
        <f>69258-9425+12537</f>
        <v>72370</v>
      </c>
      <c r="H53" s="90">
        <f>69258-9425+111888</f>
        <v>171721</v>
      </c>
      <c r="I53" s="2510">
        <v>0</v>
      </c>
      <c r="J53" s="90"/>
      <c r="K53" s="90"/>
      <c r="L53" s="90">
        <v>0</v>
      </c>
      <c r="M53" s="524">
        <f>SUM(F53:K53)</f>
        <v>314315</v>
      </c>
      <c r="N53" s="3932"/>
    </row>
    <row r="54" spans="1:15" s="1200" customFormat="1" ht="12" customHeight="1">
      <c r="A54" s="3901"/>
      <c r="B54" s="492" t="s">
        <v>20</v>
      </c>
      <c r="C54" s="1131"/>
      <c r="D54" s="1132">
        <f>+D55+D57</f>
        <v>1234943</v>
      </c>
      <c r="E54" s="1132">
        <f>+E55+E57</f>
        <v>0</v>
      </c>
      <c r="F54" s="1132">
        <f t="shared" ref="F54:I54" si="37">+F55+F57</f>
        <v>312623</v>
      </c>
      <c r="G54" s="1132">
        <f t="shared" si="37"/>
        <v>406664</v>
      </c>
      <c r="H54" s="1132">
        <f t="shared" si="37"/>
        <v>326311</v>
      </c>
      <c r="I54" s="1132">
        <f t="shared" si="37"/>
        <v>189345</v>
      </c>
      <c r="J54" s="1132"/>
      <c r="K54" s="1132"/>
      <c r="L54" s="1132">
        <f>+L55+L57</f>
        <v>0</v>
      </c>
      <c r="M54" s="3690" t="s">
        <v>52</v>
      </c>
      <c r="N54" s="3932"/>
      <c r="O54" s="266">
        <f>F54-'[1]Tab. 6E - Administracja'!$G$54</f>
        <v>-319792</v>
      </c>
    </row>
    <row r="55" spans="1:15" s="1200" customFormat="1" ht="12" customHeight="1">
      <c r="A55" s="3901"/>
      <c r="B55" s="1133" t="s">
        <v>22</v>
      </c>
      <c r="C55" s="3599" t="s">
        <v>138</v>
      </c>
      <c r="D55" s="1122">
        <f>+D56</f>
        <v>129994</v>
      </c>
      <c r="E55" s="1122">
        <f>+E56</f>
        <v>0</v>
      </c>
      <c r="F55" s="1122">
        <f t="shared" ref="F55:I55" si="38">+F56</f>
        <v>32908</v>
      </c>
      <c r="G55" s="1122">
        <f t="shared" si="38"/>
        <v>42204</v>
      </c>
      <c r="H55" s="1122">
        <f t="shared" si="38"/>
        <v>34649</v>
      </c>
      <c r="I55" s="1122">
        <f t="shared" si="38"/>
        <v>20233</v>
      </c>
      <c r="J55" s="1122"/>
      <c r="K55" s="1122"/>
      <c r="L55" s="1122">
        <f>+L56</f>
        <v>0</v>
      </c>
      <c r="M55" s="3700"/>
      <c r="N55" s="3932"/>
    </row>
    <row r="56" spans="1:15" s="1200" customFormat="1" ht="12" customHeight="1">
      <c r="A56" s="3901"/>
      <c r="B56" s="150" t="s">
        <v>12</v>
      </c>
      <c r="C56" s="3934"/>
      <c r="D56" s="1113">
        <f>E56+L56+F56+G56+H56+I56+J56+K56</f>
        <v>129994</v>
      </c>
      <c r="E56" s="1124">
        <v>0</v>
      </c>
      <c r="F56" s="1134">
        <f>58798+7773-10078-23585</f>
        <v>32908</v>
      </c>
      <c r="G56" s="1134">
        <f>26628+10093+5483</f>
        <v>42204</v>
      </c>
      <c r="H56" s="1134">
        <f>26628+8021</f>
        <v>34649</v>
      </c>
      <c r="I56" s="1134">
        <f>13314+6919</f>
        <v>20233</v>
      </c>
      <c r="J56" s="1134"/>
      <c r="K56" s="1134"/>
      <c r="L56" s="1134">
        <v>0</v>
      </c>
      <c r="M56" s="3700"/>
      <c r="N56" s="3932"/>
    </row>
    <row r="57" spans="1:15" s="1200" customFormat="1" ht="12" customHeight="1">
      <c r="A57" s="3901"/>
      <c r="B57" s="1135" t="s">
        <v>17</v>
      </c>
      <c r="C57" s="3875"/>
      <c r="D57" s="1127">
        <f>+D58</f>
        <v>1104949</v>
      </c>
      <c r="E57" s="1127">
        <f>+E58</f>
        <v>0</v>
      </c>
      <c r="F57" s="1127">
        <f t="shared" ref="F57:I57" si="39">+F58</f>
        <v>279715</v>
      </c>
      <c r="G57" s="1127">
        <f t="shared" si="39"/>
        <v>364460</v>
      </c>
      <c r="H57" s="1127">
        <f t="shared" si="39"/>
        <v>291662</v>
      </c>
      <c r="I57" s="1127">
        <f t="shared" si="39"/>
        <v>169112</v>
      </c>
      <c r="J57" s="1127"/>
      <c r="K57" s="1127"/>
      <c r="L57" s="1127">
        <f>+L58</f>
        <v>0</v>
      </c>
      <c r="M57" s="3700"/>
      <c r="N57" s="3932"/>
    </row>
    <row r="58" spans="1:15" s="1200" customFormat="1" ht="12" customHeight="1" thickBot="1">
      <c r="A58" s="3902"/>
      <c r="B58" s="297" t="s">
        <v>19</v>
      </c>
      <c r="C58" s="3907"/>
      <c r="D58" s="719">
        <f>E58+L58+F58+G58+H58+I58+J58+K58</f>
        <v>1104949</v>
      </c>
      <c r="E58" s="1136">
        <v>0</v>
      </c>
      <c r="F58" s="488">
        <f>499777+66067-85652-200477</f>
        <v>279715</v>
      </c>
      <c r="G58" s="488">
        <f>226338+85781+52341</f>
        <v>364460</v>
      </c>
      <c r="H58" s="488">
        <f>226338+65324</f>
        <v>291662</v>
      </c>
      <c r="I58" s="488">
        <f>113169+55943</f>
        <v>169112</v>
      </c>
      <c r="J58" s="488"/>
      <c r="K58" s="488"/>
      <c r="L58" s="488">
        <f>66067-66067</f>
        <v>0</v>
      </c>
      <c r="M58" s="3701"/>
      <c r="N58" s="3933"/>
    </row>
    <row r="59" spans="1:15" s="1200" customFormat="1" ht="27" customHeight="1">
      <c r="A59" s="3900" t="s">
        <v>56</v>
      </c>
      <c r="B59" s="143" t="s">
        <v>353</v>
      </c>
      <c r="C59" s="144" t="s">
        <v>72</v>
      </c>
      <c r="D59" s="160"/>
      <c r="E59" s="159"/>
      <c r="F59" s="159"/>
      <c r="G59" s="159"/>
      <c r="H59" s="159"/>
      <c r="I59" s="159"/>
      <c r="J59" s="159"/>
      <c r="K59" s="219"/>
      <c r="L59" s="159"/>
      <c r="M59" s="291"/>
      <c r="N59" s="3931" t="s">
        <v>100</v>
      </c>
      <c r="O59" s="1200" t="s">
        <v>350</v>
      </c>
    </row>
    <row r="60" spans="1:15" s="1200" customFormat="1" ht="12" customHeight="1">
      <c r="A60" s="3901"/>
      <c r="B60" s="492" t="s">
        <v>9</v>
      </c>
      <c r="C60" s="1121"/>
      <c r="D60" s="1132">
        <f>+D61+D64</f>
        <v>12448</v>
      </c>
      <c r="E60" s="1132">
        <f t="shared" ref="E60" si="40">+E61+E64</f>
        <v>12448</v>
      </c>
      <c r="F60" s="1224">
        <f t="shared" ref="F60:H60" si="41">+F61+F64</f>
        <v>0</v>
      </c>
      <c r="G60" s="1224">
        <f t="shared" si="41"/>
        <v>0</v>
      </c>
      <c r="H60" s="1224">
        <f t="shared" si="41"/>
        <v>0</v>
      </c>
      <c r="I60" s="1132"/>
      <c r="J60" s="1132"/>
      <c r="K60" s="1132"/>
      <c r="L60" s="1132">
        <f>+L61+L64</f>
        <v>0</v>
      </c>
      <c r="M60" s="1225">
        <f>M61+M64</f>
        <v>0</v>
      </c>
      <c r="N60" s="3932"/>
      <c r="O60" s="266"/>
    </row>
    <row r="61" spans="1:15" s="1200" customFormat="1" ht="12" customHeight="1">
      <c r="A61" s="3901"/>
      <c r="B61" s="470" t="s">
        <v>22</v>
      </c>
      <c r="C61" s="3905" t="s">
        <v>138</v>
      </c>
      <c r="D61" s="1122">
        <f>+D62+D63</f>
        <v>1867</v>
      </c>
      <c r="E61" s="1122">
        <f>+E62+E63</f>
        <v>1867</v>
      </c>
      <c r="F61" s="1600">
        <f t="shared" ref="F61:G61" si="42">+F63</f>
        <v>0</v>
      </c>
      <c r="G61" s="1600">
        <f t="shared" si="42"/>
        <v>0</v>
      </c>
      <c r="H61" s="1600">
        <f>+H63</f>
        <v>0</v>
      </c>
      <c r="I61" s="1122"/>
      <c r="J61" s="1122"/>
      <c r="K61" s="1122"/>
      <c r="L61" s="1122">
        <f>+L62+L63</f>
        <v>0</v>
      </c>
      <c r="M61" s="1123">
        <f>+M62+M63</f>
        <v>0</v>
      </c>
      <c r="N61" s="3932"/>
    </row>
    <row r="62" spans="1:15" s="1200" customFormat="1" ht="12" customHeight="1">
      <c r="A62" s="3901"/>
      <c r="B62" s="146" t="s">
        <v>11</v>
      </c>
      <c r="C62" s="3934"/>
      <c r="D62" s="724">
        <f>E62+L62+F62+G62+H62+I62+J62+K62</f>
        <v>622</v>
      </c>
      <c r="E62" s="1601">
        <f>630-8</f>
        <v>622</v>
      </c>
      <c r="F62" s="1602">
        <v>0</v>
      </c>
      <c r="G62" s="1602">
        <v>0</v>
      </c>
      <c r="H62" s="1602">
        <v>0</v>
      </c>
      <c r="I62" s="348"/>
      <c r="J62" s="348"/>
      <c r="K62" s="348"/>
      <c r="L62" s="1601"/>
      <c r="M62" s="524">
        <f>SUM(G62:K62)</f>
        <v>0</v>
      </c>
      <c r="N62" s="3932"/>
    </row>
    <row r="63" spans="1:15" s="1200" customFormat="1" ht="12" customHeight="1">
      <c r="A63" s="3901"/>
      <c r="B63" s="146" t="s">
        <v>12</v>
      </c>
      <c r="C63" s="3875"/>
      <c r="D63" s="724">
        <f>E63+L63+F63+G63+H63+I63+J63+K63</f>
        <v>1245</v>
      </c>
      <c r="E63" s="147">
        <f>1260-15</f>
        <v>1245</v>
      </c>
      <c r="F63" s="1603">
        <v>0</v>
      </c>
      <c r="G63" s="1603">
        <v>0</v>
      </c>
      <c r="H63" s="1603">
        <v>0</v>
      </c>
      <c r="I63" s="147"/>
      <c r="J63" s="147"/>
      <c r="K63" s="147"/>
      <c r="L63" s="147"/>
      <c r="M63" s="524">
        <f>SUM(G63:K63)</f>
        <v>0</v>
      </c>
      <c r="N63" s="3932"/>
      <c r="O63" s="266">
        <f>D63-D68</f>
        <v>0</v>
      </c>
    </row>
    <row r="64" spans="1:15" s="1200" customFormat="1" ht="12" customHeight="1">
      <c r="A64" s="3901"/>
      <c r="B64" s="515" t="s">
        <v>17</v>
      </c>
      <c r="C64" s="3875"/>
      <c r="D64" s="1127">
        <f t="shared" ref="D64:H64" si="43">D65</f>
        <v>10581</v>
      </c>
      <c r="E64" s="1127">
        <f t="shared" si="43"/>
        <v>10581</v>
      </c>
      <c r="F64" s="1128">
        <f t="shared" si="43"/>
        <v>0</v>
      </c>
      <c r="G64" s="1128">
        <f t="shared" si="43"/>
        <v>0</v>
      </c>
      <c r="H64" s="1128">
        <f t="shared" si="43"/>
        <v>0</v>
      </c>
      <c r="I64" s="1127"/>
      <c r="J64" s="1127"/>
      <c r="K64" s="1127"/>
      <c r="L64" s="1127">
        <f>L65</f>
        <v>0</v>
      </c>
      <c r="M64" s="1606">
        <f>+M65</f>
        <v>0</v>
      </c>
      <c r="N64" s="3932"/>
    </row>
    <row r="65" spans="1:15" s="1200" customFormat="1">
      <c r="A65" s="3901"/>
      <c r="B65" s="516" t="s">
        <v>19</v>
      </c>
      <c r="C65" s="3876"/>
      <c r="D65" s="724">
        <f>E65+L65+F65+G65+H65+I65+J65+K65</f>
        <v>10581</v>
      </c>
      <c r="E65" s="110">
        <f>10710-129</f>
        <v>10581</v>
      </c>
      <c r="F65" s="1607">
        <v>0</v>
      </c>
      <c r="G65" s="1607">
        <v>0</v>
      </c>
      <c r="H65" s="1607">
        <v>0</v>
      </c>
      <c r="I65" s="110"/>
      <c r="J65" s="110"/>
      <c r="K65" s="110"/>
      <c r="L65" s="110"/>
      <c r="M65" s="524">
        <f>SUM(G65:K65)</f>
        <v>0</v>
      </c>
      <c r="N65" s="3932"/>
    </row>
    <row r="66" spans="1:15" s="1200" customFormat="1" ht="12" customHeight="1">
      <c r="A66" s="3430"/>
      <c r="B66" s="492" t="s">
        <v>20</v>
      </c>
      <c r="C66" s="1608"/>
      <c r="D66" s="1132">
        <f>+D67+D69</f>
        <v>11826</v>
      </c>
      <c r="E66" s="1132">
        <f t="shared" ref="E66" si="44">E67+E69</f>
        <v>0</v>
      </c>
      <c r="F66" s="1132">
        <f t="shared" ref="F66:H66" si="45">F67+F69</f>
        <v>11826</v>
      </c>
      <c r="G66" s="1224">
        <f t="shared" si="45"/>
        <v>0</v>
      </c>
      <c r="H66" s="1224">
        <f t="shared" si="45"/>
        <v>0</v>
      </c>
      <c r="I66" s="1132"/>
      <c r="J66" s="1132"/>
      <c r="K66" s="1132"/>
      <c r="L66" s="1224">
        <f>L67+L69</f>
        <v>0</v>
      </c>
      <c r="M66" s="3893" t="s">
        <v>52</v>
      </c>
      <c r="N66" s="3932"/>
      <c r="O66" s="266">
        <f>F66-'[1]Tab. 6E - Administracja'!$G$66</f>
        <v>-144</v>
      </c>
    </row>
    <row r="67" spans="1:15" s="1200" customFormat="1" ht="12" customHeight="1">
      <c r="A67" s="3430"/>
      <c r="B67" s="1226" t="s">
        <v>22</v>
      </c>
      <c r="C67" s="3905" t="s">
        <v>138</v>
      </c>
      <c r="D67" s="1122">
        <f t="shared" ref="D67:H67" si="46">D68</f>
        <v>1245</v>
      </c>
      <c r="E67" s="1122">
        <f t="shared" si="46"/>
        <v>0</v>
      </c>
      <c r="F67" s="1122">
        <f t="shared" si="46"/>
        <v>1245</v>
      </c>
      <c r="G67" s="1600">
        <f t="shared" si="46"/>
        <v>0</v>
      </c>
      <c r="H67" s="1600">
        <f t="shared" si="46"/>
        <v>0</v>
      </c>
      <c r="I67" s="1122"/>
      <c r="J67" s="1122"/>
      <c r="K67" s="1122"/>
      <c r="L67" s="1600">
        <f>L68</f>
        <v>0</v>
      </c>
      <c r="M67" s="3700"/>
      <c r="N67" s="3932"/>
    </row>
    <row r="68" spans="1:15" s="1200" customFormat="1" ht="10.5" customHeight="1">
      <c r="A68" s="3430"/>
      <c r="B68" s="150" t="s">
        <v>12</v>
      </c>
      <c r="C68" s="3875"/>
      <c r="D68" s="724">
        <f>E68+L68+F68+G68+H68+I68+J68+K68</f>
        <v>1245</v>
      </c>
      <c r="E68" s="1124">
        <v>0</v>
      </c>
      <c r="F68" s="1134">
        <f>1260-15</f>
        <v>1245</v>
      </c>
      <c r="G68" s="1609">
        <v>0</v>
      </c>
      <c r="H68" s="1609">
        <v>0</v>
      </c>
      <c r="I68" s="1134"/>
      <c r="J68" s="1134"/>
      <c r="K68" s="1134"/>
      <c r="L68" s="1609">
        <v>0</v>
      </c>
      <c r="M68" s="3700"/>
      <c r="N68" s="3932"/>
    </row>
    <row r="69" spans="1:15" s="1200" customFormat="1" ht="12" customHeight="1">
      <c r="A69" s="3430"/>
      <c r="B69" s="1610" t="s">
        <v>17</v>
      </c>
      <c r="C69" s="3875"/>
      <c r="D69" s="1127">
        <f t="shared" ref="D69:H69" si="47">D70</f>
        <v>10581</v>
      </c>
      <c r="E69" s="1127">
        <f t="shared" si="47"/>
        <v>0</v>
      </c>
      <c r="F69" s="1127">
        <f t="shared" si="47"/>
        <v>10581</v>
      </c>
      <c r="G69" s="1128">
        <f t="shared" si="47"/>
        <v>0</v>
      </c>
      <c r="H69" s="1128">
        <f t="shared" si="47"/>
        <v>0</v>
      </c>
      <c r="I69" s="1127"/>
      <c r="J69" s="1127"/>
      <c r="K69" s="1127"/>
      <c r="L69" s="1128">
        <f>L70</f>
        <v>0</v>
      </c>
      <c r="M69" s="3700"/>
      <c r="N69" s="3932"/>
    </row>
    <row r="70" spans="1:15" s="1200" customFormat="1" ht="12" customHeight="1" thickBot="1">
      <c r="A70" s="3431"/>
      <c r="B70" s="297" t="s">
        <v>19</v>
      </c>
      <c r="C70" s="3907"/>
      <c r="D70" s="719">
        <f>E70+L70+F70+G70+H70+I70+J70+K70</f>
        <v>10581</v>
      </c>
      <c r="E70" s="1136">
        <v>0</v>
      </c>
      <c r="F70" s="488">
        <f>10710-129</f>
        <v>10581</v>
      </c>
      <c r="G70" s="1223">
        <v>0</v>
      </c>
      <c r="H70" s="1223">
        <v>0</v>
      </c>
      <c r="I70" s="488"/>
      <c r="J70" s="488"/>
      <c r="K70" s="488"/>
      <c r="L70" s="1223">
        <v>0</v>
      </c>
      <c r="M70" s="3701"/>
      <c r="N70" s="3933"/>
    </row>
    <row r="71" spans="1:15" s="1200" customFormat="1" ht="36.75" customHeight="1">
      <c r="A71" s="3900" t="s">
        <v>57</v>
      </c>
      <c r="B71" s="143" t="s">
        <v>219</v>
      </c>
      <c r="C71" s="144" t="s">
        <v>99</v>
      </c>
      <c r="D71" s="160"/>
      <c r="E71" s="159"/>
      <c r="F71" s="159"/>
      <c r="G71" s="159"/>
      <c r="H71" s="159"/>
      <c r="I71" s="159"/>
      <c r="J71" s="159"/>
      <c r="K71" s="219"/>
      <c r="L71" s="328"/>
      <c r="M71" s="291"/>
      <c r="N71" s="3909" t="s">
        <v>323</v>
      </c>
    </row>
    <row r="72" spans="1:15" s="1200" customFormat="1" ht="14.25" customHeight="1">
      <c r="A72" s="3901"/>
      <c r="B72" s="492" t="s">
        <v>9</v>
      </c>
      <c r="C72" s="521"/>
      <c r="D72" s="725">
        <f>+D73+D75</f>
        <v>8902458</v>
      </c>
      <c r="E72" s="725">
        <f t="shared" ref="E72" si="48">+E73+E75</f>
        <v>4108690</v>
      </c>
      <c r="F72" s="725">
        <f>+F73+F75</f>
        <v>1893768</v>
      </c>
      <c r="G72" s="725">
        <f>+G73+G75</f>
        <v>1500000</v>
      </c>
      <c r="H72" s="725">
        <f>+H73+H75</f>
        <v>1400000</v>
      </c>
      <c r="I72" s="725"/>
      <c r="J72" s="725"/>
      <c r="K72" s="725"/>
      <c r="L72" s="725">
        <f>+L73+L75</f>
        <v>0</v>
      </c>
      <c r="M72" s="726">
        <f>M73+M75</f>
        <v>2900000</v>
      </c>
      <c r="N72" s="3896"/>
    </row>
    <row r="73" spans="1:15" s="1200" customFormat="1">
      <c r="A73" s="3901"/>
      <c r="B73" s="470" t="s">
        <v>22</v>
      </c>
      <c r="C73" s="3905" t="s">
        <v>168</v>
      </c>
      <c r="D73" s="727">
        <f>+D74</f>
        <v>1335368</v>
      </c>
      <c r="E73" s="727">
        <f t="shared" ref="E73:H73" si="49">+E74</f>
        <v>616303</v>
      </c>
      <c r="F73" s="727">
        <f t="shared" si="49"/>
        <v>284065</v>
      </c>
      <c r="G73" s="727">
        <f t="shared" si="49"/>
        <v>225000</v>
      </c>
      <c r="H73" s="727">
        <f t="shared" si="49"/>
        <v>210000</v>
      </c>
      <c r="I73" s="727"/>
      <c r="J73" s="727"/>
      <c r="K73" s="727"/>
      <c r="L73" s="727">
        <f>+L74</f>
        <v>0</v>
      </c>
      <c r="M73" s="514">
        <f>+M74</f>
        <v>435000</v>
      </c>
      <c r="N73" s="3896"/>
    </row>
    <row r="74" spans="1:15" s="1200" customFormat="1">
      <c r="A74" s="3901"/>
      <c r="B74" s="146" t="s">
        <v>12</v>
      </c>
      <c r="C74" s="3875"/>
      <c r="D74" s="1152">
        <f>E74+L74+F74+G74+H74+I74+J74+K74</f>
        <v>1335368</v>
      </c>
      <c r="E74" s="1124">
        <f>388354+227949</f>
        <v>616303</v>
      </c>
      <c r="F74" s="147">
        <f>330000-45935</f>
        <v>284065</v>
      </c>
      <c r="G74" s="147">
        <v>225000</v>
      </c>
      <c r="H74" s="147">
        <v>210000</v>
      </c>
      <c r="I74" s="147"/>
      <c r="J74" s="147"/>
      <c r="K74" s="147"/>
      <c r="L74" s="147">
        <v>0</v>
      </c>
      <c r="M74" s="524">
        <f>SUM(G74:K74)</f>
        <v>435000</v>
      </c>
      <c r="N74" s="3896"/>
    </row>
    <row r="75" spans="1:15" s="1200" customFormat="1" ht="12" customHeight="1">
      <c r="A75" s="3901"/>
      <c r="B75" s="515" t="s">
        <v>17</v>
      </c>
      <c r="C75" s="3875"/>
      <c r="D75" s="728">
        <f>+D76</f>
        <v>7567090</v>
      </c>
      <c r="E75" s="728">
        <f t="shared" ref="E75:H75" si="50">E76</f>
        <v>3492387</v>
      </c>
      <c r="F75" s="728">
        <f t="shared" si="50"/>
        <v>1609703</v>
      </c>
      <c r="G75" s="728">
        <f t="shared" si="50"/>
        <v>1275000</v>
      </c>
      <c r="H75" s="728">
        <f t="shared" si="50"/>
        <v>1190000</v>
      </c>
      <c r="I75" s="728"/>
      <c r="J75" s="728"/>
      <c r="K75" s="728"/>
      <c r="L75" s="728">
        <f>L76</f>
        <v>0</v>
      </c>
      <c r="M75" s="514">
        <f>+M76</f>
        <v>2465000</v>
      </c>
      <c r="N75" s="3896"/>
    </row>
    <row r="76" spans="1:15" s="1200" customFormat="1" ht="12" customHeight="1">
      <c r="A76" s="3901"/>
      <c r="B76" s="516" t="s">
        <v>19</v>
      </c>
      <c r="C76" s="3876"/>
      <c r="D76" s="211">
        <f>E76+L76+F76+G76+H76+I76+J76+K76</f>
        <v>7567090</v>
      </c>
      <c r="E76" s="1006">
        <f>2200675+1291712</f>
        <v>3492387</v>
      </c>
      <c r="F76" s="110">
        <f>1870000-260297</f>
        <v>1609703</v>
      </c>
      <c r="G76" s="110">
        <v>1275000</v>
      </c>
      <c r="H76" s="110">
        <v>1190000</v>
      </c>
      <c r="I76" s="110"/>
      <c r="J76" s="110"/>
      <c r="K76" s="110"/>
      <c r="L76" s="110">
        <v>0</v>
      </c>
      <c r="M76" s="524">
        <f>SUM(G76:K76)</f>
        <v>2465000</v>
      </c>
      <c r="N76" s="3896"/>
    </row>
    <row r="77" spans="1:15" s="1200" customFormat="1" ht="14.25" customHeight="1">
      <c r="A77" s="3430"/>
      <c r="B77" s="492" t="s">
        <v>20</v>
      </c>
      <c r="C77" s="517"/>
      <c r="D77" s="725">
        <f>+D78+D80</f>
        <v>8902458</v>
      </c>
      <c r="E77" s="725">
        <f t="shared" ref="E77" si="51">E78+E80</f>
        <v>4108690</v>
      </c>
      <c r="F77" s="725">
        <f>F78+F80</f>
        <v>1893768</v>
      </c>
      <c r="G77" s="493">
        <f>G78+G80</f>
        <v>1500000</v>
      </c>
      <c r="H77" s="725">
        <f>H78+H80</f>
        <v>1400000</v>
      </c>
      <c r="I77" s="725"/>
      <c r="J77" s="725"/>
      <c r="K77" s="725"/>
      <c r="L77" s="725">
        <f>L78+L80</f>
        <v>0</v>
      </c>
      <c r="M77" s="3971" t="s">
        <v>52</v>
      </c>
      <c r="N77" s="3896"/>
      <c r="O77" s="266">
        <f>F77-'[1]Tab. 6E - Administracja'!$G$77</f>
        <v>-306232</v>
      </c>
    </row>
    <row r="78" spans="1:15" s="1200" customFormat="1" ht="13.5" customHeight="1">
      <c r="A78" s="3430"/>
      <c r="B78" s="518" t="s">
        <v>22</v>
      </c>
      <c r="C78" s="3905" t="s">
        <v>168</v>
      </c>
      <c r="D78" s="727">
        <f>+D79</f>
        <v>1335368</v>
      </c>
      <c r="E78" s="727">
        <f t="shared" ref="E78:H78" si="52">E79</f>
        <v>616303</v>
      </c>
      <c r="F78" s="727">
        <f t="shared" si="52"/>
        <v>284065</v>
      </c>
      <c r="G78" s="519">
        <f t="shared" si="52"/>
        <v>225000</v>
      </c>
      <c r="H78" s="727">
        <f t="shared" si="52"/>
        <v>210000</v>
      </c>
      <c r="I78" s="727"/>
      <c r="J78" s="727"/>
      <c r="K78" s="727"/>
      <c r="L78" s="727">
        <f>L79</f>
        <v>0</v>
      </c>
      <c r="M78" s="3700"/>
      <c r="N78" s="3896"/>
    </row>
    <row r="79" spans="1:15" s="1200" customFormat="1" ht="13.5" customHeight="1">
      <c r="A79" s="3430"/>
      <c r="B79" s="150" t="s">
        <v>12</v>
      </c>
      <c r="C79" s="3875"/>
      <c r="D79" s="211">
        <f>E79+L79+F79+G79+H79+I79+J79+K79</f>
        <v>1335368</v>
      </c>
      <c r="E79" s="1006">
        <f>388354+227949</f>
        <v>616303</v>
      </c>
      <c r="F79" s="499">
        <f>330000-45935</f>
        <v>284065</v>
      </c>
      <c r="G79" s="499">
        <v>225000</v>
      </c>
      <c r="H79" s="499">
        <v>210000</v>
      </c>
      <c r="I79" s="499"/>
      <c r="J79" s="499"/>
      <c r="K79" s="499"/>
      <c r="L79" s="499">
        <v>0</v>
      </c>
      <c r="M79" s="3700"/>
      <c r="N79" s="3896"/>
    </row>
    <row r="80" spans="1:15" s="1200" customFormat="1">
      <c r="A80" s="3430"/>
      <c r="B80" s="520" t="s">
        <v>17</v>
      </c>
      <c r="C80" s="3875"/>
      <c r="D80" s="728">
        <f>+D81</f>
        <v>7567090</v>
      </c>
      <c r="E80" s="728">
        <f t="shared" ref="E80:H80" si="53">E81</f>
        <v>3492387</v>
      </c>
      <c r="F80" s="728">
        <f t="shared" si="53"/>
        <v>1609703</v>
      </c>
      <c r="G80" s="501">
        <f t="shared" si="53"/>
        <v>1275000</v>
      </c>
      <c r="H80" s="728">
        <f t="shared" si="53"/>
        <v>1190000</v>
      </c>
      <c r="I80" s="728"/>
      <c r="J80" s="728"/>
      <c r="K80" s="728"/>
      <c r="L80" s="728">
        <f>L81</f>
        <v>0</v>
      </c>
      <c r="M80" s="3700"/>
      <c r="N80" s="3896"/>
    </row>
    <row r="81" spans="1:17" s="1200" customFormat="1" ht="12" customHeight="1" thickBot="1">
      <c r="A81" s="3431"/>
      <c r="B81" s="297" t="s">
        <v>19</v>
      </c>
      <c r="C81" s="3907"/>
      <c r="D81" s="211">
        <f>E81+L81+F81+G81+H81+I81+J81+K81</f>
        <v>7567090</v>
      </c>
      <c r="E81" s="1006">
        <f>2200675+1291712</f>
        <v>3492387</v>
      </c>
      <c r="F81" s="488">
        <f>1870000-260297</f>
        <v>1609703</v>
      </c>
      <c r="G81" s="488">
        <v>1275000</v>
      </c>
      <c r="H81" s="488">
        <v>1190000</v>
      </c>
      <c r="I81" s="488"/>
      <c r="J81" s="488"/>
      <c r="K81" s="488"/>
      <c r="L81" s="488">
        <v>0</v>
      </c>
      <c r="M81" s="3701"/>
      <c r="N81" s="3897"/>
    </row>
    <row r="82" spans="1:17" s="1200" customFormat="1" ht="37.5" customHeight="1">
      <c r="A82" s="3900" t="s">
        <v>58</v>
      </c>
      <c r="B82" s="143" t="s">
        <v>258</v>
      </c>
      <c r="C82" s="144" t="s">
        <v>72</v>
      </c>
      <c r="D82" s="160"/>
      <c r="E82" s="328"/>
      <c r="F82" s="159"/>
      <c r="G82" s="159"/>
      <c r="H82" s="159"/>
      <c r="I82" s="159"/>
      <c r="J82" s="159"/>
      <c r="K82" s="219"/>
      <c r="L82" s="159"/>
      <c r="M82" s="291"/>
      <c r="N82" s="3909" t="s">
        <v>323</v>
      </c>
    </row>
    <row r="83" spans="1:17" s="1200" customFormat="1" ht="12" customHeight="1">
      <c r="A83" s="3901"/>
      <c r="B83" s="17" t="s">
        <v>9</v>
      </c>
      <c r="C83" s="1038"/>
      <c r="D83" s="335">
        <f>+D84+D86</f>
        <v>41857</v>
      </c>
      <c r="E83" s="335">
        <f t="shared" ref="E83" si="54">+E84+E86</f>
        <v>41857</v>
      </c>
      <c r="F83" s="335">
        <f>+F84+F86</f>
        <v>0</v>
      </c>
      <c r="G83" s="335">
        <f>+G84+G86</f>
        <v>0</v>
      </c>
      <c r="H83" s="335">
        <f>+H84+H86</f>
        <v>0</v>
      </c>
      <c r="I83" s="335"/>
      <c r="J83" s="335"/>
      <c r="K83" s="335"/>
      <c r="L83" s="335">
        <f>+L84+L86</f>
        <v>0</v>
      </c>
      <c r="M83" s="2166">
        <f>M84+M86</f>
        <v>0</v>
      </c>
      <c r="N83" s="3915"/>
    </row>
    <row r="84" spans="1:17" s="1200" customFormat="1" ht="12" customHeight="1">
      <c r="A84" s="3901"/>
      <c r="B84" s="145" t="s">
        <v>22</v>
      </c>
      <c r="C84" s="3917" t="s">
        <v>168</v>
      </c>
      <c r="D84" s="336">
        <f>+D85</f>
        <v>6279</v>
      </c>
      <c r="E84" s="336">
        <f t="shared" ref="E84:H84" si="55">+E85</f>
        <v>6279</v>
      </c>
      <c r="F84" s="336">
        <f t="shared" si="55"/>
        <v>0</v>
      </c>
      <c r="G84" s="336">
        <f t="shared" si="55"/>
        <v>0</v>
      </c>
      <c r="H84" s="336">
        <f t="shared" si="55"/>
        <v>0</v>
      </c>
      <c r="I84" s="336"/>
      <c r="J84" s="336"/>
      <c r="K84" s="336"/>
      <c r="L84" s="336">
        <f>+L85</f>
        <v>0</v>
      </c>
      <c r="M84" s="2165">
        <f>+M85</f>
        <v>0</v>
      </c>
      <c r="N84" s="3896"/>
    </row>
    <row r="85" spans="1:17" s="1200" customFormat="1" ht="12" customHeight="1">
      <c r="A85" s="3901"/>
      <c r="B85" s="146" t="s">
        <v>12</v>
      </c>
      <c r="C85" s="3875"/>
      <c r="D85" s="211">
        <f>E85+L85+F85+G85+H85+I85+J85+K85</f>
        <v>6279</v>
      </c>
      <c r="E85" s="1006">
        <f>5706+573</f>
        <v>6279</v>
      </c>
      <c r="F85" s="147">
        <v>0</v>
      </c>
      <c r="G85" s="147">
        <v>0</v>
      </c>
      <c r="H85" s="147">
        <v>0</v>
      </c>
      <c r="I85" s="147"/>
      <c r="J85" s="147"/>
      <c r="K85" s="147"/>
      <c r="L85" s="147">
        <v>0</v>
      </c>
      <c r="M85" s="524">
        <f>SUM(G85:K85)</f>
        <v>0</v>
      </c>
      <c r="N85" s="3896"/>
    </row>
    <row r="86" spans="1:17" s="1200" customFormat="1" ht="12" customHeight="1">
      <c r="A86" s="3901"/>
      <c r="B86" s="69" t="s">
        <v>17</v>
      </c>
      <c r="C86" s="3875"/>
      <c r="D86" s="337">
        <f>D87</f>
        <v>35578</v>
      </c>
      <c r="E86" s="337">
        <f t="shared" ref="E86:H86" si="56">E87</f>
        <v>35578</v>
      </c>
      <c r="F86" s="337">
        <f t="shared" si="56"/>
        <v>0</v>
      </c>
      <c r="G86" s="337">
        <f t="shared" si="56"/>
        <v>0</v>
      </c>
      <c r="H86" s="337">
        <f t="shared" si="56"/>
        <v>0</v>
      </c>
      <c r="I86" s="337"/>
      <c r="J86" s="337"/>
      <c r="K86" s="337"/>
      <c r="L86" s="337">
        <f>L87</f>
        <v>0</v>
      </c>
      <c r="M86" s="2165">
        <f>+M87</f>
        <v>0</v>
      </c>
      <c r="N86" s="3896"/>
    </row>
    <row r="87" spans="1:17" s="1200" customFormat="1" ht="12" customHeight="1">
      <c r="A87" s="3901"/>
      <c r="B87" s="1039" t="s">
        <v>19</v>
      </c>
      <c r="C87" s="3876"/>
      <c r="D87" s="211">
        <f>E87+L87+F87+G87+H87+I87+J87+K87</f>
        <v>35578</v>
      </c>
      <c r="E87" s="1006">
        <f>32332+3246</f>
        <v>35578</v>
      </c>
      <c r="F87" s="110">
        <v>0</v>
      </c>
      <c r="G87" s="110">
        <v>0</v>
      </c>
      <c r="H87" s="110">
        <v>0</v>
      </c>
      <c r="I87" s="110"/>
      <c r="J87" s="110"/>
      <c r="K87" s="110"/>
      <c r="L87" s="110">
        <v>0</v>
      </c>
      <c r="M87" s="524">
        <f>SUM(G87:K87)</f>
        <v>0</v>
      </c>
      <c r="N87" s="3896"/>
    </row>
    <row r="88" spans="1:17" s="1200" customFormat="1" ht="12" customHeight="1">
      <c r="A88" s="3430"/>
      <c r="B88" s="17" t="s">
        <v>20</v>
      </c>
      <c r="C88" s="1040"/>
      <c r="D88" s="335">
        <f>D89+D91</f>
        <v>41857</v>
      </c>
      <c r="E88" s="335">
        <f t="shared" ref="E88" si="57">E89+E91</f>
        <v>41857</v>
      </c>
      <c r="F88" s="335">
        <f>F89+F91</f>
        <v>0</v>
      </c>
      <c r="G88" s="335">
        <f>G89+G91</f>
        <v>0</v>
      </c>
      <c r="H88" s="335">
        <f>H89+H91</f>
        <v>0</v>
      </c>
      <c r="I88" s="335"/>
      <c r="J88" s="335"/>
      <c r="K88" s="335"/>
      <c r="L88" s="335">
        <f>L89+L91</f>
        <v>0</v>
      </c>
      <c r="M88" s="3972" t="s">
        <v>52</v>
      </c>
      <c r="N88" s="3896"/>
      <c r="O88" s="266">
        <f>F88-'[1]Tab. 6E - Administracja'!$G$88</f>
        <v>0</v>
      </c>
    </row>
    <row r="89" spans="1:17" s="1200" customFormat="1" ht="12" customHeight="1" thickBot="1">
      <c r="A89" s="3430"/>
      <c r="B89" s="1041" t="s">
        <v>22</v>
      </c>
      <c r="C89" s="3917" t="s">
        <v>168</v>
      </c>
      <c r="D89" s="336">
        <f>D90</f>
        <v>6279</v>
      </c>
      <c r="E89" s="336">
        <f t="shared" ref="E89:H89" si="58">E90</f>
        <v>6279</v>
      </c>
      <c r="F89" s="336">
        <f t="shared" si="58"/>
        <v>0</v>
      </c>
      <c r="G89" s="336">
        <f t="shared" si="58"/>
        <v>0</v>
      </c>
      <c r="H89" s="336">
        <f t="shared" si="58"/>
        <v>0</v>
      </c>
      <c r="I89" s="336"/>
      <c r="J89" s="336"/>
      <c r="K89" s="336"/>
      <c r="L89" s="336">
        <f>L90</f>
        <v>0</v>
      </c>
      <c r="M89" s="3691"/>
      <c r="N89" s="3897"/>
    </row>
    <row r="90" spans="1:17" s="1200" customFormat="1" ht="12" customHeight="1" thickBot="1">
      <c r="A90" s="3430"/>
      <c r="B90" s="150" t="s">
        <v>12</v>
      </c>
      <c r="C90" s="3875"/>
      <c r="D90" s="211">
        <f>E90+L90+F90+G90+H90+I90+J90+K90</f>
        <v>6279</v>
      </c>
      <c r="E90" s="1006">
        <f>5706+573</f>
        <v>6279</v>
      </c>
      <c r="F90" s="331">
        <v>0</v>
      </c>
      <c r="G90" s="199">
        <v>0</v>
      </c>
      <c r="H90" s="199">
        <v>0</v>
      </c>
      <c r="I90" s="199"/>
      <c r="J90" s="199"/>
      <c r="K90" s="199"/>
      <c r="L90" s="331">
        <v>0</v>
      </c>
      <c r="M90" s="3691"/>
      <c r="N90" s="3894"/>
    </row>
    <row r="91" spans="1:17" s="1200" customFormat="1" ht="12" customHeight="1" thickBot="1">
      <c r="A91" s="3430"/>
      <c r="B91" s="1042" t="s">
        <v>17</v>
      </c>
      <c r="C91" s="3875"/>
      <c r="D91" s="337">
        <f>D92</f>
        <v>35578</v>
      </c>
      <c r="E91" s="337">
        <f t="shared" ref="E91:H91" si="59">E92</f>
        <v>35578</v>
      </c>
      <c r="F91" s="337">
        <f t="shared" si="59"/>
        <v>0</v>
      </c>
      <c r="G91" s="337">
        <f t="shared" si="59"/>
        <v>0</v>
      </c>
      <c r="H91" s="337">
        <f t="shared" si="59"/>
        <v>0</v>
      </c>
      <c r="I91" s="337"/>
      <c r="J91" s="337"/>
      <c r="K91" s="337"/>
      <c r="L91" s="337">
        <f>L92</f>
        <v>0</v>
      </c>
      <c r="M91" s="3691"/>
      <c r="N91" s="3894"/>
    </row>
    <row r="92" spans="1:17" s="1200" customFormat="1" ht="12" customHeight="1" thickBot="1">
      <c r="A92" s="3430"/>
      <c r="B92" s="297" t="s">
        <v>19</v>
      </c>
      <c r="C92" s="3907"/>
      <c r="D92" s="211">
        <f>E92+L92+F92+G92+H92+I92+J92+K92</f>
        <v>35578</v>
      </c>
      <c r="E92" s="1006">
        <f>32332+3246</f>
        <v>35578</v>
      </c>
      <c r="F92" s="151">
        <v>0</v>
      </c>
      <c r="G92" s="91">
        <v>0</v>
      </c>
      <c r="H92" s="91">
        <v>0</v>
      </c>
      <c r="I92" s="91"/>
      <c r="J92" s="91"/>
      <c r="K92" s="91"/>
      <c r="L92" s="151">
        <v>0</v>
      </c>
      <c r="M92" s="3692"/>
      <c r="N92" s="3916"/>
    </row>
    <row r="93" spans="1:17" s="285" customFormat="1" ht="17.25" customHeight="1" thickBot="1">
      <c r="A93" s="3902" t="s">
        <v>105</v>
      </c>
      <c r="B93" s="143" t="s">
        <v>212</v>
      </c>
      <c r="C93" s="144" t="s">
        <v>99</v>
      </c>
      <c r="D93" s="328"/>
      <c r="E93" s="328"/>
      <c r="F93" s="328"/>
      <c r="G93" s="328"/>
      <c r="H93" s="328"/>
      <c r="I93" s="328"/>
      <c r="J93" s="328"/>
      <c r="K93" s="328"/>
      <c r="L93" s="328"/>
      <c r="M93" s="328"/>
      <c r="N93" s="3964" t="s">
        <v>314</v>
      </c>
      <c r="O93" s="987" t="s">
        <v>316</v>
      </c>
      <c r="P93" s="987" t="s">
        <v>317</v>
      </c>
      <c r="Q93" s="290"/>
    </row>
    <row r="94" spans="1:17" s="285" customFormat="1" ht="15.75" customHeight="1" thickBot="1">
      <c r="A94" s="3595"/>
      <c r="B94" s="492" t="s">
        <v>9</v>
      </c>
      <c r="C94" s="1137"/>
      <c r="D94" s="1138">
        <f>+D105+D95</f>
        <v>218512517</v>
      </c>
      <c r="E94" s="1138">
        <f t="shared" ref="E94" si="60">+E105+E95</f>
        <v>50112149</v>
      </c>
      <c r="F94" s="1138">
        <f t="shared" ref="F94:H94" si="61">+F105+F95</f>
        <v>29230111</v>
      </c>
      <c r="G94" s="1138">
        <f t="shared" si="61"/>
        <v>31436000</v>
      </c>
      <c r="H94" s="1138">
        <f t="shared" si="61"/>
        <v>30141855</v>
      </c>
      <c r="I94" s="1138">
        <f>+I105+I95</f>
        <v>26657062</v>
      </c>
      <c r="J94" s="1138">
        <f>+J105+J95</f>
        <v>25562887</v>
      </c>
      <c r="K94" s="1138">
        <f>+K105+K95</f>
        <v>25372453</v>
      </c>
      <c r="L94" s="1138">
        <f>+L105+L95</f>
        <v>0</v>
      </c>
      <c r="M94" s="1139">
        <f>+M105+M95</f>
        <v>138806469</v>
      </c>
      <c r="N94" s="3965"/>
      <c r="O94" s="989">
        <f>+O95+O105</f>
        <v>24456849</v>
      </c>
      <c r="P94" s="988"/>
    </row>
    <row r="95" spans="1:17" s="273" customFormat="1" ht="15.75" customHeight="1" thickBot="1">
      <c r="A95" s="3595"/>
      <c r="B95" s="470" t="s">
        <v>22</v>
      </c>
      <c r="C95" s="3960" t="s">
        <v>312</v>
      </c>
      <c r="D95" s="1140">
        <f>D96+D102</f>
        <v>35857730</v>
      </c>
      <c r="E95" s="1140">
        <f t="shared" ref="E95" si="62">E96+E102</f>
        <v>9566334</v>
      </c>
      <c r="F95" s="1140">
        <f t="shared" ref="F95:H95" si="63">F96+F102</f>
        <v>5221314</v>
      </c>
      <c r="G95" s="1140">
        <f t="shared" si="63"/>
        <v>5236646</v>
      </c>
      <c r="H95" s="1140">
        <f t="shared" si="63"/>
        <v>5179550</v>
      </c>
      <c r="I95" s="1140">
        <f>I96+I102</f>
        <v>4487384</v>
      </c>
      <c r="J95" s="1140">
        <f>J96+J102</f>
        <v>3052528</v>
      </c>
      <c r="K95" s="1140">
        <f>K96+K102</f>
        <v>3113974</v>
      </c>
      <c r="L95" s="1140">
        <f>L96+L102</f>
        <v>0</v>
      </c>
      <c r="M95" s="1141">
        <f>M96+M102</f>
        <v>20706294</v>
      </c>
      <c r="N95" s="3965"/>
      <c r="O95" s="991">
        <f>+O96+O102</f>
        <v>2983757</v>
      </c>
      <c r="P95" s="990"/>
    </row>
    <row r="96" spans="1:17" s="285" customFormat="1" ht="12.75" customHeight="1" thickBot="1">
      <c r="A96" s="3595"/>
      <c r="B96" s="2187" t="s">
        <v>11</v>
      </c>
      <c r="C96" s="3875"/>
      <c r="D96" s="1152">
        <f t="shared" ref="D96:D104" si="64">E96+L96+F96+G96+H96+I96+J96+K96</f>
        <v>34772869</v>
      </c>
      <c r="E96" s="1673">
        <f>+E98+E99+E100+E101</f>
        <v>8907379</v>
      </c>
      <c r="F96" s="1142">
        <f t="shared" ref="F96:K96" si="65">+F98+F99+F100+F101</f>
        <v>5159196</v>
      </c>
      <c r="G96" s="1142">
        <f t="shared" si="65"/>
        <v>5142378</v>
      </c>
      <c r="H96" s="1142">
        <f t="shared" si="65"/>
        <v>5102085</v>
      </c>
      <c r="I96" s="1142">
        <f t="shared" si="65"/>
        <v>4423365</v>
      </c>
      <c r="J96" s="1142">
        <f t="shared" si="65"/>
        <v>2988510</v>
      </c>
      <c r="K96" s="1142">
        <f t="shared" si="65"/>
        <v>3049956</v>
      </c>
      <c r="L96" s="1142">
        <f>+L98+L99+L100+L101</f>
        <v>0</v>
      </c>
      <c r="M96" s="524">
        <f>SUM(G96:K96)</f>
        <v>20706294</v>
      </c>
      <c r="N96" s="3966"/>
      <c r="O96" s="2847">
        <v>2627754</v>
      </c>
      <c r="P96" s="2848"/>
    </row>
    <row r="97" spans="1:19" s="285" customFormat="1" ht="12.75" hidden="1" customHeight="1" thickBot="1">
      <c r="A97" s="3595"/>
      <c r="B97" s="2188" t="s">
        <v>139</v>
      </c>
      <c r="C97" s="3875"/>
      <c r="D97" s="2182">
        <f t="shared" si="64"/>
        <v>0</v>
      </c>
      <c r="E97" s="2197"/>
      <c r="F97" s="1143"/>
      <c r="G97" s="1143"/>
      <c r="H97" s="1143"/>
      <c r="I97" s="1143"/>
      <c r="J97" s="1143"/>
      <c r="K97" s="1143"/>
      <c r="L97" s="1143"/>
      <c r="M97" s="1144"/>
      <c r="N97" s="3967"/>
      <c r="O97" s="2847"/>
      <c r="P97" s="2848"/>
    </row>
    <row r="98" spans="1:19" s="285" customFormat="1" ht="12.75" hidden="1" customHeight="1">
      <c r="A98" s="3900"/>
      <c r="B98" s="2189" t="s">
        <v>140</v>
      </c>
      <c r="C98" s="3875"/>
      <c r="D98" s="2182">
        <f t="shared" si="64"/>
        <v>10377743</v>
      </c>
      <c r="E98" s="2198">
        <f>2627754+3999921</f>
        <v>6627675</v>
      </c>
      <c r="F98" s="1145">
        <f>2649563+743210+23964+12346+216379+104606</f>
        <v>3750068</v>
      </c>
      <c r="G98" s="1145"/>
      <c r="H98" s="1145">
        <f>152659-152659</f>
        <v>0</v>
      </c>
      <c r="I98" s="1145"/>
      <c r="J98" s="1145"/>
      <c r="K98" s="1145"/>
      <c r="L98" s="1145">
        <v>0</v>
      </c>
      <c r="M98" s="2192">
        <f>+F98+G98+H98+I98+J98+K98</f>
        <v>3750068</v>
      </c>
      <c r="N98" s="3968"/>
      <c r="O98" s="2847"/>
      <c r="P98" s="2848"/>
    </row>
    <row r="99" spans="1:19" s="285" customFormat="1" ht="12.75" hidden="1" customHeight="1" thickBot="1">
      <c r="A99" s="3902"/>
      <c r="B99" s="2117" t="s">
        <v>141</v>
      </c>
      <c r="C99" s="3875"/>
      <c r="D99" s="2182">
        <f t="shared" si="64"/>
        <v>0</v>
      </c>
      <c r="E99" s="2199"/>
      <c r="F99" s="1146"/>
      <c r="G99" s="1146"/>
      <c r="H99" s="1146"/>
      <c r="I99" s="1146"/>
      <c r="J99" s="1146"/>
      <c r="K99" s="1146"/>
      <c r="L99" s="1146"/>
      <c r="M99" s="2193">
        <f>+F99+G99+H99+I99+J99+K99</f>
        <v>0</v>
      </c>
      <c r="N99" s="3969"/>
      <c r="O99" s="2847"/>
      <c r="P99" s="2848"/>
    </row>
    <row r="100" spans="1:19" s="285" customFormat="1" ht="12.75" hidden="1" customHeight="1" thickBot="1">
      <c r="A100" s="3595"/>
      <c r="B100" s="2124" t="s">
        <v>142</v>
      </c>
      <c r="C100" s="3907"/>
      <c r="D100" s="1152">
        <f t="shared" si="64"/>
        <v>24395126</v>
      </c>
      <c r="E100" s="1152">
        <f>12575+1455753-13283+824659</f>
        <v>2279704</v>
      </c>
      <c r="F100" s="2133">
        <f>2845477-121293-214551-743210-23964-12346-216379-104606</f>
        <v>1409128</v>
      </c>
      <c r="G100" s="2133">
        <f>903845+1354520+99595+2103807+347372+333239</f>
        <v>5142378</v>
      </c>
      <c r="H100" s="2133">
        <f>921922+1381610+101587+2145884+357793+162483+30806</f>
        <v>5102085</v>
      </c>
      <c r="I100" s="2133">
        <f>4642023+192558-411216</f>
        <v>4423365</v>
      </c>
      <c r="J100" s="2133">
        <f>2551196+450141-14983+2156</f>
        <v>2988510</v>
      </c>
      <c r="K100" s="2133">
        <f>2645893+416877-14984+2157+13</f>
        <v>3049956</v>
      </c>
      <c r="L100" s="2849">
        <v>0</v>
      </c>
      <c r="M100" s="2193">
        <f>+F100+G100+H100+I100+J100+K100</f>
        <v>22115422</v>
      </c>
      <c r="N100" s="3966"/>
      <c r="O100" s="2847"/>
      <c r="P100" s="2848"/>
    </row>
    <row r="101" spans="1:19" s="285" customFormat="1" ht="12.75" hidden="1" customHeight="1" thickBot="1">
      <c r="A101" s="3595"/>
      <c r="B101" s="2190" t="s">
        <v>143</v>
      </c>
      <c r="C101" s="3961"/>
      <c r="D101" s="2183">
        <f t="shared" si="64"/>
        <v>0</v>
      </c>
      <c r="E101" s="2200"/>
      <c r="F101" s="2128"/>
      <c r="G101" s="2128"/>
      <c r="H101" s="2128"/>
      <c r="I101" s="2128"/>
      <c r="J101" s="2128"/>
      <c r="K101" s="2128"/>
      <c r="L101" s="2128"/>
      <c r="M101" s="2193">
        <f>+F101+G101+H101+I101+J101+K101</f>
        <v>0</v>
      </c>
      <c r="N101" s="3969"/>
      <c r="O101" s="2847"/>
      <c r="P101" s="2848"/>
    </row>
    <row r="102" spans="1:19" s="285" customFormat="1">
      <c r="A102" s="3901"/>
      <c r="B102" s="2191" t="s">
        <v>30</v>
      </c>
      <c r="C102" s="3875"/>
      <c r="D102" s="2195">
        <f t="shared" si="64"/>
        <v>1084861</v>
      </c>
      <c r="E102" s="1673">
        <f t="shared" ref="E102:K102" si="66">SUM(E103:E104)</f>
        <v>658955</v>
      </c>
      <c r="F102" s="1601">
        <f t="shared" si="66"/>
        <v>62118</v>
      </c>
      <c r="G102" s="1601">
        <f t="shared" si="66"/>
        <v>94268</v>
      </c>
      <c r="H102" s="1601">
        <f t="shared" si="66"/>
        <v>77465</v>
      </c>
      <c r="I102" s="1601">
        <f t="shared" si="66"/>
        <v>64019</v>
      </c>
      <c r="J102" s="1601">
        <f t="shared" si="66"/>
        <v>64018</v>
      </c>
      <c r="K102" s="1601">
        <f t="shared" si="66"/>
        <v>64018</v>
      </c>
      <c r="L102" s="1601">
        <f>SUM(L103:L104)</f>
        <v>0</v>
      </c>
      <c r="M102" s="2194">
        <f>M103+M104</f>
        <v>0</v>
      </c>
      <c r="N102" s="3970"/>
      <c r="O102" s="2847">
        <v>356003</v>
      </c>
      <c r="P102" s="2848"/>
    </row>
    <row r="103" spans="1:19" s="285" customFormat="1" ht="12.75" hidden="1" customHeight="1">
      <c r="A103" s="3959"/>
      <c r="B103" s="2097" t="s">
        <v>202</v>
      </c>
      <c r="C103" s="3676"/>
      <c r="D103" s="2091">
        <f t="shared" si="64"/>
        <v>546207</v>
      </c>
      <c r="E103" s="2196">
        <f>51728+68573</f>
        <v>120301</v>
      </c>
      <c r="F103" s="2098">
        <f>70167+14504+8153-30706</f>
        <v>62118</v>
      </c>
      <c r="G103" s="2098">
        <f>64019+3544+20673+6032</f>
        <v>94268</v>
      </c>
      <c r="H103" s="2098">
        <f>64019+13446</f>
        <v>77465</v>
      </c>
      <c r="I103" s="2098">
        <v>64019</v>
      </c>
      <c r="J103" s="2098">
        <v>64018</v>
      </c>
      <c r="K103" s="2098">
        <v>64018</v>
      </c>
      <c r="L103" s="2098">
        <v>0</v>
      </c>
      <c r="M103" s="2186">
        <v>0</v>
      </c>
      <c r="N103" s="3970"/>
      <c r="O103" s="2847"/>
      <c r="P103" s="2848"/>
    </row>
    <row r="104" spans="1:19" s="285" customFormat="1" ht="12.75" hidden="1" customHeight="1">
      <c r="A104" s="3959"/>
      <c r="B104" s="2097" t="s">
        <v>203</v>
      </c>
      <c r="C104" s="3676"/>
      <c r="D104" s="2091">
        <f t="shared" si="64"/>
        <v>538654</v>
      </c>
      <c r="E104" s="2196">
        <f>304275+234379</f>
        <v>538654</v>
      </c>
      <c r="F104" s="2098">
        <f>441506+300-2-441804</f>
        <v>0</v>
      </c>
      <c r="G104" s="2098">
        <f>406479-406479</f>
        <v>0</v>
      </c>
      <c r="H104" s="2098">
        <f>406478-406478</f>
        <v>0</v>
      </c>
      <c r="I104" s="2098">
        <f>406478-406478</f>
        <v>0</v>
      </c>
      <c r="J104" s="2098">
        <f>406479-406479</f>
        <v>0</v>
      </c>
      <c r="K104" s="2098">
        <f>406479-406479</f>
        <v>0</v>
      </c>
      <c r="L104" s="2098">
        <v>0</v>
      </c>
      <c r="M104" s="2186">
        <v>0</v>
      </c>
      <c r="N104" s="3970"/>
      <c r="O104" s="2847"/>
      <c r="P104" s="2848"/>
    </row>
    <row r="105" spans="1:19" s="285" customFormat="1" ht="12.75" customHeight="1">
      <c r="A105" s="3959"/>
      <c r="B105" s="2218" t="s">
        <v>17</v>
      </c>
      <c r="C105" s="3676"/>
      <c r="D105" s="2184">
        <f>+D106</f>
        <v>182654787</v>
      </c>
      <c r="E105" s="413">
        <f>+E106</f>
        <v>40545815</v>
      </c>
      <c r="F105" s="413">
        <f t="shared" ref="F105:M105" si="67">+F106</f>
        <v>24008797</v>
      </c>
      <c r="G105" s="413">
        <f t="shared" si="67"/>
        <v>26199354</v>
      </c>
      <c r="H105" s="413">
        <f t="shared" si="67"/>
        <v>24962305</v>
      </c>
      <c r="I105" s="413">
        <f t="shared" si="67"/>
        <v>22169678</v>
      </c>
      <c r="J105" s="413">
        <f t="shared" si="67"/>
        <v>22510359</v>
      </c>
      <c r="K105" s="2184">
        <f t="shared" si="67"/>
        <v>22258479</v>
      </c>
      <c r="L105" s="413">
        <f>+L106</f>
        <v>0</v>
      </c>
      <c r="M105" s="2185">
        <f t="shared" si="67"/>
        <v>118100175</v>
      </c>
      <c r="N105" s="3970"/>
      <c r="O105" s="991">
        <f>+O106</f>
        <v>21473092</v>
      </c>
      <c r="P105" s="990"/>
    </row>
    <row r="106" spans="1:19" s="1200" customFormat="1" ht="13.5" thickBot="1">
      <c r="A106" s="3902"/>
      <c r="B106" s="1604" t="s">
        <v>19</v>
      </c>
      <c r="C106" s="3876"/>
      <c r="D106" s="2140">
        <f>E106+L106+F106+G106+H106+I106+J106+K106</f>
        <v>182654787</v>
      </c>
      <c r="E106" s="1601">
        <f>+E108+E109+E110+E111+E112+E113+E114</f>
        <v>40545815</v>
      </c>
      <c r="F106" s="1601">
        <f t="shared" ref="F106:K106" si="68">+F108+F109+F110+F111+F112+F113+F114</f>
        <v>24008797</v>
      </c>
      <c r="G106" s="1601">
        <f t="shared" si="68"/>
        <v>26199354</v>
      </c>
      <c r="H106" s="1601">
        <f t="shared" si="68"/>
        <v>24962305</v>
      </c>
      <c r="I106" s="1601">
        <f t="shared" si="68"/>
        <v>22169678</v>
      </c>
      <c r="J106" s="1601">
        <f t="shared" si="68"/>
        <v>22510359</v>
      </c>
      <c r="K106" s="1601">
        <f t="shared" si="68"/>
        <v>22258479</v>
      </c>
      <c r="L106" s="1601">
        <f>+L108+L109+L110+L111+L112+L113+L114</f>
        <v>0</v>
      </c>
      <c r="M106" s="524">
        <f>SUM(G106:K106)</f>
        <v>118100175</v>
      </c>
      <c r="N106" s="3969"/>
      <c r="O106" s="2847">
        <v>21473092</v>
      </c>
      <c r="P106" s="2848">
        <f>F115-'[1]Tab. 6E - Administracja'!$G$115</f>
        <v>-4024670</v>
      </c>
      <c r="S106" s="302"/>
    </row>
    <row r="107" spans="1:19" s="1200" customFormat="1" ht="15.75" hidden="1" customHeight="1" thickBot="1">
      <c r="A107" s="3595"/>
      <c r="B107" s="1007" t="s">
        <v>139</v>
      </c>
      <c r="C107" s="1957"/>
      <c r="D107" s="1958"/>
      <c r="E107" s="1959"/>
      <c r="F107" s="1959"/>
      <c r="G107" s="1959"/>
      <c r="H107" s="1959"/>
      <c r="I107" s="1959"/>
      <c r="J107" s="1959"/>
      <c r="K107" s="1959"/>
      <c r="L107" s="1959"/>
      <c r="M107" s="1153"/>
      <c r="N107" s="3965"/>
      <c r="O107" s="2847"/>
      <c r="P107" s="989"/>
      <c r="S107" s="154"/>
    </row>
    <row r="108" spans="1:19" s="1200" customFormat="1" ht="12.75" hidden="1" customHeight="1" thickBot="1">
      <c r="A108" s="3595"/>
      <c r="B108" s="345" t="s">
        <v>140</v>
      </c>
      <c r="C108" s="306"/>
      <c r="D108" s="724">
        <f t="shared" ref="D108:D114" si="69">E108+L108+F108+G108+H108+I108+J108+K108</f>
        <v>47370429</v>
      </c>
      <c r="E108" s="963">
        <f>6418+10696707-5063+12765994</f>
        <v>23464056</v>
      </c>
      <c r="F108" s="955">
        <f>11149912-250000+2639699-890000+135797+69956+438395+592761</f>
        <v>13886520</v>
      </c>
      <c r="G108" s="955">
        <f>1820395+620000-140395+15000+227456</f>
        <v>2542456</v>
      </c>
      <c r="H108" s="955">
        <f>1820395+865067-985462+326000+516456</f>
        <v>2542456</v>
      </c>
      <c r="I108" s="955">
        <f>1820395-120395</f>
        <v>1700000</v>
      </c>
      <c r="J108" s="955">
        <f>1820395-120395</f>
        <v>1700000</v>
      </c>
      <c r="K108" s="955">
        <f>1820391-285524+74</f>
        <v>1534941</v>
      </c>
      <c r="L108" s="955">
        <v>0</v>
      </c>
      <c r="M108" s="964">
        <f t="shared" ref="M108:M114" si="70">+F108+G108+H108+I108+J108+K108</f>
        <v>23906373</v>
      </c>
      <c r="N108" s="3965"/>
      <c r="O108" s="2847"/>
      <c r="P108" s="991"/>
      <c r="S108" s="154"/>
    </row>
    <row r="109" spans="1:19" s="1200" customFormat="1" ht="12.75" hidden="1" customHeight="1" thickBot="1">
      <c r="A109" s="3595"/>
      <c r="B109" s="1030" t="s">
        <v>141</v>
      </c>
      <c r="C109" s="1154"/>
      <c r="D109" s="724">
        <f t="shared" si="69"/>
        <v>17756179</v>
      </c>
      <c r="E109" s="1146">
        <f>5406+2022679+2320551</f>
        <v>4348636</v>
      </c>
      <c r="F109" s="1146">
        <f>2618000-118000+599987+19922-763500</f>
        <v>2356409</v>
      </c>
      <c r="G109" s="1146">
        <f>1813339+841315-154654+596852</f>
        <v>3096852</v>
      </c>
      <c r="H109" s="1146">
        <f>1813339-113339+446000+17000+805414</f>
        <v>2968414</v>
      </c>
      <c r="I109" s="1146">
        <f>1813339-113339+17000</f>
        <v>1717000</v>
      </c>
      <c r="J109" s="1146">
        <f>1813339-113339+17000</f>
        <v>1717000</v>
      </c>
      <c r="K109" s="1146">
        <f>1813335-278467+17000</f>
        <v>1551868</v>
      </c>
      <c r="L109" s="1146">
        <v>0</v>
      </c>
      <c r="M109" s="964">
        <f t="shared" si="70"/>
        <v>13407543</v>
      </c>
      <c r="N109" s="3965"/>
      <c r="O109" s="2847"/>
      <c r="P109" s="2847"/>
      <c r="S109" s="154"/>
    </row>
    <row r="110" spans="1:19" s="303" customFormat="1" ht="12.75" hidden="1" customHeight="1" thickBot="1">
      <c r="A110" s="3595"/>
      <c r="B110" s="1032" t="s">
        <v>142</v>
      </c>
      <c r="C110" s="1155"/>
      <c r="D110" s="724">
        <f t="shared" si="69"/>
        <v>93599187</v>
      </c>
      <c r="E110" s="1156">
        <f>71254+3533980-75275+2330050</f>
        <v>5860009</v>
      </c>
      <c r="F110" s="965">
        <f>10062170-687329-417765-2639699-135797-69956-438395-592761</f>
        <v>5080468</v>
      </c>
      <c r="G110" s="965">
        <f>5121786+7675610+564375+1968441+2006240</f>
        <v>17336452</v>
      </c>
      <c r="H110" s="965">
        <f>5224221+7829122+575662+2027494+491996+174564</f>
        <v>16323059</v>
      </c>
      <c r="I110" s="965">
        <f>13901587+2088319</f>
        <v>15989906</v>
      </c>
      <c r="J110" s="965">
        <f>14179618+2150968</f>
        <v>16330586</v>
      </c>
      <c r="K110" s="965">
        <f>14463209+2215498</f>
        <v>16678707</v>
      </c>
      <c r="L110" s="965">
        <v>0</v>
      </c>
      <c r="M110" s="964">
        <f t="shared" si="70"/>
        <v>87739178</v>
      </c>
      <c r="N110" s="3965"/>
      <c r="O110" s="2847"/>
      <c r="P110" s="2847"/>
      <c r="S110" s="304"/>
    </row>
    <row r="111" spans="1:19" s="303" customFormat="1" ht="12.75" hidden="1" customHeight="1" thickBot="1">
      <c r="A111" s="3595"/>
      <c r="B111" s="1232" t="s">
        <v>143</v>
      </c>
      <c r="C111" s="1157"/>
      <c r="D111" s="724">
        <f t="shared" si="69"/>
        <v>14452447</v>
      </c>
      <c r="E111" s="1148">
        <f>1532968+1445489</f>
        <v>2978457</v>
      </c>
      <c r="F111" s="1148">
        <f>2190000-190000-256200</f>
        <v>1743800</v>
      </c>
      <c r="G111" s="1148">
        <f>2048339-48339</f>
        <v>2000000</v>
      </c>
      <c r="H111" s="1148">
        <f>2048339-48339</f>
        <v>2000000</v>
      </c>
      <c r="I111" s="1148">
        <f>2048339-48339</f>
        <v>2000000</v>
      </c>
      <c r="J111" s="1148">
        <f>2048339-48339</f>
        <v>2000000</v>
      </c>
      <c r="K111" s="1148">
        <f>2048336-148336-169810</f>
        <v>1730190</v>
      </c>
      <c r="L111" s="1148">
        <v>0</v>
      </c>
      <c r="M111" s="964">
        <f t="shared" si="70"/>
        <v>11473990</v>
      </c>
      <c r="N111" s="3965"/>
      <c r="O111" s="2847"/>
      <c r="P111" s="2847"/>
      <c r="S111" s="304"/>
    </row>
    <row r="112" spans="1:19" s="303" customFormat="1" ht="12.75" hidden="1" customHeight="1" thickBot="1">
      <c r="A112" s="3595"/>
      <c r="B112" s="1232" t="s">
        <v>305</v>
      </c>
      <c r="C112" s="1158"/>
      <c r="D112" s="724">
        <f t="shared" si="69"/>
        <v>3329010</v>
      </c>
      <c r="E112" s="966">
        <v>160590</v>
      </c>
      <c r="F112" s="966">
        <f>420000+309000-139400</f>
        <v>589600</v>
      </c>
      <c r="G112" s="966">
        <f>420000+88900+180510</f>
        <v>689410</v>
      </c>
      <c r="H112" s="966">
        <f>405000+284410</f>
        <v>689410</v>
      </c>
      <c r="I112" s="966">
        <v>400000</v>
      </c>
      <c r="J112" s="966">
        <v>400000</v>
      </c>
      <c r="K112" s="966">
        <v>400000</v>
      </c>
      <c r="L112" s="966">
        <v>0</v>
      </c>
      <c r="M112" s="964">
        <f t="shared" si="70"/>
        <v>3168420</v>
      </c>
      <c r="N112" s="3965"/>
      <c r="O112" s="2847"/>
      <c r="P112" s="2847"/>
      <c r="S112" s="304"/>
    </row>
    <row r="113" spans="1:19" s="303" customFormat="1" ht="12.75" hidden="1" customHeight="1" thickBot="1">
      <c r="A113" s="3595"/>
      <c r="B113" s="1031" t="s">
        <v>217</v>
      </c>
      <c r="C113" s="1159"/>
      <c r="D113" s="724">
        <f t="shared" si="69"/>
        <v>3095172</v>
      </c>
      <c r="E113" s="1149">
        <f>293127+388577</f>
        <v>681704</v>
      </c>
      <c r="F113" s="967">
        <f>397613+82194+46193-174000</f>
        <v>352000</v>
      </c>
      <c r="G113" s="967">
        <f>362772+20083+117145+34184</f>
        <v>534184</v>
      </c>
      <c r="H113" s="967">
        <f>362772+76194</f>
        <v>438966</v>
      </c>
      <c r="I113" s="967">
        <v>362772</v>
      </c>
      <c r="J113" s="967">
        <v>362773</v>
      </c>
      <c r="K113" s="967">
        <v>362773</v>
      </c>
      <c r="L113" s="2850">
        <v>0</v>
      </c>
      <c r="M113" s="964">
        <f t="shared" si="70"/>
        <v>2413468</v>
      </c>
      <c r="N113" s="3965"/>
      <c r="O113" s="2847"/>
      <c r="P113" s="2847"/>
      <c r="S113" s="304"/>
    </row>
    <row r="114" spans="1:19" s="303" customFormat="1" ht="12.75" hidden="1" customHeight="1">
      <c r="A114" s="3900"/>
      <c r="B114" s="1031" t="s">
        <v>218</v>
      </c>
      <c r="C114" s="1160"/>
      <c r="D114" s="724">
        <f t="shared" si="69"/>
        <v>3052363</v>
      </c>
      <c r="E114" s="1149">
        <f>1724218+1328145</f>
        <v>3052363</v>
      </c>
      <c r="F114" s="967">
        <f>2501869+1700-1-2503568</f>
        <v>0</v>
      </c>
      <c r="G114" s="967">
        <f>2303378-2303378</f>
        <v>0</v>
      </c>
      <c r="H114" s="967">
        <f>2303378-2303378</f>
        <v>0</v>
      </c>
      <c r="I114" s="967">
        <f>2303378-2303378</f>
        <v>0</v>
      </c>
      <c r="J114" s="967">
        <f>2303377-2303377</f>
        <v>0</v>
      </c>
      <c r="K114" s="967">
        <f>2303377-2303377</f>
        <v>0</v>
      </c>
      <c r="L114" s="2850">
        <v>0</v>
      </c>
      <c r="M114" s="964">
        <f t="shared" si="70"/>
        <v>0</v>
      </c>
      <c r="N114" s="3968"/>
      <c r="O114" s="2847"/>
      <c r="P114" s="2847"/>
      <c r="S114" s="304"/>
    </row>
    <row r="115" spans="1:19" s="1200" customFormat="1" ht="16.5" customHeight="1">
      <c r="A115" s="3430"/>
      <c r="B115" s="68" t="s">
        <v>20</v>
      </c>
      <c r="C115" s="152"/>
      <c r="D115" s="307">
        <f>+D116</f>
        <v>182654787</v>
      </c>
      <c r="E115" s="307">
        <f t="shared" ref="E115:K115" si="71">+E116</f>
        <v>37278457</v>
      </c>
      <c r="F115" s="307">
        <f t="shared" si="71"/>
        <v>22437305</v>
      </c>
      <c r="G115" s="1161">
        <f t="shared" si="71"/>
        <v>27116318</v>
      </c>
      <c r="H115" s="1161">
        <f t="shared" si="71"/>
        <v>14250881</v>
      </c>
      <c r="I115" s="1161">
        <f t="shared" si="71"/>
        <v>22642316</v>
      </c>
      <c r="J115" s="1161">
        <f t="shared" si="71"/>
        <v>23254317</v>
      </c>
      <c r="K115" s="1161">
        <f t="shared" si="71"/>
        <v>22258479</v>
      </c>
      <c r="L115" s="307">
        <f>+L116</f>
        <v>0</v>
      </c>
      <c r="M115" s="3690" t="s">
        <v>52</v>
      </c>
      <c r="N115" s="3970"/>
      <c r="O115" s="3962" t="s">
        <v>564</v>
      </c>
      <c r="P115" s="3962"/>
      <c r="Q115" s="3962"/>
      <c r="R115" s="3962"/>
    </row>
    <row r="116" spans="1:19" s="1200" customFormat="1">
      <c r="A116" s="3430"/>
      <c r="B116" s="1162" t="s">
        <v>17</v>
      </c>
      <c r="C116" s="3960" t="s">
        <v>201</v>
      </c>
      <c r="D116" s="1127">
        <f t="shared" ref="D116:K116" si="72">+D117</f>
        <v>182654787</v>
      </c>
      <c r="E116" s="1127">
        <f t="shared" si="72"/>
        <v>37278457</v>
      </c>
      <c r="F116" s="1151">
        <f t="shared" si="72"/>
        <v>22437305</v>
      </c>
      <c r="G116" s="1151">
        <f t="shared" si="72"/>
        <v>27116318</v>
      </c>
      <c r="H116" s="1151">
        <f t="shared" si="72"/>
        <v>14250881</v>
      </c>
      <c r="I116" s="1151">
        <f t="shared" si="72"/>
        <v>22642316</v>
      </c>
      <c r="J116" s="1151">
        <f t="shared" si="72"/>
        <v>23254317</v>
      </c>
      <c r="K116" s="1151">
        <f t="shared" si="72"/>
        <v>22258479</v>
      </c>
      <c r="L116" s="1151">
        <f>+L117</f>
        <v>0</v>
      </c>
      <c r="M116" s="3700"/>
      <c r="N116" s="3970"/>
      <c r="O116" s="3962"/>
      <c r="P116" s="3962"/>
      <c r="Q116" s="3962"/>
      <c r="R116" s="3962"/>
    </row>
    <row r="117" spans="1:19" s="1200" customFormat="1" ht="13.5" thickBot="1">
      <c r="A117" s="3431"/>
      <c r="B117" s="297" t="s">
        <v>358</v>
      </c>
      <c r="C117" s="3907"/>
      <c r="D117" s="1679">
        <f>E117+L117+F117+G117+H117+I117+J117+K117+2029435+2998719+2055406+3812897+2520257</f>
        <v>182654787</v>
      </c>
      <c r="E117" s="2329">
        <f>14581335-5063-75275+22777460</f>
        <v>37278457</v>
      </c>
      <c r="F117" s="1377">
        <f>30885930-8318334+1316270-584995-2464989+5628093+19922-250000-3794592</f>
        <v>22437305</v>
      </c>
      <c r="G117" s="1377">
        <f>29939078-8229084+354097+1107218+5454925-5693167+221045-354239+3399481+916964</f>
        <v>27116318</v>
      </c>
      <c r="H117" s="1377">
        <f>30223312-8246084-386089+82192+1168964-1018024+848194+17000-7137103-1301481</f>
        <v>14250881</v>
      </c>
      <c r="I117" s="1377">
        <f>30407494-8157684-97132+17000+472638</f>
        <v>22642316</v>
      </c>
      <c r="J117" s="1377">
        <f>30073524-7545683-34482+17000+743958</f>
        <v>23254317</v>
      </c>
      <c r="K117" s="1377">
        <f>30175721-7364300-400206-169810+74+17000</f>
        <v>22258479</v>
      </c>
      <c r="L117" s="1377">
        <v>0</v>
      </c>
      <c r="M117" s="3701"/>
      <c r="N117" s="3969"/>
      <c r="O117" s="3962"/>
      <c r="P117" s="3962"/>
      <c r="Q117" s="3962"/>
      <c r="R117" s="3962"/>
    </row>
    <row r="118" spans="1:19" s="1200" customFormat="1" ht="24" customHeight="1">
      <c r="A118" s="3900" t="s">
        <v>78</v>
      </c>
      <c r="B118" s="143" t="s">
        <v>213</v>
      </c>
      <c r="C118" s="144" t="s">
        <v>72</v>
      </c>
      <c r="D118" s="327"/>
      <c r="E118" s="326"/>
      <c r="F118" s="326"/>
      <c r="G118" s="326"/>
      <c r="H118" s="326"/>
      <c r="I118" s="326"/>
      <c r="J118" s="326"/>
      <c r="K118" s="1109"/>
      <c r="L118" s="326"/>
      <c r="M118" s="327"/>
      <c r="N118" s="3890" t="s">
        <v>318</v>
      </c>
      <c r="O118" s="3963"/>
      <c r="P118" s="3962"/>
      <c r="Q118" s="3962"/>
      <c r="R118" s="3962"/>
    </row>
    <row r="119" spans="1:19" s="1200" customFormat="1">
      <c r="A119" s="3901"/>
      <c r="B119" s="492" t="s">
        <v>9</v>
      </c>
      <c r="C119" s="1137"/>
      <c r="D119" s="1138">
        <f t="shared" ref="D119:H119" si="73">+D124+D120</f>
        <v>2776726</v>
      </c>
      <c r="E119" s="1138">
        <f t="shared" ref="E119" si="74">+E124+E120</f>
        <v>815099</v>
      </c>
      <c r="F119" s="1138">
        <f t="shared" si="73"/>
        <v>600000</v>
      </c>
      <c r="G119" s="1138">
        <f t="shared" si="73"/>
        <v>617127</v>
      </c>
      <c r="H119" s="1138">
        <f t="shared" si="73"/>
        <v>200000</v>
      </c>
      <c r="I119" s="1138">
        <f>+I124+I120</f>
        <v>200000</v>
      </c>
      <c r="J119" s="1138">
        <f>+J124+J120</f>
        <v>200000</v>
      </c>
      <c r="K119" s="1138">
        <f>+K124+K120</f>
        <v>144500</v>
      </c>
      <c r="L119" s="1138">
        <f>+L124+L120</f>
        <v>0</v>
      </c>
      <c r="M119" s="1139">
        <f>+M124</f>
        <v>1361627</v>
      </c>
      <c r="N119" s="3891"/>
      <c r="O119" s="3963"/>
      <c r="P119" s="3962"/>
      <c r="Q119" s="3962"/>
      <c r="R119" s="3962"/>
    </row>
    <row r="120" spans="1:19" s="1200" customFormat="1" ht="13.5" customHeight="1">
      <c r="A120" s="3901"/>
      <c r="B120" s="470" t="s">
        <v>22</v>
      </c>
      <c r="C120" s="3960" t="s">
        <v>312</v>
      </c>
      <c r="D120" s="1140">
        <f>+D121</f>
        <v>35657</v>
      </c>
      <c r="E120" s="1140">
        <f t="shared" ref="E120:K120" si="75">+E121</f>
        <v>35657</v>
      </c>
      <c r="F120" s="1140">
        <f t="shared" si="75"/>
        <v>0</v>
      </c>
      <c r="G120" s="1140">
        <f t="shared" si="75"/>
        <v>0</v>
      </c>
      <c r="H120" s="1140">
        <f t="shared" si="75"/>
        <v>0</v>
      </c>
      <c r="I120" s="1140">
        <f t="shared" si="75"/>
        <v>0</v>
      </c>
      <c r="J120" s="1140">
        <f t="shared" si="75"/>
        <v>0</v>
      </c>
      <c r="K120" s="1140">
        <f t="shared" si="75"/>
        <v>0</v>
      </c>
      <c r="L120" s="1140">
        <f>+L121</f>
        <v>0</v>
      </c>
      <c r="M120" s="1227">
        <f>+M121</f>
        <v>0</v>
      </c>
      <c r="N120" s="3891"/>
      <c r="O120" s="3963"/>
      <c r="P120" s="3962"/>
      <c r="Q120" s="3962"/>
      <c r="R120" s="3962"/>
    </row>
    <row r="121" spans="1:19" s="1200" customFormat="1" ht="13.5" customHeight="1">
      <c r="A121" s="3901"/>
      <c r="B121" s="1752" t="s">
        <v>30</v>
      </c>
      <c r="C121" s="3875"/>
      <c r="D121" s="1142">
        <f>E121+L121+F121+G121+H121+I121+J121+K121</f>
        <v>35657</v>
      </c>
      <c r="E121" s="1142">
        <f t="shared" ref="E121:K121" si="76">SUM(E122:E123)</f>
        <v>35657</v>
      </c>
      <c r="F121" s="1142">
        <f t="shared" si="76"/>
        <v>0</v>
      </c>
      <c r="G121" s="1142">
        <f t="shared" si="76"/>
        <v>0</v>
      </c>
      <c r="H121" s="1142">
        <f t="shared" si="76"/>
        <v>0</v>
      </c>
      <c r="I121" s="1142">
        <f t="shared" si="76"/>
        <v>0</v>
      </c>
      <c r="J121" s="1142">
        <f t="shared" si="76"/>
        <v>0</v>
      </c>
      <c r="K121" s="1142">
        <f t="shared" si="76"/>
        <v>0</v>
      </c>
      <c r="L121" s="1142">
        <f>SUM(L122:L123)</f>
        <v>0</v>
      </c>
      <c r="M121" s="1228">
        <v>0</v>
      </c>
      <c r="N121" s="3891"/>
      <c r="O121" s="3963"/>
      <c r="P121" s="3962"/>
      <c r="Q121" s="3962"/>
      <c r="R121" s="3962"/>
    </row>
    <row r="122" spans="1:19" s="1200" customFormat="1" ht="13.5" customHeight="1">
      <c r="A122" s="3901"/>
      <c r="B122" s="1753" t="s">
        <v>202</v>
      </c>
      <c r="C122" s="3875"/>
      <c r="D122" s="1149">
        <f>E122+L122+F122+G122+H122+I122+J122+K122</f>
        <v>7180</v>
      </c>
      <c r="E122" s="1149">
        <f>6636+544</f>
        <v>7180</v>
      </c>
      <c r="F122" s="962">
        <f>865-865</f>
        <v>0</v>
      </c>
      <c r="G122" s="962">
        <f>865-865</f>
        <v>0</v>
      </c>
      <c r="H122" s="962"/>
      <c r="I122" s="962"/>
      <c r="J122" s="962"/>
      <c r="K122" s="962"/>
      <c r="L122" s="2851">
        <v>0</v>
      </c>
      <c r="M122" s="1150">
        <v>0</v>
      </c>
      <c r="N122" s="3891"/>
      <c r="O122" s="3963"/>
      <c r="P122" s="3962"/>
      <c r="Q122" s="3962"/>
      <c r="R122" s="3962"/>
    </row>
    <row r="123" spans="1:19" s="1200" customFormat="1" ht="13.5" customHeight="1">
      <c r="A123" s="3901"/>
      <c r="B123" s="1753" t="s">
        <v>203</v>
      </c>
      <c r="C123" s="3875"/>
      <c r="D123" s="1149">
        <f>E123+L123+F123+G123+H123+I123+J123+K123</f>
        <v>28477</v>
      </c>
      <c r="E123" s="1149">
        <v>28477</v>
      </c>
      <c r="F123" s="962">
        <f>1800-300-1500</f>
        <v>0</v>
      </c>
      <c r="G123" s="962">
        <f>975-975</f>
        <v>0</v>
      </c>
      <c r="H123" s="962">
        <f>975-975</f>
        <v>0</v>
      </c>
      <c r="I123" s="962">
        <f>975-975</f>
        <v>0</v>
      </c>
      <c r="J123" s="962">
        <f>975-975</f>
        <v>0</v>
      </c>
      <c r="K123" s="962">
        <f>975-975</f>
        <v>0</v>
      </c>
      <c r="L123" s="2851">
        <f>975+525+5215-6715</f>
        <v>0</v>
      </c>
      <c r="M123" s="1150">
        <v>0</v>
      </c>
      <c r="N123" s="3891"/>
      <c r="O123" s="3963"/>
      <c r="P123" s="3962"/>
      <c r="Q123" s="3962"/>
      <c r="R123" s="3962"/>
    </row>
    <row r="124" spans="1:19" s="1200" customFormat="1" ht="13.5" customHeight="1" thickBot="1">
      <c r="A124" s="3902"/>
      <c r="B124" s="1754" t="s">
        <v>17</v>
      </c>
      <c r="C124" s="3907"/>
      <c r="D124" s="1649">
        <f>+D125</f>
        <v>2741069</v>
      </c>
      <c r="E124" s="1755">
        <f>+E125</f>
        <v>779442</v>
      </c>
      <c r="F124" s="1649">
        <f t="shared" ref="F124:M124" si="77">+F125</f>
        <v>600000</v>
      </c>
      <c r="G124" s="1649">
        <f t="shared" si="77"/>
        <v>617127</v>
      </c>
      <c r="H124" s="1649">
        <f t="shared" si="77"/>
        <v>200000</v>
      </c>
      <c r="I124" s="1649">
        <f t="shared" si="77"/>
        <v>200000</v>
      </c>
      <c r="J124" s="1649">
        <f t="shared" si="77"/>
        <v>200000</v>
      </c>
      <c r="K124" s="1649">
        <f t="shared" si="77"/>
        <v>144500</v>
      </c>
      <c r="L124" s="1755">
        <f>+L125</f>
        <v>0</v>
      </c>
      <c r="M124" s="1756">
        <f t="shared" si="77"/>
        <v>1361627</v>
      </c>
      <c r="N124" s="3892"/>
      <c r="O124" s="3963"/>
      <c r="P124" s="3962"/>
      <c r="Q124" s="3962"/>
      <c r="R124" s="3962"/>
    </row>
    <row r="125" spans="1:19" s="1200" customFormat="1">
      <c r="A125" s="3901"/>
      <c r="B125" s="1604" t="s">
        <v>19</v>
      </c>
      <c r="C125" s="3876"/>
      <c r="D125" s="1601">
        <f>E125+L125+F125+G125+H125+I125+J125+K125</f>
        <v>2741069</v>
      </c>
      <c r="E125" s="1601">
        <f>+E127+E128+E129+E130+E131+E132+E133</f>
        <v>779442</v>
      </c>
      <c r="F125" s="1601">
        <f t="shared" ref="F125:K125" si="78">+F127+F128+F129+F130+F131+F132+F133</f>
        <v>600000</v>
      </c>
      <c r="G125" s="1601">
        <f t="shared" si="78"/>
        <v>617127</v>
      </c>
      <c r="H125" s="1601">
        <f t="shared" si="78"/>
        <v>200000</v>
      </c>
      <c r="I125" s="1601">
        <f t="shared" si="78"/>
        <v>200000</v>
      </c>
      <c r="J125" s="1601">
        <f t="shared" si="78"/>
        <v>200000</v>
      </c>
      <c r="K125" s="1601">
        <f t="shared" si="78"/>
        <v>144500</v>
      </c>
      <c r="L125" s="1601">
        <f>+L127+L128+L129+L130+L131+L132+L133</f>
        <v>0</v>
      </c>
      <c r="M125" s="524">
        <f>SUM(G125:K125)</f>
        <v>1361627</v>
      </c>
      <c r="N125" s="3891"/>
      <c r="O125" s="3963"/>
      <c r="P125" s="3962"/>
      <c r="Q125" s="3962"/>
      <c r="R125" s="3962"/>
    </row>
    <row r="126" spans="1:19" s="1200" customFormat="1" ht="12.75" customHeight="1">
      <c r="A126" s="3901"/>
      <c r="B126" s="1007" t="s">
        <v>139</v>
      </c>
      <c r="C126" s="1229"/>
      <c r="D126" s="1125"/>
      <c r="E126" s="1125"/>
      <c r="F126" s="1129"/>
      <c r="G126" s="1129"/>
      <c r="H126" s="1129"/>
      <c r="I126" s="1129"/>
      <c r="J126" s="1129"/>
      <c r="K126" s="1129"/>
      <c r="L126" s="1129"/>
      <c r="M126" s="1153"/>
      <c r="N126" s="3891"/>
      <c r="O126" s="3963"/>
      <c r="P126" s="3962"/>
      <c r="Q126" s="3962"/>
      <c r="R126" s="3962"/>
    </row>
    <row r="127" spans="1:19" s="1200" customFormat="1" ht="12.75" customHeight="1">
      <c r="A127" s="3901"/>
      <c r="B127" s="345" t="s">
        <v>140</v>
      </c>
      <c r="C127" s="306"/>
      <c r="D127" s="963">
        <f t="shared" ref="D127:D133" si="79">E127+L127+F127+G127+H127+I127+J127+K127</f>
        <v>2107424</v>
      </c>
      <c r="E127" s="963">
        <f>144449+351348</f>
        <v>495797</v>
      </c>
      <c r="F127" s="955">
        <f>144500+51+205449+250000</f>
        <v>600000</v>
      </c>
      <c r="G127" s="955">
        <f>144500+50000+42627+30000</f>
        <v>267127</v>
      </c>
      <c r="H127" s="955">
        <f>144500+55500</f>
        <v>200000</v>
      </c>
      <c r="I127" s="955">
        <f>144500+55500</f>
        <v>200000</v>
      </c>
      <c r="J127" s="955">
        <f>144500+55500</f>
        <v>200000</v>
      </c>
      <c r="K127" s="955">
        <v>144500</v>
      </c>
      <c r="L127" s="955">
        <v>0</v>
      </c>
      <c r="M127" s="1126">
        <f t="shared" ref="M127:M133" si="80">SUM(F127:K127)</f>
        <v>1611627</v>
      </c>
      <c r="N127" s="3891"/>
      <c r="O127" s="3963"/>
      <c r="P127" s="3962"/>
      <c r="Q127" s="3962"/>
      <c r="R127" s="3962"/>
    </row>
    <row r="128" spans="1:19" s="1200" customFormat="1" ht="12.75" customHeight="1">
      <c r="A128" s="3901"/>
      <c r="B128" s="1030" t="s">
        <v>141</v>
      </c>
      <c r="C128" s="1230"/>
      <c r="D128" s="1146">
        <f t="shared" si="79"/>
        <v>409673</v>
      </c>
      <c r="E128" s="1146">
        <f>14078+45595</f>
        <v>59673</v>
      </c>
      <c r="F128" s="1146">
        <f>17000+2922-19922</f>
        <v>0</v>
      </c>
      <c r="G128" s="1146">
        <v>350000</v>
      </c>
      <c r="H128" s="1146">
        <f>17000-17000</f>
        <v>0</v>
      </c>
      <c r="I128" s="1146">
        <f>17000-17000</f>
        <v>0</v>
      </c>
      <c r="J128" s="1146">
        <f>17000-17000</f>
        <v>0</v>
      </c>
      <c r="K128" s="1146">
        <f>17000-17000</f>
        <v>0</v>
      </c>
      <c r="L128" s="1146">
        <v>0</v>
      </c>
      <c r="M128" s="1126">
        <f t="shared" si="80"/>
        <v>350000</v>
      </c>
      <c r="N128" s="3891"/>
      <c r="O128" s="3963"/>
      <c r="P128" s="3962"/>
      <c r="Q128" s="3962"/>
      <c r="R128" s="3962"/>
    </row>
    <row r="129" spans="1:18" s="1200" customFormat="1" ht="12.75" customHeight="1">
      <c r="A129" s="3901"/>
      <c r="B129" s="1032" t="s">
        <v>142</v>
      </c>
      <c r="C129" s="1231"/>
      <c r="D129" s="1156">
        <f t="shared" si="79"/>
        <v>0</v>
      </c>
      <c r="E129" s="1156"/>
      <c r="F129" s="965"/>
      <c r="G129" s="965"/>
      <c r="H129" s="965"/>
      <c r="I129" s="965"/>
      <c r="J129" s="965"/>
      <c r="K129" s="965"/>
      <c r="L129" s="965"/>
      <c r="M129" s="1126">
        <f t="shared" si="80"/>
        <v>0</v>
      </c>
      <c r="N129" s="3891"/>
      <c r="O129" s="3963"/>
      <c r="P129" s="3962"/>
      <c r="Q129" s="3962"/>
      <c r="R129" s="3962"/>
    </row>
    <row r="130" spans="1:18" s="1200" customFormat="1" ht="12.75" customHeight="1">
      <c r="A130" s="3901"/>
      <c r="B130" s="1232" t="s">
        <v>143</v>
      </c>
      <c r="C130" s="1233"/>
      <c r="D130" s="1148">
        <f t="shared" si="79"/>
        <v>21912</v>
      </c>
      <c r="E130" s="1148">
        <v>21912</v>
      </c>
      <c r="F130" s="1148"/>
      <c r="G130" s="1148"/>
      <c r="H130" s="1148"/>
      <c r="I130" s="1148"/>
      <c r="J130" s="1148"/>
      <c r="K130" s="1148"/>
      <c r="L130" s="1148">
        <v>0</v>
      </c>
      <c r="M130" s="1126">
        <f t="shared" si="80"/>
        <v>0</v>
      </c>
      <c r="N130" s="3891"/>
      <c r="O130" s="3963"/>
      <c r="P130" s="3962"/>
      <c r="Q130" s="3962"/>
      <c r="R130" s="3962"/>
    </row>
    <row r="131" spans="1:18" s="1200" customFormat="1" ht="12.75" customHeight="1">
      <c r="A131" s="3901"/>
      <c r="B131" s="1232" t="s">
        <v>306</v>
      </c>
      <c r="C131" s="954"/>
      <c r="D131" s="1148">
        <f t="shared" si="79"/>
        <v>0</v>
      </c>
      <c r="E131" s="1148">
        <v>0</v>
      </c>
      <c r="F131" s="1148"/>
      <c r="G131" s="1148"/>
      <c r="H131" s="1148"/>
      <c r="I131" s="1148"/>
      <c r="J131" s="1148"/>
      <c r="K131" s="1148"/>
      <c r="L131" s="1148">
        <f>25000-25000</f>
        <v>0</v>
      </c>
      <c r="M131" s="1126">
        <f t="shared" si="80"/>
        <v>0</v>
      </c>
      <c r="N131" s="3891"/>
      <c r="O131" s="3963"/>
      <c r="P131" s="3962"/>
      <c r="Q131" s="3962"/>
      <c r="R131" s="3962"/>
    </row>
    <row r="132" spans="1:18" s="1200" customFormat="1" ht="12.75" customHeight="1">
      <c r="A132" s="3901"/>
      <c r="B132" s="1031" t="s">
        <v>293</v>
      </c>
      <c r="C132" s="1234"/>
      <c r="D132" s="1149">
        <f t="shared" si="79"/>
        <v>40690</v>
      </c>
      <c r="E132" s="1149">
        <f>37607+3083</f>
        <v>40690</v>
      </c>
      <c r="F132" s="1149">
        <f>4907-4907</f>
        <v>0</v>
      </c>
      <c r="G132" s="1149">
        <f>4907-4907</f>
        <v>0</v>
      </c>
      <c r="H132" s="1149"/>
      <c r="I132" s="1149"/>
      <c r="J132" s="1149"/>
      <c r="K132" s="1149"/>
      <c r="L132" s="1149">
        <v>0</v>
      </c>
      <c r="M132" s="1126">
        <f t="shared" si="80"/>
        <v>0</v>
      </c>
      <c r="N132" s="3891"/>
      <c r="O132" s="3963"/>
      <c r="P132" s="3962"/>
      <c r="Q132" s="3962"/>
      <c r="R132" s="3962"/>
    </row>
    <row r="133" spans="1:18" s="1200" customFormat="1" ht="12.75" customHeight="1">
      <c r="A133" s="3901"/>
      <c r="B133" s="1031" t="s">
        <v>218</v>
      </c>
      <c r="C133" s="1235"/>
      <c r="D133" s="1149">
        <f t="shared" si="79"/>
        <v>161370</v>
      </c>
      <c r="E133" s="1149">
        <v>161370</v>
      </c>
      <c r="F133" s="1149">
        <f>10200-1700-8500</f>
        <v>0</v>
      </c>
      <c r="G133" s="1149">
        <f>5525-5525</f>
        <v>0</v>
      </c>
      <c r="H133" s="1149">
        <f>5525-5525</f>
        <v>0</v>
      </c>
      <c r="I133" s="1149">
        <f>5525-5525</f>
        <v>0</v>
      </c>
      <c r="J133" s="1149">
        <f>5525-5525</f>
        <v>0</v>
      </c>
      <c r="K133" s="1149">
        <f>5525-5525</f>
        <v>0</v>
      </c>
      <c r="L133" s="1149">
        <f>5525+2975+29556-38056</f>
        <v>0</v>
      </c>
      <c r="M133" s="1126">
        <f t="shared" si="80"/>
        <v>0</v>
      </c>
      <c r="N133" s="3891"/>
      <c r="O133" s="3963"/>
      <c r="P133" s="3962"/>
      <c r="Q133" s="3962"/>
      <c r="R133" s="3962"/>
    </row>
    <row r="134" spans="1:18" s="1200" customFormat="1">
      <c r="A134" s="3901"/>
      <c r="B134" s="68" t="s">
        <v>20</v>
      </c>
      <c r="C134" s="152"/>
      <c r="D134" s="307">
        <f>+D135</f>
        <v>2741069</v>
      </c>
      <c r="E134" s="307">
        <f t="shared" ref="E134:K134" si="81">+E135</f>
        <v>468371</v>
      </c>
      <c r="F134" s="307">
        <f t="shared" si="81"/>
        <v>420176</v>
      </c>
      <c r="G134" s="307">
        <f t="shared" si="81"/>
        <v>1058022</v>
      </c>
      <c r="H134" s="307">
        <f t="shared" si="81"/>
        <v>200000</v>
      </c>
      <c r="I134" s="307">
        <f t="shared" si="81"/>
        <v>200000</v>
      </c>
      <c r="J134" s="307">
        <f t="shared" si="81"/>
        <v>200000</v>
      </c>
      <c r="K134" s="307">
        <f t="shared" si="81"/>
        <v>144500</v>
      </c>
      <c r="L134" s="307">
        <f>+L135</f>
        <v>0</v>
      </c>
      <c r="M134" s="3893" t="s">
        <v>52</v>
      </c>
      <c r="N134" s="3891"/>
      <c r="O134" s="3963"/>
      <c r="P134" s="3962"/>
      <c r="Q134" s="3962"/>
      <c r="R134" s="3962"/>
    </row>
    <row r="135" spans="1:18" s="1200" customFormat="1" ht="15.75" customHeight="1">
      <c r="A135" s="3901"/>
      <c r="B135" s="1204" t="s">
        <v>17</v>
      </c>
      <c r="C135" s="3544" t="s">
        <v>201</v>
      </c>
      <c r="D135" s="1236">
        <f t="shared" ref="D135:K135" si="82">+D136</f>
        <v>2741069</v>
      </c>
      <c r="E135" s="1236">
        <f t="shared" si="82"/>
        <v>468371</v>
      </c>
      <c r="F135" s="1236">
        <f t="shared" si="82"/>
        <v>420176</v>
      </c>
      <c r="G135" s="1236">
        <f t="shared" si="82"/>
        <v>1058022</v>
      </c>
      <c r="H135" s="1236">
        <f t="shared" si="82"/>
        <v>200000</v>
      </c>
      <c r="I135" s="1236">
        <f t="shared" si="82"/>
        <v>200000</v>
      </c>
      <c r="J135" s="1236">
        <f t="shared" si="82"/>
        <v>200000</v>
      </c>
      <c r="K135" s="1236">
        <f t="shared" si="82"/>
        <v>144500</v>
      </c>
      <c r="L135" s="1236">
        <f>+L136</f>
        <v>0</v>
      </c>
      <c r="M135" s="3700"/>
      <c r="N135" s="3891"/>
      <c r="O135" s="3963"/>
      <c r="P135" s="3962"/>
      <c r="Q135" s="3962"/>
      <c r="R135" s="3962"/>
    </row>
    <row r="136" spans="1:18" s="1200" customFormat="1" ht="13.5" customHeight="1" thickBot="1">
      <c r="A136" s="3902"/>
      <c r="B136" s="297" t="s">
        <v>385</v>
      </c>
      <c r="C136" s="3907"/>
      <c r="D136" s="719">
        <f>E136+L136+F136+G136+H136+I136+J136+K136+11590+299481-61071-200000</f>
        <v>2741069</v>
      </c>
      <c r="E136" s="1136">
        <f>236568+231803</f>
        <v>468371</v>
      </c>
      <c r="F136" s="968">
        <f>171700-1700-620+200542-19922+311071-240895</f>
        <v>420176</v>
      </c>
      <c r="G136" s="968">
        <f>167025-5525+4907+50000+20720+820895</f>
        <v>1058022</v>
      </c>
      <c r="H136" s="968">
        <f>167025-5525-17000+55500</f>
        <v>200000</v>
      </c>
      <c r="I136" s="968">
        <f>167025-5525-17000+55500</f>
        <v>200000</v>
      </c>
      <c r="J136" s="968">
        <f>167025-5525-17000+55500</f>
        <v>200000</v>
      </c>
      <c r="K136" s="968">
        <f>167025-5525-17000</f>
        <v>144500</v>
      </c>
      <c r="L136" s="968">
        <v>0</v>
      </c>
      <c r="M136" s="3701"/>
      <c r="N136" s="3892"/>
      <c r="O136" s="3963"/>
      <c r="P136" s="3962"/>
      <c r="Q136" s="3962"/>
      <c r="R136" s="3962"/>
    </row>
    <row r="137" spans="1:18" s="1200" customFormat="1" ht="24.75" customHeight="1">
      <c r="A137" s="3900" t="s">
        <v>79</v>
      </c>
      <c r="B137" s="1043" t="s">
        <v>252</v>
      </c>
      <c r="C137" s="2237" t="s">
        <v>72</v>
      </c>
      <c r="D137" s="160"/>
      <c r="E137" s="328"/>
      <c r="F137" s="159"/>
      <c r="G137" s="159"/>
      <c r="H137" s="159"/>
      <c r="I137" s="159"/>
      <c r="J137" s="159"/>
      <c r="K137" s="219"/>
      <c r="L137" s="159"/>
      <c r="M137" s="2436"/>
      <c r="N137" s="3890" t="s">
        <v>268</v>
      </c>
      <c r="O137" s="266">
        <f>F134-'[1]Tab. 6E - Administracja'!$G$134</f>
        <v>50254</v>
      </c>
    </row>
    <row r="138" spans="1:18" s="1200" customFormat="1" ht="13.5" customHeight="1">
      <c r="A138" s="3901"/>
      <c r="B138" s="375" t="s">
        <v>9</v>
      </c>
      <c r="C138" s="2511"/>
      <c r="D138" s="2512">
        <f>+D139+D142</f>
        <v>98152110</v>
      </c>
      <c r="E138" s="2513">
        <f>+E139+E142</f>
        <v>1379880</v>
      </c>
      <c r="F138" s="2513">
        <f t="shared" ref="F138:K138" si="83">+F139+F142</f>
        <v>1817275</v>
      </c>
      <c r="G138" s="2513">
        <f t="shared" si="83"/>
        <v>18000000</v>
      </c>
      <c r="H138" s="2513">
        <f t="shared" si="83"/>
        <v>48895582</v>
      </c>
      <c r="I138" s="2513">
        <f t="shared" si="83"/>
        <v>28059373</v>
      </c>
      <c r="J138" s="2513">
        <f t="shared" si="83"/>
        <v>0</v>
      </c>
      <c r="K138" s="2513">
        <f t="shared" si="83"/>
        <v>0</v>
      </c>
      <c r="L138" s="2513">
        <f>+L139+L142</f>
        <v>0</v>
      </c>
      <c r="M138" s="2514">
        <f>+M139+M142</f>
        <v>94954955</v>
      </c>
      <c r="N138" s="3891"/>
      <c r="O138" s="266"/>
    </row>
    <row r="139" spans="1:18" s="1200" customFormat="1" ht="13.5" customHeight="1">
      <c r="A139" s="3901"/>
      <c r="B139" s="498" t="s">
        <v>22</v>
      </c>
      <c r="C139" s="3957" t="s">
        <v>235</v>
      </c>
      <c r="D139" s="2515">
        <f>+D140+D141</f>
        <v>28902110</v>
      </c>
      <c r="E139" s="2516">
        <f t="shared" ref="E139" si="84">+E140+E141</f>
        <v>39719</v>
      </c>
      <c r="F139" s="2516">
        <f t="shared" ref="F139:K139" si="85">+F140+F141</f>
        <v>35242</v>
      </c>
      <c r="G139" s="2516">
        <f t="shared" si="85"/>
        <v>5425229</v>
      </c>
      <c r="H139" s="2516">
        <f t="shared" si="85"/>
        <v>12342547</v>
      </c>
      <c r="I139" s="2516">
        <f t="shared" si="85"/>
        <v>11059373</v>
      </c>
      <c r="J139" s="2516">
        <f t="shared" si="85"/>
        <v>0</v>
      </c>
      <c r="K139" s="2516">
        <f t="shared" si="85"/>
        <v>0</v>
      </c>
      <c r="L139" s="2516">
        <f>+L140+L141</f>
        <v>0</v>
      </c>
      <c r="M139" s="2517">
        <f>+M140</f>
        <v>28827149</v>
      </c>
      <c r="N139" s="3891"/>
      <c r="O139" s="266"/>
    </row>
    <row r="140" spans="1:18" s="1200" customFormat="1" ht="13.5" customHeight="1">
      <c r="A140" s="3901"/>
      <c r="B140" s="2518" t="s">
        <v>11</v>
      </c>
      <c r="C140" s="3957"/>
      <c r="D140" s="2519">
        <f>E140+L140+F140+G140+H140+I140+J140+K140</f>
        <v>28902110</v>
      </c>
      <c r="E140" s="2520">
        <f>+E158+E172+E188+E199</f>
        <v>39719</v>
      </c>
      <c r="F140" s="1611">
        <f t="shared" ref="F140:K140" si="86">+F158+F172+F188+F199</f>
        <v>35242</v>
      </c>
      <c r="G140" s="1611">
        <f t="shared" si="86"/>
        <v>5425229</v>
      </c>
      <c r="H140" s="1611">
        <f t="shared" si="86"/>
        <v>12342547</v>
      </c>
      <c r="I140" s="1611">
        <f t="shared" si="86"/>
        <v>11059373</v>
      </c>
      <c r="J140" s="1611">
        <f t="shared" si="86"/>
        <v>0</v>
      </c>
      <c r="K140" s="1611">
        <f t="shared" si="86"/>
        <v>0</v>
      </c>
      <c r="L140" s="1611">
        <f>+L158+L172+L188+L199</f>
        <v>0</v>
      </c>
      <c r="M140" s="524">
        <f>SUM(G140:K140)</f>
        <v>28827149</v>
      </c>
      <c r="N140" s="3891"/>
      <c r="O140" s="266"/>
    </row>
    <row r="141" spans="1:18" s="1200" customFormat="1" ht="13.5" hidden="1" customHeight="1">
      <c r="A141" s="3901"/>
      <c r="B141" s="2518" t="s">
        <v>15</v>
      </c>
      <c r="C141" s="3957"/>
      <c r="D141" s="2519">
        <f>E141+L141+F141+G141+H141+I141+J141+K141</f>
        <v>0</v>
      </c>
      <c r="E141" s="2522">
        <v>0</v>
      </c>
      <c r="F141" s="1611">
        <f t="shared" ref="F141:K141" si="87">+F159+F173+F200</f>
        <v>0</v>
      </c>
      <c r="G141" s="1611">
        <f t="shared" si="87"/>
        <v>0</v>
      </c>
      <c r="H141" s="1611">
        <f t="shared" si="87"/>
        <v>0</v>
      </c>
      <c r="I141" s="1611">
        <f t="shared" si="87"/>
        <v>0</v>
      </c>
      <c r="J141" s="1611">
        <f t="shared" si="87"/>
        <v>0</v>
      </c>
      <c r="K141" s="1611">
        <f t="shared" si="87"/>
        <v>0</v>
      </c>
      <c r="L141" s="1611">
        <f>+L159+L173+L200</f>
        <v>0</v>
      </c>
      <c r="M141" s="2521">
        <f>SUM(F141:K141)</f>
        <v>0</v>
      </c>
      <c r="N141" s="3891"/>
      <c r="O141" s="266"/>
    </row>
    <row r="142" spans="1:18" s="1200" customFormat="1" ht="13.5" customHeight="1">
      <c r="A142" s="3901"/>
      <c r="B142" s="2523" t="s">
        <v>17</v>
      </c>
      <c r="C142" s="3957"/>
      <c r="D142" s="2524">
        <f>+D143</f>
        <v>69250000</v>
      </c>
      <c r="E142" s="2524">
        <f t="shared" ref="E142" si="88">+E143</f>
        <v>1340161</v>
      </c>
      <c r="F142" s="2525">
        <f t="shared" ref="F142:K142" si="89">+F143</f>
        <v>1782033</v>
      </c>
      <c r="G142" s="2525">
        <f t="shared" si="89"/>
        <v>12574771</v>
      </c>
      <c r="H142" s="2525">
        <f t="shared" si="89"/>
        <v>36553035</v>
      </c>
      <c r="I142" s="2525">
        <f t="shared" si="89"/>
        <v>17000000</v>
      </c>
      <c r="J142" s="2525">
        <f t="shared" si="89"/>
        <v>0</v>
      </c>
      <c r="K142" s="2525">
        <f t="shared" si="89"/>
        <v>0</v>
      </c>
      <c r="L142" s="2525">
        <f>+L143</f>
        <v>0</v>
      </c>
      <c r="M142" s="2517">
        <f>+M143</f>
        <v>66127806</v>
      </c>
      <c r="N142" s="3891"/>
      <c r="O142" s="266"/>
    </row>
    <row r="143" spans="1:18" s="1200" customFormat="1" ht="12.75" customHeight="1">
      <c r="A143" s="3901"/>
      <c r="B143" s="540" t="s">
        <v>19</v>
      </c>
      <c r="C143" s="3957"/>
      <c r="D143" s="2519">
        <f>E143+L143+F143+G143+H143+I143+J143+K143</f>
        <v>69250000</v>
      </c>
      <c r="E143" s="2526">
        <f>+E144+E145+E146</f>
        <v>1340161</v>
      </c>
      <c r="F143" s="1611">
        <f t="shared" ref="F143:K143" si="90">+F144+F145+F146</f>
        <v>1782033</v>
      </c>
      <c r="G143" s="1611">
        <f t="shared" si="90"/>
        <v>12574771</v>
      </c>
      <c r="H143" s="1611">
        <f t="shared" si="90"/>
        <v>36553035</v>
      </c>
      <c r="I143" s="1611">
        <f t="shared" si="90"/>
        <v>17000000</v>
      </c>
      <c r="J143" s="1611">
        <f t="shared" si="90"/>
        <v>0</v>
      </c>
      <c r="K143" s="1611">
        <f t="shared" si="90"/>
        <v>0</v>
      </c>
      <c r="L143" s="1611">
        <f>+L144+L145+L146</f>
        <v>0</v>
      </c>
      <c r="M143" s="524">
        <f>SUM(G143:K143)</f>
        <v>66127806</v>
      </c>
      <c r="N143" s="3891"/>
      <c r="O143" s="266"/>
    </row>
    <row r="144" spans="1:18" s="1200" customFormat="1" ht="23.25" hidden="1" customHeight="1">
      <c r="A144" s="3901"/>
      <c r="B144" s="2518" t="s">
        <v>224</v>
      </c>
      <c r="C144" s="3957"/>
      <c r="D144" s="2526">
        <f>+D176</f>
        <v>18000000</v>
      </c>
      <c r="E144" s="2526">
        <f t="shared" ref="E144:K144" si="91">+E162+E176+E191+E203</f>
        <v>1340161</v>
      </c>
      <c r="F144" s="1611">
        <f t="shared" si="91"/>
        <v>1782033</v>
      </c>
      <c r="G144" s="1611">
        <f t="shared" si="91"/>
        <v>5574771</v>
      </c>
      <c r="H144" s="1611">
        <f t="shared" si="91"/>
        <v>9303035</v>
      </c>
      <c r="I144" s="1611">
        <f t="shared" si="91"/>
        <v>0</v>
      </c>
      <c r="J144" s="1611">
        <f t="shared" si="91"/>
        <v>0</v>
      </c>
      <c r="K144" s="1611">
        <f t="shared" si="91"/>
        <v>0</v>
      </c>
      <c r="L144" s="1611">
        <f>+L162+L176+L191+L203</f>
        <v>0</v>
      </c>
      <c r="M144" s="2527">
        <f>SUM(F144:K144)</f>
        <v>16659839</v>
      </c>
      <c r="N144" s="3891"/>
      <c r="O144" s="266"/>
    </row>
    <row r="145" spans="1:15" s="1200" customFormat="1" ht="20.25" hidden="1" customHeight="1">
      <c r="A145" s="3901"/>
      <c r="B145" s="2518" t="s">
        <v>225</v>
      </c>
      <c r="C145" s="3957"/>
      <c r="D145" s="2526">
        <f>+D177</f>
        <v>10250000</v>
      </c>
      <c r="E145" s="1611">
        <v>0</v>
      </c>
      <c r="F145" s="1611">
        <f t="shared" ref="F145:K145" si="92">+F177</f>
        <v>0</v>
      </c>
      <c r="G145" s="1611">
        <f t="shared" si="92"/>
        <v>3000000</v>
      </c>
      <c r="H145" s="1611">
        <f t="shared" si="92"/>
        <v>7250000</v>
      </c>
      <c r="I145" s="1611">
        <f t="shared" si="92"/>
        <v>0</v>
      </c>
      <c r="J145" s="1611">
        <f t="shared" si="92"/>
        <v>0</v>
      </c>
      <c r="K145" s="1611">
        <f t="shared" si="92"/>
        <v>0</v>
      </c>
      <c r="L145" s="1611">
        <f>+L177</f>
        <v>0</v>
      </c>
      <c r="M145" s="2527">
        <f>SUM(F145:K145)</f>
        <v>10250000</v>
      </c>
      <c r="N145" s="3891"/>
      <c r="O145" s="266"/>
    </row>
    <row r="146" spans="1:15" s="1200" customFormat="1" ht="27" hidden="1" customHeight="1">
      <c r="A146" s="3901"/>
      <c r="B146" s="2518" t="s">
        <v>226</v>
      </c>
      <c r="C146" s="3957"/>
      <c r="D146" s="2526">
        <f>+D178</f>
        <v>28250000</v>
      </c>
      <c r="E146" s="2528">
        <v>0</v>
      </c>
      <c r="F146" s="2528">
        <f t="shared" ref="F146:K146" si="93">+F204</f>
        <v>0</v>
      </c>
      <c r="G146" s="2528">
        <f t="shared" si="93"/>
        <v>4000000</v>
      </c>
      <c r="H146" s="2528">
        <f t="shared" si="93"/>
        <v>20000000</v>
      </c>
      <c r="I146" s="2528">
        <f t="shared" si="93"/>
        <v>17000000</v>
      </c>
      <c r="J146" s="2528">
        <f t="shared" si="93"/>
        <v>0</v>
      </c>
      <c r="K146" s="2528">
        <f t="shared" si="93"/>
        <v>0</v>
      </c>
      <c r="L146" s="2528">
        <f>+L204</f>
        <v>0</v>
      </c>
      <c r="M146" s="2527">
        <f>SUM(F146:K146)</f>
        <v>41000000</v>
      </c>
      <c r="N146" s="3891"/>
      <c r="O146" s="266"/>
    </row>
    <row r="147" spans="1:15" s="1200" customFormat="1" ht="15">
      <c r="A147" s="3901"/>
      <c r="B147" s="161" t="s">
        <v>227</v>
      </c>
      <c r="C147" s="2511"/>
      <c r="D147" s="2512">
        <f t="shared" ref="D147:K147" si="94">+D148+D150</f>
        <v>69250000</v>
      </c>
      <c r="E147" s="2513">
        <f t="shared" si="94"/>
        <v>1242115</v>
      </c>
      <c r="F147" s="2513">
        <f t="shared" si="94"/>
        <v>1634324</v>
      </c>
      <c r="G147" s="2513">
        <f t="shared" si="94"/>
        <v>11820526</v>
      </c>
      <c r="H147" s="2513">
        <f t="shared" si="94"/>
        <v>36053035</v>
      </c>
      <c r="I147" s="2513">
        <f t="shared" si="94"/>
        <v>18500000</v>
      </c>
      <c r="J147" s="2513">
        <f t="shared" si="94"/>
        <v>0</v>
      </c>
      <c r="K147" s="2513">
        <f t="shared" si="94"/>
        <v>0</v>
      </c>
      <c r="L147" s="2513">
        <f>+L148+L150</f>
        <v>0</v>
      </c>
      <c r="M147" s="3935" t="s">
        <v>52</v>
      </c>
      <c r="N147" s="3891"/>
      <c r="O147" s="266">
        <f>F147-'[1]Tab. 6E - Administracja'!$G$147</f>
        <v>-7877825</v>
      </c>
    </row>
    <row r="148" spans="1:15" s="1200" customFormat="1" ht="13.5" hidden="1" customHeight="1">
      <c r="A148" s="3901"/>
      <c r="B148" s="498" t="s">
        <v>22</v>
      </c>
      <c r="C148" s="3956" t="s">
        <v>535</v>
      </c>
      <c r="D148" s="2515">
        <f>+D149</f>
        <v>0</v>
      </c>
      <c r="E148" s="2516">
        <f t="shared" ref="E148:K148" si="95">+E149</f>
        <v>0</v>
      </c>
      <c r="F148" s="2516">
        <f t="shared" si="95"/>
        <v>0</v>
      </c>
      <c r="G148" s="2516">
        <f t="shared" si="95"/>
        <v>0</v>
      </c>
      <c r="H148" s="2516">
        <f t="shared" si="95"/>
        <v>0</v>
      </c>
      <c r="I148" s="2516">
        <f t="shared" si="95"/>
        <v>0</v>
      </c>
      <c r="J148" s="2516">
        <f t="shared" si="95"/>
        <v>0</v>
      </c>
      <c r="K148" s="2516">
        <f t="shared" si="95"/>
        <v>0</v>
      </c>
      <c r="L148" s="2516">
        <f>+L149</f>
        <v>0</v>
      </c>
      <c r="M148" s="3698"/>
      <c r="N148" s="3891"/>
      <c r="O148" s="266"/>
    </row>
    <row r="149" spans="1:15" s="1200" customFormat="1" ht="13.5" hidden="1" customHeight="1">
      <c r="A149" s="3901"/>
      <c r="B149" s="2518" t="s">
        <v>15</v>
      </c>
      <c r="C149" s="3957"/>
      <c r="D149" s="2519">
        <f>E149+L149+F149+G149+H149+I149+J149+K149</f>
        <v>0</v>
      </c>
      <c r="E149" s="2640">
        <v>0</v>
      </c>
      <c r="F149" s="2529">
        <f t="shared" ref="F149:K149" si="96">+F180+F207</f>
        <v>0</v>
      </c>
      <c r="G149" s="2529">
        <f t="shared" si="96"/>
        <v>0</v>
      </c>
      <c r="H149" s="2529">
        <f t="shared" si="96"/>
        <v>0</v>
      </c>
      <c r="I149" s="2529">
        <f t="shared" si="96"/>
        <v>0</v>
      </c>
      <c r="J149" s="2529">
        <f t="shared" si="96"/>
        <v>0</v>
      </c>
      <c r="K149" s="2529">
        <f t="shared" si="96"/>
        <v>0</v>
      </c>
      <c r="L149" s="2529">
        <f>+L180+L207</f>
        <v>0</v>
      </c>
      <c r="M149" s="3698"/>
      <c r="N149" s="3891"/>
      <c r="O149" s="266"/>
    </row>
    <row r="150" spans="1:15" s="1200" customFormat="1" ht="22.5" customHeight="1">
      <c r="A150" s="3901"/>
      <c r="B150" s="500" t="s">
        <v>17</v>
      </c>
      <c r="C150" s="3957"/>
      <c r="D150" s="2515">
        <f>+D151</f>
        <v>69250000</v>
      </c>
      <c r="E150" s="2516">
        <f>+E151</f>
        <v>1242115</v>
      </c>
      <c r="F150" s="2516">
        <f t="shared" ref="F150:K150" si="97">+F151</f>
        <v>1634324</v>
      </c>
      <c r="G150" s="2516">
        <f t="shared" si="97"/>
        <v>11820526</v>
      </c>
      <c r="H150" s="2516">
        <f t="shared" si="97"/>
        <v>36053035</v>
      </c>
      <c r="I150" s="2516">
        <f t="shared" si="97"/>
        <v>18500000</v>
      </c>
      <c r="J150" s="2516">
        <f t="shared" si="97"/>
        <v>0</v>
      </c>
      <c r="K150" s="2516">
        <f t="shared" si="97"/>
        <v>0</v>
      </c>
      <c r="L150" s="2516">
        <f>+L151</f>
        <v>0</v>
      </c>
      <c r="M150" s="3698"/>
      <c r="N150" s="3891"/>
      <c r="O150" s="266"/>
    </row>
    <row r="151" spans="1:15" s="1200" customFormat="1" ht="17.25" customHeight="1" thickBot="1">
      <c r="A151" s="3902"/>
      <c r="B151" s="63" t="s">
        <v>19</v>
      </c>
      <c r="C151" s="3958"/>
      <c r="D151" s="2530">
        <f>E151+L151+F151+G151+H151+I151+J151+K151</f>
        <v>69250000</v>
      </c>
      <c r="E151" s="1612">
        <f t="shared" ref="E151:K151" si="98">+E167+E182+E209+E194</f>
        <v>1242115</v>
      </c>
      <c r="F151" s="1612">
        <f t="shared" si="98"/>
        <v>1634324</v>
      </c>
      <c r="G151" s="1612">
        <f t="shared" si="98"/>
        <v>11820526</v>
      </c>
      <c r="H151" s="1612">
        <f t="shared" si="98"/>
        <v>36053035</v>
      </c>
      <c r="I151" s="1612">
        <f t="shared" si="98"/>
        <v>18500000</v>
      </c>
      <c r="J151" s="1612">
        <f t="shared" si="98"/>
        <v>0</v>
      </c>
      <c r="K151" s="1612">
        <f t="shared" si="98"/>
        <v>0</v>
      </c>
      <c r="L151" s="1612">
        <f>+L167+L182+L209+L194</f>
        <v>0</v>
      </c>
      <c r="M151" s="3699"/>
      <c r="N151" s="3892"/>
      <c r="O151" s="266"/>
    </row>
    <row r="152" spans="1:15" s="1200" customFormat="1" ht="24" hidden="1" customHeight="1">
      <c r="A152" s="3343"/>
      <c r="B152" s="1613" t="s">
        <v>224</v>
      </c>
      <c r="C152" s="1614"/>
      <c r="D152" s="1615">
        <f t="shared" ref="D152:K152" si="99">+D168+D183+D195+D210</f>
        <v>18000000</v>
      </c>
      <c r="E152" s="1615">
        <f>+E168+E183+E195+E210</f>
        <v>1242115</v>
      </c>
      <c r="F152" s="1615">
        <f t="shared" si="99"/>
        <v>1634324</v>
      </c>
      <c r="G152" s="1615">
        <f t="shared" si="99"/>
        <v>5820526</v>
      </c>
      <c r="H152" s="1615">
        <f t="shared" si="99"/>
        <v>9303035</v>
      </c>
      <c r="I152" s="1615">
        <f t="shared" si="99"/>
        <v>0</v>
      </c>
      <c r="J152" s="1615">
        <f t="shared" si="99"/>
        <v>0</v>
      </c>
      <c r="K152" s="1615">
        <f t="shared" si="99"/>
        <v>0</v>
      </c>
      <c r="L152" s="1615">
        <f>+L168+L183+L195+L210</f>
        <v>0</v>
      </c>
      <c r="M152" s="1616"/>
      <c r="N152" s="1617"/>
      <c r="O152" s="266"/>
    </row>
    <row r="153" spans="1:15" s="1200" customFormat="1" ht="24" hidden="1" customHeight="1">
      <c r="A153" s="3343"/>
      <c r="B153" s="1618" t="s">
        <v>225</v>
      </c>
      <c r="C153" s="1614"/>
      <c r="D153" s="1611">
        <f>+D184</f>
        <v>10250000</v>
      </c>
      <c r="E153" s="1611">
        <v>0</v>
      </c>
      <c r="F153" s="1611">
        <f t="shared" ref="F153:K153" si="100">+F184</f>
        <v>0</v>
      </c>
      <c r="G153" s="1611">
        <f t="shared" si="100"/>
        <v>2500000</v>
      </c>
      <c r="H153" s="1611">
        <f t="shared" si="100"/>
        <v>7750000</v>
      </c>
      <c r="I153" s="1611">
        <f t="shared" si="100"/>
        <v>0</v>
      </c>
      <c r="J153" s="1611">
        <f t="shared" si="100"/>
        <v>0</v>
      </c>
      <c r="K153" s="1611">
        <f t="shared" si="100"/>
        <v>0</v>
      </c>
      <c r="L153" s="1611">
        <f>+L184</f>
        <v>0</v>
      </c>
      <c r="M153" s="1616"/>
      <c r="N153" s="1617"/>
      <c r="O153" s="266"/>
    </row>
    <row r="154" spans="1:15" s="1200" customFormat="1" ht="24" hidden="1" customHeight="1" thickBot="1">
      <c r="A154" s="3342"/>
      <c r="B154" s="1619" t="s">
        <v>226</v>
      </c>
      <c r="C154" s="1620"/>
      <c r="D154" s="1612">
        <f>+D211</f>
        <v>41000000</v>
      </c>
      <c r="E154" s="1612">
        <v>0</v>
      </c>
      <c r="F154" s="1612">
        <f t="shared" ref="F154:K154" si="101">+F211</f>
        <v>0</v>
      </c>
      <c r="G154" s="1612">
        <f t="shared" si="101"/>
        <v>3500000</v>
      </c>
      <c r="H154" s="1612">
        <f t="shared" si="101"/>
        <v>19000000</v>
      </c>
      <c r="I154" s="1612">
        <f t="shared" si="101"/>
        <v>18500000</v>
      </c>
      <c r="J154" s="1612">
        <f t="shared" si="101"/>
        <v>0</v>
      </c>
      <c r="K154" s="1612">
        <f t="shared" si="101"/>
        <v>0</v>
      </c>
      <c r="L154" s="1612">
        <f>+L211</f>
        <v>0</v>
      </c>
      <c r="M154" s="1621"/>
      <c r="N154" s="1622"/>
      <c r="O154" s="266"/>
    </row>
    <row r="155" spans="1:15" s="1200" customFormat="1" ht="18.75" hidden="1" customHeight="1">
      <c r="A155" s="3900" t="s">
        <v>361</v>
      </c>
      <c r="B155" s="1623" t="s">
        <v>228</v>
      </c>
      <c r="C155" s="2531" t="s">
        <v>99</v>
      </c>
      <c r="D155" s="1624"/>
      <c r="E155" s="1625"/>
      <c r="F155" s="1626"/>
      <c r="G155" s="1626"/>
      <c r="H155" s="1626"/>
      <c r="I155" s="1626"/>
      <c r="J155" s="1626"/>
      <c r="K155" s="1627"/>
      <c r="L155" s="1626"/>
      <c r="M155" s="2532"/>
      <c r="N155" s="1617"/>
      <c r="O155" s="266"/>
    </row>
    <row r="156" spans="1:15" s="1200" customFormat="1" ht="13.5" hidden="1" customHeight="1">
      <c r="A156" s="3901"/>
      <c r="B156" s="68" t="s">
        <v>9</v>
      </c>
      <c r="C156" s="2533"/>
      <c r="D156" s="1044">
        <f t="shared" ref="D156:D168" si="102">SUM(E156:K156)</f>
        <v>0</v>
      </c>
      <c r="E156" s="307">
        <v>0</v>
      </c>
      <c r="F156" s="307">
        <f t="shared" ref="F156:K156" si="103">+F157+F160</f>
        <v>0</v>
      </c>
      <c r="G156" s="307">
        <f t="shared" si="103"/>
        <v>0</v>
      </c>
      <c r="H156" s="307">
        <f t="shared" si="103"/>
        <v>0</v>
      </c>
      <c r="I156" s="307">
        <f t="shared" si="103"/>
        <v>0</v>
      </c>
      <c r="J156" s="307">
        <f t="shared" si="103"/>
        <v>0</v>
      </c>
      <c r="K156" s="307">
        <f t="shared" si="103"/>
        <v>0</v>
      </c>
      <c r="L156" s="307">
        <f>+L157+L160</f>
        <v>0</v>
      </c>
      <c r="M156" s="310">
        <f t="shared" ref="M156:M162" si="104">SUM(E156:K156)</f>
        <v>0</v>
      </c>
      <c r="N156" s="1617"/>
      <c r="O156" s="266"/>
    </row>
    <row r="157" spans="1:15" s="1200" customFormat="1" ht="13.5" hidden="1" customHeight="1">
      <c r="A157" s="3901"/>
      <c r="B157" s="145" t="s">
        <v>22</v>
      </c>
      <c r="C157" s="3921" t="s">
        <v>235</v>
      </c>
      <c r="D157" s="1628">
        <f t="shared" si="102"/>
        <v>0</v>
      </c>
      <c r="E157" s="295">
        <v>0</v>
      </c>
      <c r="F157" s="295">
        <f t="shared" ref="F157:K157" si="105">+F158+F159</f>
        <v>0</v>
      </c>
      <c r="G157" s="295">
        <f t="shared" si="105"/>
        <v>0</v>
      </c>
      <c r="H157" s="295">
        <f t="shared" si="105"/>
        <v>0</v>
      </c>
      <c r="I157" s="295">
        <f t="shared" si="105"/>
        <v>0</v>
      </c>
      <c r="J157" s="295">
        <f t="shared" si="105"/>
        <v>0</v>
      </c>
      <c r="K157" s="295">
        <f t="shared" si="105"/>
        <v>0</v>
      </c>
      <c r="L157" s="295">
        <f>+L158+L159</f>
        <v>0</v>
      </c>
      <c r="M157" s="310">
        <f t="shared" si="104"/>
        <v>0</v>
      </c>
      <c r="N157" s="1617"/>
      <c r="O157" s="266"/>
    </row>
    <row r="158" spans="1:15" s="1200" customFormat="1" ht="13.5" hidden="1" customHeight="1">
      <c r="A158" s="3901"/>
      <c r="B158" s="1629" t="s">
        <v>11</v>
      </c>
      <c r="C158" s="3922"/>
      <c r="D158" s="1630">
        <f t="shared" si="102"/>
        <v>0</v>
      </c>
      <c r="E158" s="2534"/>
      <c r="F158" s="1630">
        <f>1840690-1840690</f>
        <v>0</v>
      </c>
      <c r="G158" s="1630"/>
      <c r="H158" s="1630"/>
      <c r="I158" s="2535"/>
      <c r="J158" s="2535"/>
      <c r="K158" s="2535"/>
      <c r="L158" s="1630">
        <f>1524390-1524390</f>
        <v>0</v>
      </c>
      <c r="M158" s="2536">
        <f t="shared" si="104"/>
        <v>0</v>
      </c>
      <c r="N158" s="1617"/>
      <c r="O158" s="266"/>
    </row>
    <row r="159" spans="1:15" s="1200" customFormat="1" ht="13.5" hidden="1" customHeight="1">
      <c r="A159" s="3901"/>
      <c r="B159" s="1629" t="s">
        <v>53</v>
      </c>
      <c r="C159" s="3922"/>
      <c r="D159" s="1631">
        <f t="shared" si="102"/>
        <v>0</v>
      </c>
      <c r="E159" s="2537"/>
      <c r="F159" s="1631"/>
      <c r="G159" s="1631"/>
      <c r="H159" s="1631"/>
      <c r="I159" s="2538"/>
      <c r="J159" s="2538"/>
      <c r="K159" s="2538"/>
      <c r="L159" s="1631"/>
      <c r="M159" s="2539">
        <f t="shared" si="104"/>
        <v>0</v>
      </c>
      <c r="N159" s="1617"/>
      <c r="O159" s="266"/>
    </row>
    <row r="160" spans="1:15" s="1200" customFormat="1" ht="13.5" hidden="1" customHeight="1">
      <c r="A160" s="3901"/>
      <c r="B160" s="69" t="s">
        <v>17</v>
      </c>
      <c r="C160" s="3922"/>
      <c r="D160" s="1628">
        <f t="shared" si="102"/>
        <v>0</v>
      </c>
      <c r="E160" s="295">
        <v>0</v>
      </c>
      <c r="F160" s="295">
        <f t="shared" ref="F160:K160" si="106">+F161</f>
        <v>0</v>
      </c>
      <c r="G160" s="295">
        <f t="shared" si="106"/>
        <v>0</v>
      </c>
      <c r="H160" s="295">
        <f t="shared" si="106"/>
        <v>0</v>
      </c>
      <c r="I160" s="295">
        <f t="shared" si="106"/>
        <v>0</v>
      </c>
      <c r="J160" s="295">
        <f t="shared" si="106"/>
        <v>0</v>
      </c>
      <c r="K160" s="295">
        <f t="shared" si="106"/>
        <v>0</v>
      </c>
      <c r="L160" s="295">
        <f>+L161</f>
        <v>0</v>
      </c>
      <c r="M160" s="2540">
        <f t="shared" si="104"/>
        <v>0</v>
      </c>
      <c r="N160" s="1617"/>
      <c r="O160" s="266"/>
    </row>
    <row r="161" spans="1:15" s="1200" customFormat="1" ht="13.5" hidden="1" customHeight="1">
      <c r="A161" s="3901"/>
      <c r="B161" s="2541" t="s">
        <v>19</v>
      </c>
      <c r="C161" s="3922"/>
      <c r="D161" s="1630">
        <f t="shared" si="102"/>
        <v>0</v>
      </c>
      <c r="E161" s="2534">
        <v>0</v>
      </c>
      <c r="F161" s="2534">
        <f t="shared" ref="F161:K161" si="107">+F162</f>
        <v>0</v>
      </c>
      <c r="G161" s="2534">
        <f t="shared" si="107"/>
        <v>0</v>
      </c>
      <c r="H161" s="2534">
        <f t="shared" si="107"/>
        <v>0</v>
      </c>
      <c r="I161" s="2534">
        <f t="shared" si="107"/>
        <v>0</v>
      </c>
      <c r="J161" s="2534">
        <f t="shared" si="107"/>
        <v>0</v>
      </c>
      <c r="K161" s="2534">
        <f t="shared" si="107"/>
        <v>0</v>
      </c>
      <c r="L161" s="2534">
        <f>+L162</f>
        <v>0</v>
      </c>
      <c r="M161" s="2536">
        <f t="shared" si="104"/>
        <v>0</v>
      </c>
      <c r="N161" s="1617"/>
      <c r="O161" s="266"/>
    </row>
    <row r="162" spans="1:15" s="1200" customFormat="1" ht="24.75" hidden="1" customHeight="1">
      <c r="A162" s="3901"/>
      <c r="B162" s="2542" t="s">
        <v>229</v>
      </c>
      <c r="C162" s="3923"/>
      <c r="D162" s="1631">
        <f t="shared" si="102"/>
        <v>0</v>
      </c>
      <c r="E162" s="2537"/>
      <c r="F162" s="1631">
        <f>312400-312400</f>
        <v>0</v>
      </c>
      <c r="G162" s="1631"/>
      <c r="H162" s="1631"/>
      <c r="I162" s="2538"/>
      <c r="J162" s="2538"/>
      <c r="K162" s="1631"/>
      <c r="L162" s="1631">
        <f>624800-624800</f>
        <v>0</v>
      </c>
      <c r="M162" s="2539">
        <f t="shared" si="104"/>
        <v>0</v>
      </c>
      <c r="N162" s="1617"/>
      <c r="O162" s="266"/>
    </row>
    <row r="163" spans="1:15" s="1200" customFormat="1" ht="13.5" hidden="1" customHeight="1">
      <c r="A163" s="3901"/>
      <c r="B163" s="17" t="s">
        <v>227</v>
      </c>
      <c r="C163" s="148"/>
      <c r="D163" s="2543">
        <f t="shared" si="102"/>
        <v>0</v>
      </c>
      <c r="E163" s="2543">
        <v>0</v>
      </c>
      <c r="F163" s="2543">
        <f t="shared" ref="F163:K163" si="108">+F164+F166</f>
        <v>0</v>
      </c>
      <c r="G163" s="2543">
        <f t="shared" si="108"/>
        <v>0</v>
      </c>
      <c r="H163" s="2543">
        <f t="shared" si="108"/>
        <v>0</v>
      </c>
      <c r="I163" s="2543">
        <f t="shared" si="108"/>
        <v>0</v>
      </c>
      <c r="J163" s="2543">
        <f t="shared" si="108"/>
        <v>0</v>
      </c>
      <c r="K163" s="2543">
        <f t="shared" si="108"/>
        <v>0</v>
      </c>
      <c r="L163" s="2543">
        <f>+L164+L166</f>
        <v>0</v>
      </c>
      <c r="M163" s="3690" t="s">
        <v>52</v>
      </c>
      <c r="N163" s="1617"/>
      <c r="O163" s="266"/>
    </row>
    <row r="164" spans="1:15" s="1200" customFormat="1" ht="13.5" hidden="1" customHeight="1">
      <c r="A164" s="3901"/>
      <c r="B164" s="145" t="s">
        <v>22</v>
      </c>
      <c r="C164" s="3921" t="s">
        <v>235</v>
      </c>
      <c r="D164" s="2544">
        <f t="shared" si="102"/>
        <v>0</v>
      </c>
      <c r="E164" s="2545">
        <v>0</v>
      </c>
      <c r="F164" s="2545">
        <f t="shared" ref="F164:K164" si="109">+F165</f>
        <v>0</v>
      </c>
      <c r="G164" s="2545">
        <f t="shared" si="109"/>
        <v>0</v>
      </c>
      <c r="H164" s="2545">
        <f t="shared" si="109"/>
        <v>0</v>
      </c>
      <c r="I164" s="2545">
        <f t="shared" si="109"/>
        <v>0</v>
      </c>
      <c r="J164" s="2545">
        <f t="shared" si="109"/>
        <v>0</v>
      </c>
      <c r="K164" s="2545">
        <f t="shared" si="109"/>
        <v>0</v>
      </c>
      <c r="L164" s="2545">
        <f>+L165</f>
        <v>0</v>
      </c>
      <c r="M164" s="3700"/>
      <c r="N164" s="1617"/>
      <c r="O164" s="266"/>
    </row>
    <row r="165" spans="1:15" s="1200" customFormat="1" ht="13.5" hidden="1" customHeight="1">
      <c r="A165" s="3901"/>
      <c r="B165" s="1629" t="s">
        <v>53</v>
      </c>
      <c r="C165" s="3923"/>
      <c r="D165" s="2546">
        <f t="shared" si="102"/>
        <v>0</v>
      </c>
      <c r="E165" s="331"/>
      <c r="F165" s="2547"/>
      <c r="G165" s="2547"/>
      <c r="H165" s="2547"/>
      <c r="I165" s="2547"/>
      <c r="J165" s="2547"/>
      <c r="K165" s="2547"/>
      <c r="L165" s="2547"/>
      <c r="M165" s="3700"/>
      <c r="N165" s="1617"/>
      <c r="O165" s="266"/>
    </row>
    <row r="166" spans="1:15" s="1200" customFormat="1" ht="12" hidden="1" customHeight="1">
      <c r="A166" s="3901"/>
      <c r="B166" s="69" t="s">
        <v>17</v>
      </c>
      <c r="C166" s="3918" t="s">
        <v>201</v>
      </c>
      <c r="D166" s="2548">
        <f t="shared" si="102"/>
        <v>0</v>
      </c>
      <c r="E166" s="2549">
        <v>0</v>
      </c>
      <c r="F166" s="2549">
        <f t="shared" ref="F166:K166" si="110">+F167</f>
        <v>0</v>
      </c>
      <c r="G166" s="2549">
        <f t="shared" si="110"/>
        <v>0</v>
      </c>
      <c r="H166" s="2549">
        <f t="shared" si="110"/>
        <v>0</v>
      </c>
      <c r="I166" s="2549">
        <f t="shared" si="110"/>
        <v>0</v>
      </c>
      <c r="J166" s="2549">
        <f t="shared" si="110"/>
        <v>0</v>
      </c>
      <c r="K166" s="2549">
        <f t="shared" si="110"/>
        <v>0</v>
      </c>
      <c r="L166" s="2549">
        <f>+L167</f>
        <v>0</v>
      </c>
      <c r="M166" s="3700"/>
      <c r="N166" s="1617"/>
      <c r="O166" s="266"/>
    </row>
    <row r="167" spans="1:15" s="1200" customFormat="1" ht="15" hidden="1" customHeight="1">
      <c r="A167" s="3901"/>
      <c r="B167" s="2541" t="s">
        <v>19</v>
      </c>
      <c r="C167" s="3919"/>
      <c r="D167" s="2546">
        <f t="shared" si="102"/>
        <v>0</v>
      </c>
      <c r="E167" s="331">
        <v>0</v>
      </c>
      <c r="F167" s="331">
        <f t="shared" ref="F167:K167" si="111">+F168</f>
        <v>0</v>
      </c>
      <c r="G167" s="331">
        <f t="shared" si="111"/>
        <v>0</v>
      </c>
      <c r="H167" s="331">
        <f t="shared" si="111"/>
        <v>0</v>
      </c>
      <c r="I167" s="331">
        <f t="shared" si="111"/>
        <v>0</v>
      </c>
      <c r="J167" s="331">
        <f t="shared" si="111"/>
        <v>0</v>
      </c>
      <c r="K167" s="331">
        <f t="shared" si="111"/>
        <v>0</v>
      </c>
      <c r="L167" s="331">
        <f>+L168</f>
        <v>0</v>
      </c>
      <c r="M167" s="3700"/>
      <c r="N167" s="1617"/>
      <c r="O167" s="266"/>
    </row>
    <row r="168" spans="1:15" s="1200" customFormat="1" ht="24" hidden="1" customHeight="1">
      <c r="A168" s="2550"/>
      <c r="B168" s="2551" t="s">
        <v>224</v>
      </c>
      <c r="C168" s="3920"/>
      <c r="D168" s="2552">
        <f t="shared" si="102"/>
        <v>0</v>
      </c>
      <c r="E168" s="2553"/>
      <c r="F168" s="2552">
        <f>312400-312400</f>
        <v>0</v>
      </c>
      <c r="G168" s="2552"/>
      <c r="H168" s="2552"/>
      <c r="I168" s="2552"/>
      <c r="J168" s="2552"/>
      <c r="K168" s="2552"/>
      <c r="L168" s="2552">
        <f>624800-624800</f>
        <v>0</v>
      </c>
      <c r="M168" s="3947"/>
      <c r="N168" s="1617"/>
      <c r="O168" s="266"/>
    </row>
    <row r="169" spans="1:15" s="1200" customFormat="1" ht="15.75" hidden="1" customHeight="1">
      <c r="A169" s="3953" t="s">
        <v>362</v>
      </c>
      <c r="B169" s="2554" t="s">
        <v>228</v>
      </c>
      <c r="C169" s="2555" t="s">
        <v>72</v>
      </c>
      <c r="D169" s="2556"/>
      <c r="E169" s="2557"/>
      <c r="F169" s="2558"/>
      <c r="G169" s="2558"/>
      <c r="H169" s="2558"/>
      <c r="I169" s="2558"/>
      <c r="J169" s="2558"/>
      <c r="K169" s="2559"/>
      <c r="L169" s="2558"/>
      <c r="M169" s="2560"/>
      <c r="N169" s="1617"/>
      <c r="O169" s="266"/>
    </row>
    <row r="170" spans="1:15" s="1200" customFormat="1" ht="13.5" hidden="1" customHeight="1">
      <c r="A170" s="3901"/>
      <c r="B170" s="161" t="s">
        <v>9</v>
      </c>
      <c r="C170" s="2561"/>
      <c r="D170" s="334">
        <f t="shared" ref="D170:D177" si="112">SUM(E170:K170)</f>
        <v>33033363</v>
      </c>
      <c r="E170" s="2562">
        <f t="shared" ref="E170" si="113">+E171+E174</f>
        <v>1379880</v>
      </c>
      <c r="F170" s="2562">
        <f t="shared" ref="F170:K170" si="114">+F171+F174</f>
        <v>1817275</v>
      </c>
      <c r="G170" s="2562">
        <f t="shared" si="114"/>
        <v>12000000</v>
      </c>
      <c r="H170" s="2562">
        <f t="shared" si="114"/>
        <v>17836208</v>
      </c>
      <c r="I170" s="2562">
        <f t="shared" si="114"/>
        <v>0</v>
      </c>
      <c r="J170" s="2562">
        <f t="shared" si="114"/>
        <v>0</v>
      </c>
      <c r="K170" s="2562">
        <f t="shared" si="114"/>
        <v>0</v>
      </c>
      <c r="L170" s="2562">
        <f>+L171+L174</f>
        <v>0</v>
      </c>
      <c r="M170" s="2514">
        <f>+M171+M174</f>
        <v>29836208</v>
      </c>
      <c r="N170" s="1617"/>
      <c r="O170" s="266"/>
    </row>
    <row r="171" spans="1:15" s="1200" customFormat="1" ht="14.25" hidden="1" customHeight="1">
      <c r="A171" s="3901"/>
      <c r="B171" s="198" t="s">
        <v>22</v>
      </c>
      <c r="C171" s="3939" t="s">
        <v>235</v>
      </c>
      <c r="D171" s="2563">
        <f t="shared" si="112"/>
        <v>4783363</v>
      </c>
      <c r="E171" s="2564">
        <f t="shared" ref="E171" si="115">+E172+E173</f>
        <v>39719</v>
      </c>
      <c r="F171" s="2564">
        <f t="shared" ref="F171:K171" si="116">+F172+F173</f>
        <v>35242</v>
      </c>
      <c r="G171" s="2564">
        <f t="shared" si="116"/>
        <v>3425229</v>
      </c>
      <c r="H171" s="2564">
        <f t="shared" si="116"/>
        <v>1283173</v>
      </c>
      <c r="I171" s="2564">
        <f t="shared" si="116"/>
        <v>0</v>
      </c>
      <c r="J171" s="2564">
        <f t="shared" si="116"/>
        <v>0</v>
      </c>
      <c r="K171" s="2564">
        <f t="shared" si="116"/>
        <v>0</v>
      </c>
      <c r="L171" s="2564">
        <f>+L172+L173</f>
        <v>0</v>
      </c>
      <c r="M171" s="2565">
        <f>+M172+M173</f>
        <v>4708402</v>
      </c>
      <c r="N171" s="1617"/>
      <c r="O171" s="266"/>
    </row>
    <row r="172" spans="1:15" s="1200" customFormat="1" ht="15" hidden="1" customHeight="1">
      <c r="A172" s="3901"/>
      <c r="B172" s="1629" t="s">
        <v>11</v>
      </c>
      <c r="C172" s="3922"/>
      <c r="D172" s="2566">
        <f t="shared" si="112"/>
        <v>4783363</v>
      </c>
      <c r="E172" s="2567">
        <f>6785+32934</f>
        <v>39719</v>
      </c>
      <c r="F172" s="2566">
        <f>1331570+1528290+1746993-424083+157710-2889542-1412421-3275</f>
        <v>35242</v>
      </c>
      <c r="G172" s="2566">
        <f>2870218+1290507-735496</f>
        <v>3425229</v>
      </c>
      <c r="H172" s="2566">
        <f>5000+1274578+3595</f>
        <v>1283173</v>
      </c>
      <c r="I172" s="2566"/>
      <c r="J172" s="2566"/>
      <c r="K172" s="2566"/>
      <c r="L172" s="2566">
        <v>0</v>
      </c>
      <c r="M172" s="2330">
        <f>SUM(G172:K172)</f>
        <v>4708402</v>
      </c>
      <c r="N172" s="1617"/>
      <c r="O172" s="266"/>
    </row>
    <row r="173" spans="1:15" s="1200" customFormat="1" ht="17.25" hidden="1" customHeight="1">
      <c r="A173" s="3901"/>
      <c r="B173" s="1629" t="s">
        <v>53</v>
      </c>
      <c r="C173" s="3922"/>
      <c r="D173" s="2568">
        <f t="shared" si="112"/>
        <v>0</v>
      </c>
      <c r="E173" s="2569"/>
      <c r="F173" s="2568"/>
      <c r="G173" s="2568"/>
      <c r="H173" s="2568"/>
      <c r="I173" s="2568"/>
      <c r="J173" s="2568"/>
      <c r="K173" s="2568"/>
      <c r="L173" s="2568"/>
      <c r="M173" s="2330">
        <f>SUM(G173:K173)</f>
        <v>0</v>
      </c>
      <c r="N173" s="1617"/>
      <c r="O173" s="266"/>
    </row>
    <row r="174" spans="1:15" s="2846" customFormat="1" ht="15.75" hidden="1" customHeight="1">
      <c r="A174" s="3901"/>
      <c r="B174" s="657" t="s">
        <v>17</v>
      </c>
      <c r="C174" s="3922"/>
      <c r="D174" s="2563">
        <f t="shared" si="112"/>
        <v>28250000</v>
      </c>
      <c r="E174" s="2563">
        <f>+E175</f>
        <v>1340161</v>
      </c>
      <c r="F174" s="2563">
        <f t="shared" ref="F174:K174" si="117">+F175</f>
        <v>1782033</v>
      </c>
      <c r="G174" s="2563">
        <f t="shared" si="117"/>
        <v>8574771</v>
      </c>
      <c r="H174" s="2563">
        <f t="shared" si="117"/>
        <v>16553035</v>
      </c>
      <c r="I174" s="2563">
        <f t="shared" si="117"/>
        <v>0</v>
      </c>
      <c r="J174" s="2563">
        <f t="shared" si="117"/>
        <v>0</v>
      </c>
      <c r="K174" s="2563">
        <f t="shared" si="117"/>
        <v>0</v>
      </c>
      <c r="L174" s="2563">
        <f>+L175</f>
        <v>0</v>
      </c>
      <c r="M174" s="2565">
        <f>+M175</f>
        <v>25127806</v>
      </c>
      <c r="N174" s="1617"/>
      <c r="O174" s="2852"/>
    </row>
    <row r="175" spans="1:15" s="1200" customFormat="1" ht="13.5" hidden="1" customHeight="1" thickBot="1">
      <c r="A175" s="3902"/>
      <c r="B175" s="2541" t="s">
        <v>19</v>
      </c>
      <c r="C175" s="3922"/>
      <c r="D175" s="2566">
        <f t="shared" si="112"/>
        <v>28250000</v>
      </c>
      <c r="E175" s="2567">
        <f>+E176+E177</f>
        <v>1340161</v>
      </c>
      <c r="F175" s="2567">
        <f t="shared" ref="F175:K175" si="118">+F176+F177</f>
        <v>1782033</v>
      </c>
      <c r="G175" s="2567">
        <f t="shared" si="118"/>
        <v>8574771</v>
      </c>
      <c r="H175" s="2567">
        <f t="shared" si="118"/>
        <v>16553035</v>
      </c>
      <c r="I175" s="2567">
        <f t="shared" si="118"/>
        <v>0</v>
      </c>
      <c r="J175" s="2567">
        <f t="shared" si="118"/>
        <v>0</v>
      </c>
      <c r="K175" s="2567">
        <f t="shared" si="118"/>
        <v>0</v>
      </c>
      <c r="L175" s="2567">
        <f>+L176+L177</f>
        <v>0</v>
      </c>
      <c r="M175" s="2330">
        <f>+M176+M177</f>
        <v>25127806</v>
      </c>
      <c r="N175" s="1617"/>
      <c r="O175" s="266"/>
    </row>
    <row r="176" spans="1:15" s="1200" customFormat="1" ht="27" hidden="1" customHeight="1" thickBot="1">
      <c r="A176" s="3595"/>
      <c r="B176" s="2542" t="s">
        <v>224</v>
      </c>
      <c r="C176" s="3922"/>
      <c r="D176" s="2568">
        <f t="shared" si="112"/>
        <v>18000000</v>
      </c>
      <c r="E176" s="2568">
        <f>360377-6785+986569</f>
        <v>1340161</v>
      </c>
      <c r="F176" s="2568">
        <f>8003000+624800+1372200+2609637-7314788-2168789-1344027</f>
        <v>1782033</v>
      </c>
      <c r="G176" s="2568">
        <f>3584737+432072+5314788+1929747+81572-5768145</f>
        <v>5574771</v>
      </c>
      <c r="H176" s="2568">
        <f>7959008+1344027</f>
        <v>9303035</v>
      </c>
      <c r="I176" s="2568">
        <v>0</v>
      </c>
      <c r="J176" s="2568">
        <v>0</v>
      </c>
      <c r="K176" s="2568">
        <v>0</v>
      </c>
      <c r="L176" s="2568">
        <v>0</v>
      </c>
      <c r="M176" s="2330">
        <f>SUM(G176:K176)</f>
        <v>14877806</v>
      </c>
      <c r="N176" s="1617"/>
      <c r="O176" s="266"/>
    </row>
    <row r="177" spans="1:15" s="1200" customFormat="1" ht="21.75" hidden="1" customHeight="1" thickBot="1">
      <c r="A177" s="3595"/>
      <c r="B177" s="2542" t="s">
        <v>225</v>
      </c>
      <c r="C177" s="3923"/>
      <c r="D177" s="2568">
        <f t="shared" si="112"/>
        <v>10250000</v>
      </c>
      <c r="E177" s="2569">
        <v>0</v>
      </c>
      <c r="F177" s="2568">
        <f>7000000+143000-583000-2342700-2034502-2144085-38713</f>
        <v>0</v>
      </c>
      <c r="G177" s="2568">
        <f>2857000+833000+2295496+2081706-2544380-2522822</f>
        <v>3000000</v>
      </c>
      <c r="H177" s="2568">
        <f>4688465+2561535</f>
        <v>7250000</v>
      </c>
      <c r="I177" s="2568">
        <v>0</v>
      </c>
      <c r="J177" s="2568">
        <v>0</v>
      </c>
      <c r="K177" s="2568">
        <v>0</v>
      </c>
      <c r="L177" s="2568">
        <f>3000000-3000000</f>
        <v>0</v>
      </c>
      <c r="M177" s="2330">
        <f>SUM(G177:K177)</f>
        <v>10250000</v>
      </c>
      <c r="N177" s="1617"/>
      <c r="O177" s="266"/>
    </row>
    <row r="178" spans="1:15" s="1200" customFormat="1" ht="17.25" hidden="1" customHeight="1" thickBot="1">
      <c r="A178" s="3595"/>
      <c r="B178" s="161" t="s">
        <v>227</v>
      </c>
      <c r="C178" s="148"/>
      <c r="D178" s="2562">
        <f t="shared" ref="D178:K178" si="119">+D179+D181</f>
        <v>28250000</v>
      </c>
      <c r="E178" s="2562">
        <f t="shared" ref="E178" si="120">+E179+E181</f>
        <v>1242115</v>
      </c>
      <c r="F178" s="2562">
        <f t="shared" si="119"/>
        <v>1634324</v>
      </c>
      <c r="G178" s="2562">
        <f t="shared" si="119"/>
        <v>8320526</v>
      </c>
      <c r="H178" s="2562">
        <f t="shared" si="119"/>
        <v>17053035</v>
      </c>
      <c r="I178" s="2562">
        <f t="shared" si="119"/>
        <v>0</v>
      </c>
      <c r="J178" s="2562">
        <f t="shared" si="119"/>
        <v>0</v>
      </c>
      <c r="K178" s="2562">
        <f t="shared" si="119"/>
        <v>0</v>
      </c>
      <c r="L178" s="2562">
        <f>+L179+L181</f>
        <v>0</v>
      </c>
      <c r="M178" s="3945" t="s">
        <v>52</v>
      </c>
      <c r="N178" s="1617"/>
      <c r="O178" s="266"/>
    </row>
    <row r="179" spans="1:15" s="1200" customFormat="1" ht="13.5" hidden="1" customHeight="1" thickBot="1">
      <c r="A179" s="3595"/>
      <c r="B179" s="198" t="s">
        <v>22</v>
      </c>
      <c r="C179" s="3939" t="s">
        <v>235</v>
      </c>
      <c r="D179" s="2563">
        <f t="shared" ref="D179:D184" si="121">SUM(E179:K179)</f>
        <v>0</v>
      </c>
      <c r="E179" s="2564">
        <f t="shared" ref="E179:K179" si="122">+E180</f>
        <v>0</v>
      </c>
      <c r="F179" s="2564">
        <f t="shared" si="122"/>
        <v>0</v>
      </c>
      <c r="G179" s="2564">
        <f t="shared" si="122"/>
        <v>0</v>
      </c>
      <c r="H179" s="2564">
        <f t="shared" si="122"/>
        <v>0</v>
      </c>
      <c r="I179" s="2564">
        <f t="shared" si="122"/>
        <v>0</v>
      </c>
      <c r="J179" s="2564">
        <f t="shared" si="122"/>
        <v>0</v>
      </c>
      <c r="K179" s="2564">
        <f t="shared" si="122"/>
        <v>0</v>
      </c>
      <c r="L179" s="2564">
        <f>+L180</f>
        <v>0</v>
      </c>
      <c r="M179" s="3698"/>
      <c r="N179" s="1617"/>
      <c r="O179" s="266"/>
    </row>
    <row r="180" spans="1:15" s="1200" customFormat="1" ht="15" hidden="1" customHeight="1" thickBot="1">
      <c r="A180" s="3595"/>
      <c r="B180" s="1629" t="s">
        <v>53</v>
      </c>
      <c r="C180" s="3923"/>
      <c r="D180" s="2568">
        <f t="shared" si="121"/>
        <v>0</v>
      </c>
      <c r="E180" s="2568"/>
      <c r="F180" s="2568"/>
      <c r="G180" s="2568"/>
      <c r="H180" s="2568"/>
      <c r="I180" s="2568"/>
      <c r="J180" s="2568"/>
      <c r="K180" s="2568"/>
      <c r="L180" s="2568"/>
      <c r="M180" s="3698"/>
      <c r="N180" s="1617"/>
      <c r="O180" s="266"/>
    </row>
    <row r="181" spans="1:15" s="1200" customFormat="1" ht="18.75" hidden="1" customHeight="1" thickBot="1">
      <c r="A181" s="3595"/>
      <c r="B181" s="657" t="s">
        <v>17</v>
      </c>
      <c r="C181" s="3939" t="s">
        <v>241</v>
      </c>
      <c r="D181" s="2563">
        <f t="shared" si="121"/>
        <v>28250000</v>
      </c>
      <c r="E181" s="2564">
        <f t="shared" ref="E181:K181" si="123">+E182</f>
        <v>1242115</v>
      </c>
      <c r="F181" s="2564">
        <f t="shared" si="123"/>
        <v>1634324</v>
      </c>
      <c r="G181" s="2564">
        <f t="shared" si="123"/>
        <v>8320526</v>
      </c>
      <c r="H181" s="2564">
        <f t="shared" si="123"/>
        <v>17053035</v>
      </c>
      <c r="I181" s="2564">
        <f t="shared" si="123"/>
        <v>0</v>
      </c>
      <c r="J181" s="2564">
        <f t="shared" si="123"/>
        <v>0</v>
      </c>
      <c r="K181" s="2564">
        <f t="shared" si="123"/>
        <v>0</v>
      </c>
      <c r="L181" s="2564">
        <f>+L182</f>
        <v>0</v>
      </c>
      <c r="M181" s="3698"/>
      <c r="N181" s="1617"/>
      <c r="O181" s="266"/>
    </row>
    <row r="182" spans="1:15" s="1200" customFormat="1" ht="18" hidden="1" customHeight="1" thickBot="1">
      <c r="A182" s="3595"/>
      <c r="B182" s="349" t="s">
        <v>19</v>
      </c>
      <c r="C182" s="3944"/>
      <c r="D182" s="2566">
        <f t="shared" si="121"/>
        <v>28250000</v>
      </c>
      <c r="E182" s="2566">
        <f t="shared" ref="E182:K182" si="124">+E183+E184</f>
        <v>1242115</v>
      </c>
      <c r="F182" s="2566">
        <f t="shared" si="124"/>
        <v>1634324</v>
      </c>
      <c r="G182" s="2566">
        <f t="shared" si="124"/>
        <v>8320526</v>
      </c>
      <c r="H182" s="2566">
        <f t="shared" si="124"/>
        <v>17053035</v>
      </c>
      <c r="I182" s="2566">
        <f t="shared" si="124"/>
        <v>0</v>
      </c>
      <c r="J182" s="2566">
        <f t="shared" si="124"/>
        <v>0</v>
      </c>
      <c r="K182" s="2566">
        <f t="shared" si="124"/>
        <v>0</v>
      </c>
      <c r="L182" s="2566">
        <f>+L183+L184</f>
        <v>0</v>
      </c>
      <c r="M182" s="3698"/>
      <c r="N182" s="1617"/>
      <c r="O182" s="266"/>
    </row>
    <row r="183" spans="1:15" s="1200" customFormat="1" ht="22.5" hidden="1" customHeight="1" thickBot="1">
      <c r="A183" s="2570"/>
      <c r="B183" s="1613" t="s">
        <v>230</v>
      </c>
      <c r="C183" s="2571" t="s">
        <v>201</v>
      </c>
      <c r="D183" s="2568">
        <f t="shared" si="121"/>
        <v>18000000</v>
      </c>
      <c r="E183" s="2568">
        <f>226180-6785+1022720</f>
        <v>1242115</v>
      </c>
      <c r="F183" s="2568">
        <f>8003000+624800+1372200+2609637-7314788-2611664-1048861</f>
        <v>1634324</v>
      </c>
      <c r="G183" s="2568">
        <f>3584737+432072+5314788+2062295-50976-5325270-197120</f>
        <v>5820526</v>
      </c>
      <c r="H183" s="2568">
        <f>113335+7943719+1245981</f>
        <v>9303035</v>
      </c>
      <c r="I183" s="2568"/>
      <c r="J183" s="2568"/>
      <c r="K183" s="2568"/>
      <c r="L183" s="2568">
        <v>0</v>
      </c>
      <c r="M183" s="3698"/>
      <c r="N183" s="1617"/>
      <c r="O183" s="266"/>
    </row>
    <row r="184" spans="1:15" s="1200" customFormat="1" ht="24" hidden="1" customHeight="1" thickBot="1">
      <c r="A184" s="2570"/>
      <c r="B184" s="2542" t="s">
        <v>231</v>
      </c>
      <c r="C184" s="2571" t="s">
        <v>180</v>
      </c>
      <c r="D184" s="2566">
        <f t="shared" si="121"/>
        <v>10250000</v>
      </c>
      <c r="E184" s="2567"/>
      <c r="F184" s="2566">
        <f>7000000+143000-583000-2342700-2034502-2182798</f>
        <v>0</v>
      </c>
      <c r="G184" s="2566">
        <f>2857000+833000+2295496+2081706-2505667-3061535</f>
        <v>2500000</v>
      </c>
      <c r="H184" s="2566">
        <f>4688465+3061535</f>
        <v>7750000</v>
      </c>
      <c r="I184" s="2566"/>
      <c r="J184" s="2566"/>
      <c r="K184" s="2566"/>
      <c r="L184" s="2566">
        <f>3000000-3000000</f>
        <v>0</v>
      </c>
      <c r="M184" s="3946"/>
      <c r="N184" s="1617"/>
      <c r="O184" s="266"/>
    </row>
    <row r="185" spans="1:15" s="1200" customFormat="1" ht="15" hidden="1" customHeight="1" thickBot="1">
      <c r="A185" s="3595" t="s">
        <v>248</v>
      </c>
      <c r="B185" s="1623" t="s">
        <v>232</v>
      </c>
      <c r="C185" s="2531" t="s">
        <v>99</v>
      </c>
      <c r="D185" s="2572"/>
      <c r="E185" s="2573"/>
      <c r="F185" s="2574"/>
      <c r="G185" s="2574"/>
      <c r="H185" s="2574"/>
      <c r="I185" s="2574"/>
      <c r="J185" s="2574"/>
      <c r="K185" s="2575"/>
      <c r="L185" s="2574"/>
      <c r="M185" s="2576"/>
      <c r="N185" s="1617"/>
      <c r="O185" s="266"/>
    </row>
    <row r="186" spans="1:15" s="1200" customFormat="1" ht="13.5" hidden="1" customHeight="1" thickBot="1">
      <c r="A186" s="3595"/>
      <c r="B186" s="2577" t="s">
        <v>9</v>
      </c>
      <c r="C186" s="2578"/>
      <c r="D186" s="1044">
        <f>+D187+D189</f>
        <v>0</v>
      </c>
      <c r="E186" s="1044">
        <v>0</v>
      </c>
      <c r="F186" s="1044">
        <f t="shared" ref="F186:K186" si="125">+F187+F189</f>
        <v>0</v>
      </c>
      <c r="G186" s="1044">
        <f t="shared" si="125"/>
        <v>0</v>
      </c>
      <c r="H186" s="1044">
        <f t="shared" si="125"/>
        <v>0</v>
      </c>
      <c r="I186" s="1044">
        <f t="shared" si="125"/>
        <v>0</v>
      </c>
      <c r="J186" s="1044">
        <f t="shared" si="125"/>
        <v>0</v>
      </c>
      <c r="K186" s="1044">
        <f t="shared" si="125"/>
        <v>0</v>
      </c>
      <c r="L186" s="1044">
        <f>+L187+L189</f>
        <v>0</v>
      </c>
      <c r="M186" s="2579">
        <f>+M187+M189</f>
        <v>0</v>
      </c>
      <c r="N186" s="1617"/>
      <c r="O186" s="266"/>
    </row>
    <row r="187" spans="1:15" s="1200" customFormat="1" ht="13.5" hidden="1" customHeight="1" thickBot="1">
      <c r="A187" s="3595"/>
      <c r="B187" s="2027" t="s">
        <v>22</v>
      </c>
      <c r="C187" s="3954" t="s">
        <v>235</v>
      </c>
      <c r="D187" s="2544">
        <f>SUM(E187:K187)</f>
        <v>0</v>
      </c>
      <c r="E187" s="2545">
        <v>0</v>
      </c>
      <c r="F187" s="2545">
        <f t="shared" ref="F187:K187" si="126">+F188</f>
        <v>0</v>
      </c>
      <c r="G187" s="2545">
        <f t="shared" si="126"/>
        <v>0</v>
      </c>
      <c r="H187" s="2545">
        <f t="shared" si="126"/>
        <v>0</v>
      </c>
      <c r="I187" s="2545">
        <f t="shared" si="126"/>
        <v>0</v>
      </c>
      <c r="J187" s="2545">
        <f t="shared" si="126"/>
        <v>0</v>
      </c>
      <c r="K187" s="2545">
        <f t="shared" si="126"/>
        <v>0</v>
      </c>
      <c r="L187" s="2545">
        <f>+L188</f>
        <v>0</v>
      </c>
      <c r="M187" s="2580">
        <f>SUM(E187:K187)</f>
        <v>0</v>
      </c>
      <c r="N187" s="1617"/>
      <c r="O187" s="266"/>
    </row>
    <row r="188" spans="1:15" s="1200" customFormat="1" ht="13.5" hidden="1" customHeight="1" thickBot="1">
      <c r="A188" s="3595"/>
      <c r="B188" s="2581" t="s">
        <v>11</v>
      </c>
      <c r="C188" s="3955"/>
      <c r="D188" s="2547">
        <f>SUM(E188:K188)</f>
        <v>0</v>
      </c>
      <c r="E188" s="2582">
        <v>0</v>
      </c>
      <c r="F188" s="2547">
        <v>0</v>
      </c>
      <c r="G188" s="2547">
        <v>0</v>
      </c>
      <c r="H188" s="2547">
        <v>0</v>
      </c>
      <c r="I188" s="2547">
        <v>0</v>
      </c>
      <c r="J188" s="2547">
        <v>0</v>
      </c>
      <c r="K188" s="2547"/>
      <c r="L188" s="2547">
        <v>0</v>
      </c>
      <c r="M188" s="2330">
        <f>SUM(G188:K188)</f>
        <v>0</v>
      </c>
      <c r="N188" s="1617"/>
      <c r="O188" s="266"/>
    </row>
    <row r="189" spans="1:15" s="1200" customFormat="1" ht="13.5" hidden="1" customHeight="1" thickBot="1">
      <c r="A189" s="3595"/>
      <c r="B189" s="69" t="s">
        <v>17</v>
      </c>
      <c r="C189" s="3936" t="s">
        <v>138</v>
      </c>
      <c r="D189" s="2544">
        <f>SUM(E189:K189)</f>
        <v>0</v>
      </c>
      <c r="E189" s="2545">
        <v>0</v>
      </c>
      <c r="F189" s="2545">
        <f t="shared" ref="F189:K189" si="127">+F190</f>
        <v>0</v>
      </c>
      <c r="G189" s="2545">
        <f t="shared" si="127"/>
        <v>0</v>
      </c>
      <c r="H189" s="2545">
        <f t="shared" si="127"/>
        <v>0</v>
      </c>
      <c r="I189" s="2545">
        <f t="shared" si="127"/>
        <v>0</v>
      </c>
      <c r="J189" s="2545">
        <f t="shared" si="127"/>
        <v>0</v>
      </c>
      <c r="K189" s="2545">
        <f t="shared" si="127"/>
        <v>0</v>
      </c>
      <c r="L189" s="2545">
        <f>+L190</f>
        <v>0</v>
      </c>
      <c r="M189" s="2580">
        <f>SUM(E189:K189)</f>
        <v>0</v>
      </c>
      <c r="N189" s="1617"/>
      <c r="O189" s="266"/>
    </row>
    <row r="190" spans="1:15" s="1200" customFormat="1" ht="13.5" hidden="1" customHeight="1" thickBot="1">
      <c r="A190" s="3595"/>
      <c r="B190" s="2541" t="s">
        <v>19</v>
      </c>
      <c r="C190" s="3940"/>
      <c r="D190" s="2546">
        <f>SUM(E190:K190)</f>
        <v>0</v>
      </c>
      <c r="E190" s="331">
        <v>0</v>
      </c>
      <c r="F190" s="331">
        <f t="shared" ref="F190:K190" si="128">+F191</f>
        <v>0</v>
      </c>
      <c r="G190" s="331">
        <f t="shared" si="128"/>
        <v>0</v>
      </c>
      <c r="H190" s="331">
        <f t="shared" si="128"/>
        <v>0</v>
      </c>
      <c r="I190" s="331">
        <f t="shared" si="128"/>
        <v>0</v>
      </c>
      <c r="J190" s="331">
        <f t="shared" si="128"/>
        <v>0</v>
      </c>
      <c r="K190" s="331">
        <f t="shared" si="128"/>
        <v>0</v>
      </c>
      <c r="L190" s="331">
        <f>+L191</f>
        <v>0</v>
      </c>
      <c r="M190" s="2330">
        <f>SUM(G190:K190)</f>
        <v>0</v>
      </c>
      <c r="N190" s="1617"/>
      <c r="O190" s="266"/>
    </row>
    <row r="191" spans="1:15" s="1200" customFormat="1" ht="22.5" hidden="1" customHeight="1" thickBot="1">
      <c r="A191" s="3595"/>
      <c r="B191" s="2583" t="s">
        <v>229</v>
      </c>
      <c r="C191" s="3941"/>
      <c r="D191" s="2547">
        <f>SUM(E191:K191)</f>
        <v>0</v>
      </c>
      <c r="E191" s="2582">
        <v>0</v>
      </c>
      <c r="F191" s="2547">
        <f>312400-312400</f>
        <v>0</v>
      </c>
      <c r="G191" s="2547">
        <f>624800-624800</f>
        <v>0</v>
      </c>
      <c r="H191" s="2547">
        <f>625000-625000</f>
        <v>0</v>
      </c>
      <c r="I191" s="2547">
        <v>0</v>
      </c>
      <c r="J191" s="2547">
        <v>0</v>
      </c>
      <c r="K191" s="2547">
        <v>0</v>
      </c>
      <c r="L191" s="2547">
        <v>0</v>
      </c>
      <c r="M191" s="2330">
        <f>SUM(G191:K191)</f>
        <v>0</v>
      </c>
      <c r="N191" s="1617"/>
      <c r="O191" s="266"/>
    </row>
    <row r="192" spans="1:15" s="1200" customFormat="1" ht="13.5" hidden="1" customHeight="1" thickBot="1">
      <c r="A192" s="3595"/>
      <c r="B192" s="68" t="s">
        <v>227</v>
      </c>
      <c r="C192" s="152"/>
      <c r="D192" s="307">
        <f>+D193</f>
        <v>0</v>
      </c>
      <c r="E192" s="307">
        <v>0</v>
      </c>
      <c r="F192" s="307">
        <f t="shared" ref="F192:K192" si="129">+F193</f>
        <v>0</v>
      </c>
      <c r="G192" s="307">
        <f t="shared" si="129"/>
        <v>0</v>
      </c>
      <c r="H192" s="307">
        <f t="shared" si="129"/>
        <v>0</v>
      </c>
      <c r="I192" s="307">
        <f t="shared" si="129"/>
        <v>0</v>
      </c>
      <c r="J192" s="307">
        <f t="shared" si="129"/>
        <v>0</v>
      </c>
      <c r="K192" s="307">
        <f t="shared" si="129"/>
        <v>0</v>
      </c>
      <c r="L192" s="307">
        <f>+L193</f>
        <v>0</v>
      </c>
      <c r="M192" s="3938" t="s">
        <v>52</v>
      </c>
      <c r="N192" s="1617"/>
      <c r="O192" s="266"/>
    </row>
    <row r="193" spans="1:15" s="1200" customFormat="1" ht="13.5" hidden="1" customHeight="1" thickBot="1">
      <c r="A193" s="3595"/>
      <c r="B193" s="69" t="s">
        <v>17</v>
      </c>
      <c r="C193" s="3936" t="s">
        <v>201</v>
      </c>
      <c r="D193" s="2544">
        <f>SUM(E193:K193)</f>
        <v>0</v>
      </c>
      <c r="E193" s="337">
        <v>0</v>
      </c>
      <c r="F193" s="337">
        <f t="shared" ref="F193:K194" si="130">+F194</f>
        <v>0</v>
      </c>
      <c r="G193" s="337">
        <f t="shared" si="130"/>
        <v>0</v>
      </c>
      <c r="H193" s="337">
        <f t="shared" si="130"/>
        <v>0</v>
      </c>
      <c r="I193" s="337">
        <f t="shared" si="130"/>
        <v>0</v>
      </c>
      <c r="J193" s="337">
        <f t="shared" si="130"/>
        <v>0</v>
      </c>
      <c r="K193" s="337">
        <f t="shared" si="130"/>
        <v>0</v>
      </c>
      <c r="L193" s="337">
        <f>+L194</f>
        <v>0</v>
      </c>
      <c r="M193" s="3700"/>
      <c r="N193" s="1617"/>
      <c r="O193" s="266"/>
    </row>
    <row r="194" spans="1:15" s="1200" customFormat="1" ht="13.5" hidden="1" customHeight="1" thickBot="1">
      <c r="A194" s="3595"/>
      <c r="B194" s="67" t="s">
        <v>19</v>
      </c>
      <c r="C194" s="3937"/>
      <c r="D194" s="2584">
        <f>SUM(E194:K194)</f>
        <v>0</v>
      </c>
      <c r="E194" s="2585">
        <v>0</v>
      </c>
      <c r="F194" s="2585">
        <f t="shared" si="130"/>
        <v>0</v>
      </c>
      <c r="G194" s="2585">
        <f t="shared" si="130"/>
        <v>0</v>
      </c>
      <c r="H194" s="2585">
        <f t="shared" si="130"/>
        <v>0</v>
      </c>
      <c r="I194" s="2585">
        <f t="shared" si="130"/>
        <v>0</v>
      </c>
      <c r="J194" s="2585">
        <f t="shared" si="130"/>
        <v>0</v>
      </c>
      <c r="K194" s="2585">
        <f t="shared" si="130"/>
        <v>0</v>
      </c>
      <c r="L194" s="2585">
        <f>+L195</f>
        <v>0</v>
      </c>
      <c r="M194" s="3701"/>
      <c r="N194" s="1622"/>
      <c r="O194" s="266">
        <f>+D190+D201</f>
        <v>41000000</v>
      </c>
    </row>
    <row r="195" spans="1:15" s="1200" customFormat="1" ht="12" hidden="1" customHeight="1" thickBot="1">
      <c r="A195" s="2570"/>
      <c r="B195" s="2586" t="s">
        <v>224</v>
      </c>
      <c r="C195" s="2587"/>
      <c r="D195" s="2588">
        <f>SUM(E195:K195)</f>
        <v>0</v>
      </c>
      <c r="E195" s="2589"/>
      <c r="F195" s="2588">
        <f>312400-312400</f>
        <v>0</v>
      </c>
      <c r="G195" s="2588">
        <f>624800-624800</f>
        <v>0</v>
      </c>
      <c r="H195" s="2588">
        <f>625000-625000</f>
        <v>0</v>
      </c>
      <c r="I195" s="2590"/>
      <c r="J195" s="2590"/>
      <c r="K195" s="2588"/>
      <c r="L195" s="2588">
        <v>0</v>
      </c>
      <c r="M195" s="2591"/>
      <c r="N195" s="1622"/>
      <c r="O195" s="266"/>
    </row>
    <row r="196" spans="1:15" s="1200" customFormat="1" ht="16.5" hidden="1" customHeight="1" thickBot="1">
      <c r="A196" s="3595" t="s">
        <v>247</v>
      </c>
      <c r="B196" s="1623" t="s">
        <v>232</v>
      </c>
      <c r="C196" s="2331" t="s">
        <v>72</v>
      </c>
      <c r="D196" s="1624"/>
      <c r="E196" s="1625"/>
      <c r="F196" s="1626"/>
      <c r="G196" s="1626"/>
      <c r="H196" s="1626"/>
      <c r="I196" s="1626"/>
      <c r="J196" s="1626"/>
      <c r="K196" s="1627"/>
      <c r="L196" s="1626"/>
      <c r="M196" s="3345"/>
      <c r="N196" s="1617"/>
      <c r="O196" s="266"/>
    </row>
    <row r="197" spans="1:15" s="1200" customFormat="1" ht="13.5" hidden="1" customHeight="1" thickBot="1">
      <c r="A197" s="3595"/>
      <c r="B197" s="68" t="s">
        <v>9</v>
      </c>
      <c r="C197" s="2332"/>
      <c r="D197" s="1044">
        <f t="shared" ref="D197:M197" si="131">+D198+D201</f>
        <v>65118747</v>
      </c>
      <c r="E197" s="1044">
        <v>0</v>
      </c>
      <c r="F197" s="1044">
        <f t="shared" si="131"/>
        <v>0</v>
      </c>
      <c r="G197" s="1044">
        <f t="shared" si="131"/>
        <v>6000000</v>
      </c>
      <c r="H197" s="1044">
        <f t="shared" si="131"/>
        <v>31059374</v>
      </c>
      <c r="I197" s="1044">
        <f t="shared" si="131"/>
        <v>28059373</v>
      </c>
      <c r="J197" s="1044">
        <f t="shared" si="131"/>
        <v>0</v>
      </c>
      <c r="K197" s="1044">
        <f t="shared" si="131"/>
        <v>0</v>
      </c>
      <c r="L197" s="1044">
        <f>+L198+L201</f>
        <v>0</v>
      </c>
      <c r="M197" s="310">
        <f t="shared" si="131"/>
        <v>65118747</v>
      </c>
      <c r="N197" s="1617"/>
      <c r="O197" s="266"/>
    </row>
    <row r="198" spans="1:15" s="1200" customFormat="1" ht="13.5" hidden="1" customHeight="1" thickBot="1">
      <c r="A198" s="3595"/>
      <c r="B198" s="2210" t="s">
        <v>22</v>
      </c>
      <c r="C198" s="3939" t="s">
        <v>235</v>
      </c>
      <c r="D198" s="1628">
        <f>SUM(E198:K198)</f>
        <v>24118747</v>
      </c>
      <c r="E198" s="295">
        <v>0</v>
      </c>
      <c r="F198" s="295">
        <f>+F199+F200</f>
        <v>0</v>
      </c>
      <c r="G198" s="295">
        <f>+G199+G200</f>
        <v>2000000</v>
      </c>
      <c r="H198" s="295">
        <f>+H199+H200</f>
        <v>11059374</v>
      </c>
      <c r="I198" s="295">
        <f t="shared" ref="I198:K198" si="132">+I199+I200</f>
        <v>11059373</v>
      </c>
      <c r="J198" s="295">
        <f t="shared" si="132"/>
        <v>0</v>
      </c>
      <c r="K198" s="295">
        <f t="shared" si="132"/>
        <v>0</v>
      </c>
      <c r="L198" s="295">
        <f>+L199+L200</f>
        <v>0</v>
      </c>
      <c r="M198" s="2333">
        <f>SUM(E198:K198)</f>
        <v>24118747</v>
      </c>
      <c r="N198" s="1617"/>
      <c r="O198" s="266"/>
    </row>
    <row r="199" spans="1:15" s="1200" customFormat="1" ht="13.5" hidden="1" customHeight="1" thickBot="1">
      <c r="A199" s="3595"/>
      <c r="B199" s="1629" t="s">
        <v>11</v>
      </c>
      <c r="C199" s="3922"/>
      <c r="D199" s="1630">
        <f>SUM(E199:K199)</f>
        <v>24118747</v>
      </c>
      <c r="E199" s="296"/>
      <c r="F199" s="1630">
        <f>298890-145175+17079-170794</f>
        <v>0</v>
      </c>
      <c r="G199" s="1630">
        <f>4006159-2149730+11478766-1254345+1284139-1290507-10074482</f>
        <v>2000000</v>
      </c>
      <c r="H199" s="1630">
        <f>825200-119869+1136000+9043924+1438489-1284139+98690-78921</f>
        <v>11059374</v>
      </c>
      <c r="I199" s="1630">
        <v>11059373</v>
      </c>
      <c r="J199" s="1630"/>
      <c r="K199" s="1630"/>
      <c r="L199" s="1630">
        <v>0</v>
      </c>
      <c r="M199" s="2330">
        <f>SUM(G199:K199)</f>
        <v>24118747</v>
      </c>
      <c r="N199" s="1617"/>
      <c r="O199" s="266"/>
    </row>
    <row r="200" spans="1:15" s="1200" customFormat="1" ht="13.5" hidden="1" customHeight="1" thickBot="1">
      <c r="A200" s="3595"/>
      <c r="B200" s="1629" t="s">
        <v>15</v>
      </c>
      <c r="C200" s="3922"/>
      <c r="D200" s="1630">
        <f>SUM(E200:K200)</f>
        <v>0</v>
      </c>
      <c r="E200" s="296"/>
      <c r="F200" s="1630">
        <f>277300-277300</f>
        <v>0</v>
      </c>
      <c r="G200" s="1630">
        <f>3328200-3328200</f>
        <v>0</v>
      </c>
      <c r="H200" s="1630">
        <f>1394500+277300-1671800</f>
        <v>0</v>
      </c>
      <c r="I200" s="1630"/>
      <c r="J200" s="1630"/>
      <c r="K200" s="1630"/>
      <c r="L200" s="1630">
        <v>0</v>
      </c>
      <c r="M200" s="2334">
        <f>SUM(F200:K200)</f>
        <v>0</v>
      </c>
      <c r="N200" s="1622"/>
      <c r="O200" s="266"/>
    </row>
    <row r="201" spans="1:15" s="1200" customFormat="1" ht="15.75" hidden="1" customHeight="1" thickBot="1">
      <c r="A201" s="3595"/>
      <c r="B201" s="365" t="s">
        <v>17</v>
      </c>
      <c r="C201" s="3942"/>
      <c r="D201" s="1628">
        <f>SUM(E201:K201)</f>
        <v>41000000</v>
      </c>
      <c r="E201" s="1628">
        <v>0</v>
      </c>
      <c r="F201" s="1628">
        <f t="shared" ref="F201:K201" si="133">+F202</f>
        <v>0</v>
      </c>
      <c r="G201" s="1628">
        <f t="shared" si="133"/>
        <v>4000000</v>
      </c>
      <c r="H201" s="1628">
        <f t="shared" si="133"/>
        <v>20000000</v>
      </c>
      <c r="I201" s="1628">
        <f t="shared" si="133"/>
        <v>17000000</v>
      </c>
      <c r="J201" s="1628">
        <f t="shared" si="133"/>
        <v>0</v>
      </c>
      <c r="K201" s="1628">
        <f t="shared" si="133"/>
        <v>0</v>
      </c>
      <c r="L201" s="1628">
        <f>+L202</f>
        <v>0</v>
      </c>
      <c r="M201" s="2335">
        <f>SUM(E201:K201)</f>
        <v>41000000</v>
      </c>
      <c r="N201" s="2336"/>
      <c r="O201" s="266"/>
    </row>
    <row r="202" spans="1:15" s="1200" customFormat="1" ht="12" hidden="1" customHeight="1" thickBot="1">
      <c r="A202" s="3595"/>
      <c r="B202" s="349" t="s">
        <v>19</v>
      </c>
      <c r="C202" s="3943"/>
      <c r="D202" s="1630">
        <f>+D203+D204</f>
        <v>41000000</v>
      </c>
      <c r="E202" s="1630">
        <v>0</v>
      </c>
      <c r="F202" s="1630">
        <f t="shared" ref="F202:K202" si="134">+F203+F204</f>
        <v>0</v>
      </c>
      <c r="G202" s="1630">
        <f t="shared" si="134"/>
        <v>4000000</v>
      </c>
      <c r="H202" s="1630">
        <f t="shared" si="134"/>
        <v>20000000</v>
      </c>
      <c r="I202" s="1630">
        <f t="shared" si="134"/>
        <v>17000000</v>
      </c>
      <c r="J202" s="1630">
        <f t="shared" si="134"/>
        <v>0</v>
      </c>
      <c r="K202" s="1630">
        <f t="shared" si="134"/>
        <v>0</v>
      </c>
      <c r="L202" s="1630">
        <f>+L203+L204</f>
        <v>0</v>
      </c>
      <c r="M202" s="2330">
        <f>SUM(G202:K202)</f>
        <v>41000000</v>
      </c>
      <c r="N202" s="2336"/>
      <c r="O202" s="266"/>
    </row>
    <row r="203" spans="1:15" s="1200" customFormat="1" ht="22.5" hidden="1" customHeight="1" thickBot="1">
      <c r="A203" s="3595"/>
      <c r="B203" s="1613" t="s">
        <v>233</v>
      </c>
      <c r="C203" s="3943"/>
      <c r="D203" s="1631">
        <f>+E203+L203+F203+G203+H203+I203+J203+K203</f>
        <v>0</v>
      </c>
      <c r="E203" s="2338">
        <v>0</v>
      </c>
      <c r="F203" s="1631">
        <v>0</v>
      </c>
      <c r="G203" s="1631">
        <f>915000+624800-1539800</f>
        <v>0</v>
      </c>
      <c r="H203" s="1631">
        <f>511000+625000-1136000</f>
        <v>0</v>
      </c>
      <c r="I203" s="1631">
        <v>0</v>
      </c>
      <c r="J203" s="1631">
        <v>0</v>
      </c>
      <c r="K203" s="1631">
        <v>0</v>
      </c>
      <c r="L203" s="1631">
        <v>0</v>
      </c>
      <c r="M203" s="2337">
        <f>SUM(F203:K203)</f>
        <v>0</v>
      </c>
      <c r="N203" s="2336"/>
      <c r="O203" s="266"/>
    </row>
    <row r="204" spans="1:15" s="1200" customFormat="1" ht="23.25" hidden="1" customHeight="1" thickBot="1">
      <c r="A204" s="3900"/>
      <c r="B204" s="2339" t="s">
        <v>226</v>
      </c>
      <c r="C204" s="3943"/>
      <c r="D204" s="2340">
        <f>+E204+L204+F204+G204+H204+I204+J204+K204</f>
        <v>41000000</v>
      </c>
      <c r="E204" s="2341">
        <v>0</v>
      </c>
      <c r="F204" s="2340">
        <f>2328000-2328000</f>
        <v>0</v>
      </c>
      <c r="G204" s="2340">
        <f>27936000-5731740+345740-2337736+2238756-2236767-16214253</f>
        <v>4000000</v>
      </c>
      <c r="H204" s="2340">
        <f>11600000+8059740-1209740+2337736-2238756+2236767-785747</f>
        <v>20000000</v>
      </c>
      <c r="I204" s="2340">
        <v>17000000</v>
      </c>
      <c r="J204" s="2340">
        <v>0</v>
      </c>
      <c r="K204" s="2340">
        <v>0</v>
      </c>
      <c r="L204" s="2340">
        <v>0</v>
      </c>
      <c r="M204" s="2330">
        <f>SUM(G204:K204)</f>
        <v>41000000</v>
      </c>
      <c r="N204" s="2336"/>
      <c r="O204" s="266"/>
    </row>
    <row r="205" spans="1:15" s="1200" customFormat="1" ht="13.5" hidden="1" customHeight="1" thickBot="1">
      <c r="A205" s="3901"/>
      <c r="B205" s="17" t="s">
        <v>227</v>
      </c>
      <c r="C205" s="2342"/>
      <c r="D205" s="2343">
        <f t="shared" ref="D205:K205" si="135">+D206+D208</f>
        <v>41000000</v>
      </c>
      <c r="E205" s="2343">
        <v>0</v>
      </c>
      <c r="F205" s="2343">
        <f t="shared" si="135"/>
        <v>0</v>
      </c>
      <c r="G205" s="2343">
        <f t="shared" si="135"/>
        <v>3500000</v>
      </c>
      <c r="H205" s="2343">
        <f t="shared" si="135"/>
        <v>19000000</v>
      </c>
      <c r="I205" s="2343">
        <f t="shared" si="135"/>
        <v>18500000</v>
      </c>
      <c r="J205" s="2343">
        <f t="shared" si="135"/>
        <v>0</v>
      </c>
      <c r="K205" s="2343">
        <f t="shared" si="135"/>
        <v>0</v>
      </c>
      <c r="L205" s="2343">
        <f>+L206+L208</f>
        <v>0</v>
      </c>
      <c r="M205" s="3948" t="s">
        <v>52</v>
      </c>
      <c r="N205" s="2336"/>
      <c r="O205" s="266"/>
    </row>
    <row r="206" spans="1:15" s="1200" customFormat="1" ht="15" hidden="1" customHeight="1" thickBot="1">
      <c r="A206" s="3901"/>
      <c r="B206" s="2210" t="s">
        <v>22</v>
      </c>
      <c r="C206" s="3950" t="s">
        <v>241</v>
      </c>
      <c r="D206" s="1628">
        <f>+D207</f>
        <v>0</v>
      </c>
      <c r="E206" s="1628">
        <v>0</v>
      </c>
      <c r="F206" s="1628">
        <f t="shared" ref="F206:K206" si="136">+F207</f>
        <v>0</v>
      </c>
      <c r="G206" s="1628">
        <f t="shared" si="136"/>
        <v>0</v>
      </c>
      <c r="H206" s="1628">
        <f t="shared" si="136"/>
        <v>0</v>
      </c>
      <c r="I206" s="1628">
        <f t="shared" si="136"/>
        <v>0</v>
      </c>
      <c r="J206" s="1628">
        <f t="shared" si="136"/>
        <v>0</v>
      </c>
      <c r="K206" s="1628">
        <f t="shared" si="136"/>
        <v>0</v>
      </c>
      <c r="L206" s="1628">
        <f>+L207</f>
        <v>0</v>
      </c>
      <c r="M206" s="3700"/>
      <c r="N206" s="2336"/>
      <c r="O206" s="266"/>
    </row>
    <row r="207" spans="1:15" s="1200" customFormat="1" ht="16.5" hidden="1" customHeight="1" thickBot="1">
      <c r="A207" s="3901"/>
      <c r="B207" s="1629" t="s">
        <v>15</v>
      </c>
      <c r="C207" s="3951"/>
      <c r="D207" s="1630">
        <f>SUM(E207:K207)</f>
        <v>0</v>
      </c>
      <c r="E207" s="296"/>
      <c r="F207" s="1630">
        <f>277300-277300</f>
        <v>0</v>
      </c>
      <c r="G207" s="1630">
        <f>3328200-3328200</f>
        <v>0</v>
      </c>
      <c r="H207" s="1630">
        <f>1394500+277300-1671800</f>
        <v>0</v>
      </c>
      <c r="I207" s="1630"/>
      <c r="J207" s="1630"/>
      <c r="K207" s="1630"/>
      <c r="L207" s="1630">
        <v>0</v>
      </c>
      <c r="M207" s="3700"/>
      <c r="N207" s="2336"/>
      <c r="O207" s="266"/>
    </row>
    <row r="208" spans="1:15" s="1200" customFormat="1" ht="16.5" hidden="1" customHeight="1" thickBot="1">
      <c r="A208" s="3901"/>
      <c r="B208" s="365" t="s">
        <v>17</v>
      </c>
      <c r="C208" s="3951"/>
      <c r="D208" s="1628">
        <f>SUM(E208:K208)</f>
        <v>41000000</v>
      </c>
      <c r="E208" s="1628">
        <v>0</v>
      </c>
      <c r="F208" s="1628">
        <f t="shared" ref="F208:K208" si="137">+F209</f>
        <v>0</v>
      </c>
      <c r="G208" s="1628">
        <f t="shared" si="137"/>
        <v>3500000</v>
      </c>
      <c r="H208" s="1628">
        <f t="shared" si="137"/>
        <v>19000000</v>
      </c>
      <c r="I208" s="1628">
        <f t="shared" si="137"/>
        <v>18500000</v>
      </c>
      <c r="J208" s="1628">
        <f t="shared" si="137"/>
        <v>0</v>
      </c>
      <c r="K208" s="1628">
        <f t="shared" si="137"/>
        <v>0</v>
      </c>
      <c r="L208" s="1628">
        <f>+L209</f>
        <v>0</v>
      </c>
      <c r="M208" s="3700"/>
      <c r="N208" s="2336"/>
      <c r="O208" s="266"/>
    </row>
    <row r="209" spans="1:15" s="1200" customFormat="1" ht="15" hidden="1" customHeight="1" thickBot="1">
      <c r="A209" s="3344"/>
      <c r="B209" s="349" t="s">
        <v>19</v>
      </c>
      <c r="C209" s="3952"/>
      <c r="D209" s="1630">
        <f>SUM(E209:K209)</f>
        <v>41000000</v>
      </c>
      <c r="E209" s="1630">
        <v>0</v>
      </c>
      <c r="F209" s="1630">
        <f>+F210+F211</f>
        <v>0</v>
      </c>
      <c r="G209" s="1630">
        <f t="shared" ref="G209:K209" si="138">+G210+G211</f>
        <v>3500000</v>
      </c>
      <c r="H209" s="1630">
        <f t="shared" si="138"/>
        <v>19000000</v>
      </c>
      <c r="I209" s="1630">
        <f t="shared" si="138"/>
        <v>18500000</v>
      </c>
      <c r="J209" s="1630">
        <f t="shared" si="138"/>
        <v>0</v>
      </c>
      <c r="K209" s="1630">
        <f t="shared" si="138"/>
        <v>0</v>
      </c>
      <c r="L209" s="1630">
        <f>+L210+L211</f>
        <v>0</v>
      </c>
      <c r="M209" s="3700"/>
      <c r="N209" s="2336"/>
      <c r="O209" s="266"/>
    </row>
    <row r="210" spans="1:15" s="1200" customFormat="1" ht="27.75" hidden="1" customHeight="1" thickBot="1">
      <c r="A210" s="3344"/>
      <c r="B210" s="1613" t="s">
        <v>224</v>
      </c>
      <c r="C210" s="3347" t="s">
        <v>201</v>
      </c>
      <c r="D210" s="1631">
        <f>SUM(E210:K210)</f>
        <v>0</v>
      </c>
      <c r="E210" s="2338">
        <v>0</v>
      </c>
      <c r="F210" s="1631">
        <v>0</v>
      </c>
      <c r="G210" s="1631">
        <f>915000+624800-1539800</f>
        <v>0</v>
      </c>
      <c r="H210" s="1631">
        <f>511000+625000-1136000</f>
        <v>0</v>
      </c>
      <c r="I210" s="1631">
        <v>0</v>
      </c>
      <c r="J210" s="1631">
        <v>0</v>
      </c>
      <c r="K210" s="1631">
        <v>0</v>
      </c>
      <c r="L210" s="1631">
        <v>0</v>
      </c>
      <c r="M210" s="3700"/>
      <c r="N210" s="2344"/>
      <c r="O210" s="266"/>
    </row>
    <row r="211" spans="1:15" s="1200" customFormat="1" ht="21.75" hidden="1" customHeight="1" thickBot="1">
      <c r="A211" s="3344"/>
      <c r="B211" s="1619" t="s">
        <v>234</v>
      </c>
      <c r="C211" s="3347" t="s">
        <v>180</v>
      </c>
      <c r="D211" s="2345">
        <f>SUM(E211:K211)</f>
        <v>41000000</v>
      </c>
      <c r="E211" s="2346">
        <v>0</v>
      </c>
      <c r="F211" s="2345">
        <f>2328000-2328000</f>
        <v>0</v>
      </c>
      <c r="G211" s="2345">
        <f>27936000-5731740+345740-2337736+2238756-2236767-16714253</f>
        <v>3500000</v>
      </c>
      <c r="H211" s="2345">
        <f>11600000+8059740-1209740+2337736-2238756+2236767-1785747</f>
        <v>19000000</v>
      </c>
      <c r="I211" s="2345">
        <v>18500000</v>
      </c>
      <c r="J211" s="2345">
        <v>0</v>
      </c>
      <c r="K211" s="2345">
        <v>0</v>
      </c>
      <c r="L211" s="2345">
        <v>0</v>
      </c>
      <c r="M211" s="3701"/>
      <c r="N211" s="2344"/>
      <c r="O211" s="266"/>
    </row>
    <row r="212" spans="1:15" s="1200" customFormat="1" ht="27" customHeight="1" thickBot="1">
      <c r="A212" s="3900" t="s">
        <v>80</v>
      </c>
      <c r="B212" s="143" t="s">
        <v>246</v>
      </c>
      <c r="C212" s="144" t="s">
        <v>99</v>
      </c>
      <c r="D212" s="328"/>
      <c r="E212" s="328"/>
      <c r="F212" s="328">
        <f>F213-F217</f>
        <v>3939204</v>
      </c>
      <c r="G212" s="328"/>
      <c r="H212" s="328"/>
      <c r="I212" s="328"/>
      <c r="J212" s="328"/>
      <c r="K212" s="328"/>
      <c r="L212" s="328"/>
      <c r="M212" s="328"/>
      <c r="N212" s="3596" t="s">
        <v>267</v>
      </c>
      <c r="O212" s="266"/>
    </row>
    <row r="213" spans="1:15" s="1200" customFormat="1" ht="13.5" thickBot="1">
      <c r="A213" s="3901"/>
      <c r="B213" s="17" t="s">
        <v>9</v>
      </c>
      <c r="C213" s="346"/>
      <c r="D213" s="305">
        <f>+D214+D218</f>
        <v>5491442</v>
      </c>
      <c r="E213" s="305">
        <f t="shared" ref="E213" si="139">+E214+E218</f>
        <v>1183415</v>
      </c>
      <c r="F213" s="305">
        <f>+F214+F218</f>
        <v>4308027</v>
      </c>
      <c r="G213" s="292"/>
      <c r="H213" s="292"/>
      <c r="I213" s="292"/>
      <c r="J213" s="292"/>
      <c r="K213" s="292"/>
      <c r="L213" s="305">
        <f t="shared" ref="L213" si="140">+L214+L218</f>
        <v>0</v>
      </c>
      <c r="M213" s="347">
        <f>M214+M218</f>
        <v>0</v>
      </c>
      <c r="N213" s="3894"/>
      <c r="O213" s="266"/>
    </row>
    <row r="214" spans="1:15" s="1200" customFormat="1">
      <c r="A214" s="3901"/>
      <c r="B214" s="145" t="s">
        <v>22</v>
      </c>
      <c r="C214" s="3949" t="s">
        <v>168</v>
      </c>
      <c r="D214" s="293">
        <f>SUM(D215:D217)</f>
        <v>1295641</v>
      </c>
      <c r="E214" s="293">
        <f>SUM(E215:E217)</f>
        <v>281658</v>
      </c>
      <c r="F214" s="293">
        <f t="shared" ref="F214" si="141">SUM(F215:F217)</f>
        <v>1013983</v>
      </c>
      <c r="G214" s="293"/>
      <c r="H214" s="293"/>
      <c r="I214" s="293"/>
      <c r="J214" s="293"/>
      <c r="K214" s="293"/>
      <c r="L214" s="293">
        <f>SUM(L215:L217)</f>
        <v>0</v>
      </c>
      <c r="M214" s="294">
        <f>SUM(M215:M216)</f>
        <v>0</v>
      </c>
      <c r="N214" s="3895"/>
      <c r="O214" s="266"/>
    </row>
    <row r="215" spans="1:15" s="1200" customFormat="1">
      <c r="A215" s="3901"/>
      <c r="B215" s="146" t="s">
        <v>11</v>
      </c>
      <c r="C215" s="3934"/>
      <c r="D215" s="211">
        <f>E215+L215+F215+G215+H215+I215+J215+K215</f>
        <v>100000</v>
      </c>
      <c r="E215" s="1006">
        <f>10611+25531</f>
        <v>36142</v>
      </c>
      <c r="F215" s="1601">
        <f>12500+24987+22258+4113</f>
        <v>63858</v>
      </c>
      <c r="G215" s="348"/>
      <c r="H215" s="348"/>
      <c r="I215" s="348"/>
      <c r="J215" s="348"/>
      <c r="K215" s="348"/>
      <c r="L215" s="1601">
        <v>0</v>
      </c>
      <c r="M215" s="524">
        <f>SUM(G215:K215)</f>
        <v>0</v>
      </c>
      <c r="N215" s="3896"/>
      <c r="O215" s="266"/>
    </row>
    <row r="216" spans="1:15" s="1200" customFormat="1">
      <c r="A216" s="3901"/>
      <c r="B216" s="146" t="s">
        <v>12</v>
      </c>
      <c r="C216" s="3875"/>
      <c r="D216" s="211">
        <f>E216+L216+F216+G216+H216+I216+J216+K216</f>
        <v>740435</v>
      </c>
      <c r="E216" s="1006">
        <f>18080+141053</f>
        <v>159133</v>
      </c>
      <c r="F216" s="1632">
        <f>163259+60000-113551+457832+13762</f>
        <v>581302</v>
      </c>
      <c r="G216" s="147"/>
      <c r="H216" s="147"/>
      <c r="I216" s="147"/>
      <c r="J216" s="147"/>
      <c r="K216" s="147"/>
      <c r="L216" s="1632">
        <v>0</v>
      </c>
      <c r="M216" s="524">
        <f>SUM(G216:K216)</f>
        <v>0</v>
      </c>
      <c r="N216" s="3896"/>
      <c r="O216" s="266"/>
    </row>
    <row r="217" spans="1:15" s="1200" customFormat="1">
      <c r="A217" s="3901"/>
      <c r="B217" s="1633" t="s">
        <v>30</v>
      </c>
      <c r="C217" s="3875"/>
      <c r="D217" s="211">
        <f>E217+L217+F217+G217+H217+I217+J217+K217</f>
        <v>455206</v>
      </c>
      <c r="E217" s="1006">
        <f>86383</f>
        <v>86383</v>
      </c>
      <c r="F217" s="147">
        <f>110761+40823+239676-22437</f>
        <v>368823</v>
      </c>
      <c r="G217" s="147"/>
      <c r="H217" s="147"/>
      <c r="I217" s="147"/>
      <c r="J217" s="147"/>
      <c r="K217" s="147"/>
      <c r="L217" s="147">
        <v>0</v>
      </c>
      <c r="M217" s="1838">
        <v>0</v>
      </c>
      <c r="N217" s="3896"/>
      <c r="O217" s="266"/>
    </row>
    <row r="218" spans="1:15" s="1200" customFormat="1">
      <c r="A218" s="3901"/>
      <c r="B218" s="69" t="s">
        <v>17</v>
      </c>
      <c r="C218" s="3875"/>
      <c r="D218" s="295">
        <f>+D219</f>
        <v>4195801</v>
      </c>
      <c r="E218" s="295">
        <f t="shared" ref="E218:F218" si="142">E219</f>
        <v>901757</v>
      </c>
      <c r="F218" s="1634">
        <f t="shared" si="142"/>
        <v>3294044</v>
      </c>
      <c r="G218" s="295"/>
      <c r="H218" s="295"/>
      <c r="I218" s="295"/>
      <c r="J218" s="295"/>
      <c r="K218" s="295"/>
      <c r="L218" s="1634">
        <f>L219</f>
        <v>0</v>
      </c>
      <c r="M218" s="294">
        <f>+M219</f>
        <v>0</v>
      </c>
      <c r="N218" s="3896"/>
      <c r="O218" s="266"/>
    </row>
    <row r="219" spans="1:15" s="1200" customFormat="1">
      <c r="A219" s="3901"/>
      <c r="B219" s="1635" t="s">
        <v>19</v>
      </c>
      <c r="C219" s="3876"/>
      <c r="D219" s="211">
        <f>E219+L219+F219+G219+H219+I219+J219+K219</f>
        <v>4195801</v>
      </c>
      <c r="E219" s="1006">
        <f>102459+799298</f>
        <v>901757</v>
      </c>
      <c r="F219" s="1636">
        <f>925133+340000-643459+2594379+77991</f>
        <v>3294044</v>
      </c>
      <c r="G219" s="110"/>
      <c r="H219" s="110"/>
      <c r="I219" s="110"/>
      <c r="J219" s="110"/>
      <c r="K219" s="110"/>
      <c r="L219" s="1636">
        <v>0</v>
      </c>
      <c r="M219" s="524">
        <f>SUM(G219:K219)</f>
        <v>0</v>
      </c>
      <c r="N219" s="3896"/>
      <c r="O219" s="266"/>
    </row>
    <row r="220" spans="1:15" s="1200" customFormat="1">
      <c r="A220" s="3430"/>
      <c r="B220" s="17" t="s">
        <v>20</v>
      </c>
      <c r="C220" s="148"/>
      <c r="D220" s="292">
        <f>+D221+D223</f>
        <v>4936236</v>
      </c>
      <c r="E220" s="292">
        <f t="shared" ref="E220" si="143">E221+E223</f>
        <v>1060890</v>
      </c>
      <c r="F220" s="292">
        <f t="shared" ref="F220" si="144">F221+F223</f>
        <v>3875346</v>
      </c>
      <c r="G220" s="298"/>
      <c r="H220" s="292"/>
      <c r="I220" s="292"/>
      <c r="J220" s="292"/>
      <c r="K220" s="292"/>
      <c r="L220" s="292">
        <f>L221+L223</f>
        <v>0</v>
      </c>
      <c r="M220" s="3889" t="s">
        <v>52</v>
      </c>
      <c r="N220" s="3896"/>
      <c r="O220" s="266">
        <f>F220-'[1]Tab. 6E - Administracja'!$G$220</f>
        <v>91753</v>
      </c>
    </row>
    <row r="221" spans="1:15" s="1200" customFormat="1">
      <c r="A221" s="3430"/>
      <c r="B221" s="149" t="s">
        <v>22</v>
      </c>
      <c r="C221" s="3949" t="s">
        <v>168</v>
      </c>
      <c r="D221" s="293">
        <f>+D222</f>
        <v>740435</v>
      </c>
      <c r="E221" s="293">
        <f t="shared" ref="E221:F221" si="145">E222</f>
        <v>159133</v>
      </c>
      <c r="F221" s="293">
        <f t="shared" si="145"/>
        <v>581302</v>
      </c>
      <c r="G221" s="299"/>
      <c r="H221" s="293"/>
      <c r="I221" s="293"/>
      <c r="J221" s="293"/>
      <c r="K221" s="293"/>
      <c r="L221" s="293">
        <f>L222</f>
        <v>0</v>
      </c>
      <c r="M221" s="3700"/>
      <c r="N221" s="3896"/>
      <c r="O221" s="266"/>
    </row>
    <row r="222" spans="1:15" s="1200" customFormat="1">
      <c r="A222" s="3430"/>
      <c r="B222" s="150" t="s">
        <v>12</v>
      </c>
      <c r="C222" s="3875"/>
      <c r="D222" s="211">
        <f>E222+L222+F222+G222+H222+I222+J222+K222</f>
        <v>740435</v>
      </c>
      <c r="E222" s="1006">
        <f>18080+141053</f>
        <v>159133</v>
      </c>
      <c r="F222" s="499">
        <f>163259+60000-113551+457832+13762</f>
        <v>581302</v>
      </c>
      <c r="G222" s="296"/>
      <c r="H222" s="296"/>
      <c r="I222" s="296"/>
      <c r="J222" s="296"/>
      <c r="K222" s="296"/>
      <c r="L222" s="499">
        <v>0</v>
      </c>
      <c r="M222" s="3700"/>
      <c r="N222" s="3896"/>
      <c r="O222" s="266"/>
    </row>
    <row r="223" spans="1:15" s="1200" customFormat="1">
      <c r="A223" s="3430"/>
      <c r="B223" s="1599" t="s">
        <v>17</v>
      </c>
      <c r="C223" s="3875"/>
      <c r="D223" s="295">
        <f>+D224</f>
        <v>4195801</v>
      </c>
      <c r="E223" s="295">
        <f t="shared" ref="E223:F223" si="146">E224</f>
        <v>901757</v>
      </c>
      <c r="F223" s="1634">
        <f t="shared" si="146"/>
        <v>3294044</v>
      </c>
      <c r="G223" s="300"/>
      <c r="H223" s="295"/>
      <c r="I223" s="295"/>
      <c r="J223" s="295"/>
      <c r="K223" s="295"/>
      <c r="L223" s="1634">
        <f>L224</f>
        <v>0</v>
      </c>
      <c r="M223" s="3700"/>
      <c r="N223" s="3896"/>
      <c r="O223" s="266"/>
    </row>
    <row r="224" spans="1:15" s="1200" customFormat="1" ht="13.5" thickBot="1">
      <c r="A224" s="3431"/>
      <c r="B224" s="297" t="s">
        <v>19</v>
      </c>
      <c r="C224" s="3907"/>
      <c r="D224" s="211">
        <f>E224+L224+F224+G224+H224+I224+J224+K224</f>
        <v>4195801</v>
      </c>
      <c r="E224" s="1006">
        <f>102459+799298</f>
        <v>901757</v>
      </c>
      <c r="F224" s="1637">
        <f>925133+340000-643459+2594379+77991</f>
        <v>3294044</v>
      </c>
      <c r="G224" s="151"/>
      <c r="H224" s="151"/>
      <c r="I224" s="151"/>
      <c r="J224" s="151"/>
      <c r="K224" s="151"/>
      <c r="L224" s="1637">
        <v>0</v>
      </c>
      <c r="M224" s="3701"/>
      <c r="N224" s="3897"/>
      <c r="O224" s="266"/>
    </row>
    <row r="225" spans="1:15" s="1200" customFormat="1" ht="36" customHeight="1">
      <c r="A225" s="3900" t="s">
        <v>81</v>
      </c>
      <c r="B225" s="143" t="s">
        <v>290</v>
      </c>
      <c r="C225" s="144" t="s">
        <v>72</v>
      </c>
      <c r="D225" s="160"/>
      <c r="E225" s="159"/>
      <c r="F225" s="159"/>
      <c r="G225" s="159"/>
      <c r="H225" s="159"/>
      <c r="I225" s="159"/>
      <c r="J225" s="159"/>
      <c r="K225" s="219"/>
      <c r="L225" s="159"/>
      <c r="M225" s="291"/>
      <c r="N225" s="3909" t="s">
        <v>267</v>
      </c>
      <c r="O225" s="266"/>
    </row>
    <row r="226" spans="1:15" s="1200" customFormat="1">
      <c r="A226" s="3901"/>
      <c r="B226" s="492" t="s">
        <v>9</v>
      </c>
      <c r="C226" s="1163"/>
      <c r="D226" s="1138">
        <f t="shared" ref="D226:F226" si="147">+D227+D229</f>
        <v>5764</v>
      </c>
      <c r="E226" s="1138">
        <f t="shared" ref="E226" si="148">+E227+E229</f>
        <v>5764</v>
      </c>
      <c r="F226" s="1138">
        <f t="shared" si="147"/>
        <v>0</v>
      </c>
      <c r="G226" s="1132"/>
      <c r="H226" s="1132"/>
      <c r="I226" s="1132"/>
      <c r="J226" s="1132"/>
      <c r="K226" s="1132"/>
      <c r="L226" s="1138">
        <f>+L227+L229</f>
        <v>0</v>
      </c>
      <c r="M226" s="1164">
        <f>M227+M229</f>
        <v>0</v>
      </c>
      <c r="N226" s="3896"/>
      <c r="O226" s="266"/>
    </row>
    <row r="227" spans="1:15" s="1200" customFormat="1">
      <c r="A227" s="3901"/>
      <c r="B227" s="470" t="s">
        <v>22</v>
      </c>
      <c r="C227" s="3599" t="s">
        <v>168</v>
      </c>
      <c r="D227" s="1122">
        <f t="shared" ref="D227:F227" si="149">SUM(D228:D228)</f>
        <v>865</v>
      </c>
      <c r="E227" s="1122">
        <f t="shared" si="149"/>
        <v>865</v>
      </c>
      <c r="F227" s="1122">
        <f t="shared" si="149"/>
        <v>0</v>
      </c>
      <c r="G227" s="1122"/>
      <c r="H227" s="1122"/>
      <c r="I227" s="1122"/>
      <c r="J227" s="1122"/>
      <c r="K227" s="1122"/>
      <c r="L227" s="1122">
        <f>SUM(L228:L228)</f>
        <v>0</v>
      </c>
      <c r="M227" s="524">
        <f>SUM(F227:K227)</f>
        <v>0</v>
      </c>
      <c r="N227" s="3896"/>
      <c r="O227" s="266"/>
    </row>
    <row r="228" spans="1:15" s="1200" customFormat="1">
      <c r="A228" s="3901"/>
      <c r="B228" s="146" t="s">
        <v>12</v>
      </c>
      <c r="C228" s="3875"/>
      <c r="D228" s="1113">
        <f>E228+L228+F228+G228+H228+I228+J228+K228</f>
        <v>865</v>
      </c>
      <c r="E228" s="1124">
        <v>865</v>
      </c>
      <c r="F228" s="147">
        <v>0</v>
      </c>
      <c r="G228" s="147"/>
      <c r="H228" s="147"/>
      <c r="I228" s="147"/>
      <c r="J228" s="147"/>
      <c r="K228" s="147"/>
      <c r="L228" s="147">
        <v>0</v>
      </c>
      <c r="M228" s="524">
        <f>SUM(F228:K228)</f>
        <v>0</v>
      </c>
      <c r="N228" s="3896"/>
      <c r="O228" s="266"/>
    </row>
    <row r="229" spans="1:15" s="1200" customFormat="1">
      <c r="A229" s="3901"/>
      <c r="B229" s="515" t="s">
        <v>17</v>
      </c>
      <c r="C229" s="3875"/>
      <c r="D229" s="1127">
        <f>+D230</f>
        <v>4899</v>
      </c>
      <c r="E229" s="1127">
        <f t="shared" ref="E229:F229" si="150">E230</f>
        <v>4899</v>
      </c>
      <c r="F229" s="1127">
        <f t="shared" si="150"/>
        <v>0</v>
      </c>
      <c r="G229" s="1127"/>
      <c r="H229" s="1127"/>
      <c r="I229" s="1127"/>
      <c r="J229" s="1127"/>
      <c r="K229" s="1127"/>
      <c r="L229" s="1127">
        <f>L230</f>
        <v>0</v>
      </c>
      <c r="M229" s="1123">
        <f>+M230</f>
        <v>0</v>
      </c>
      <c r="N229" s="3896"/>
      <c r="O229" s="266"/>
    </row>
    <row r="230" spans="1:15" s="1200" customFormat="1">
      <c r="A230" s="3901"/>
      <c r="B230" s="1165" t="s">
        <v>19</v>
      </c>
      <c r="C230" s="3876"/>
      <c r="D230" s="1113">
        <f>E230+L230+F230+G230+H230+I230+J230+K230</f>
        <v>4899</v>
      </c>
      <c r="E230" s="1124">
        <v>4899</v>
      </c>
      <c r="F230" s="110">
        <v>0</v>
      </c>
      <c r="G230" s="110"/>
      <c r="H230" s="110"/>
      <c r="I230" s="110"/>
      <c r="J230" s="110"/>
      <c r="K230" s="110"/>
      <c r="L230" s="110">
        <v>0</v>
      </c>
      <c r="M230" s="524">
        <f>SUM(F230:K230)</f>
        <v>0</v>
      </c>
      <c r="N230" s="3896"/>
      <c r="O230" s="266"/>
    </row>
    <row r="231" spans="1:15" s="1200" customFormat="1">
      <c r="A231" s="3430"/>
      <c r="B231" s="492" t="s">
        <v>20</v>
      </c>
      <c r="C231" s="1131"/>
      <c r="D231" s="1132">
        <f>+D232+D234</f>
        <v>5764</v>
      </c>
      <c r="E231" s="1132">
        <f t="shared" ref="E231" si="151">E232+E234</f>
        <v>5764</v>
      </c>
      <c r="F231" s="1132">
        <f t="shared" ref="F231" si="152">F232+F234</f>
        <v>0</v>
      </c>
      <c r="G231" s="1166"/>
      <c r="H231" s="1132"/>
      <c r="I231" s="1132"/>
      <c r="J231" s="1132"/>
      <c r="K231" s="1132"/>
      <c r="L231" s="1132">
        <f>L232+L234</f>
        <v>0</v>
      </c>
      <c r="M231" s="3690" t="s">
        <v>52</v>
      </c>
      <c r="N231" s="3896"/>
      <c r="O231" s="266"/>
    </row>
    <row r="232" spans="1:15" s="1200" customFormat="1">
      <c r="A232" s="3430"/>
      <c r="B232" s="1133" t="s">
        <v>22</v>
      </c>
      <c r="C232" s="3599" t="s">
        <v>168</v>
      </c>
      <c r="D232" s="1122">
        <f>+D233</f>
        <v>865</v>
      </c>
      <c r="E232" s="1122">
        <f t="shared" ref="E232:F232" si="153">E233</f>
        <v>865</v>
      </c>
      <c r="F232" s="1122">
        <f t="shared" si="153"/>
        <v>0</v>
      </c>
      <c r="G232" s="1167"/>
      <c r="H232" s="1122"/>
      <c r="I232" s="1122"/>
      <c r="J232" s="1122"/>
      <c r="K232" s="1122"/>
      <c r="L232" s="1122">
        <f>L233</f>
        <v>0</v>
      </c>
      <c r="M232" s="3700"/>
      <c r="N232" s="3896"/>
      <c r="O232" s="266"/>
    </row>
    <row r="233" spans="1:15" s="1200" customFormat="1">
      <c r="A233" s="3430"/>
      <c r="B233" s="150" t="s">
        <v>12</v>
      </c>
      <c r="C233" s="3875"/>
      <c r="D233" s="1113">
        <f>E233+L233+F233+G233+H233+I233+J233+K233</f>
        <v>865</v>
      </c>
      <c r="E233" s="1124">
        <v>865</v>
      </c>
      <c r="F233" s="1134">
        <v>0</v>
      </c>
      <c r="G233" s="1134"/>
      <c r="H233" s="1134"/>
      <c r="I233" s="1134"/>
      <c r="J233" s="1134"/>
      <c r="K233" s="1134"/>
      <c r="L233" s="1134">
        <v>0</v>
      </c>
      <c r="M233" s="3700"/>
      <c r="N233" s="3896"/>
      <c r="O233" s="266"/>
    </row>
    <row r="234" spans="1:15" s="1200" customFormat="1">
      <c r="A234" s="3430"/>
      <c r="B234" s="1135" t="s">
        <v>17</v>
      </c>
      <c r="C234" s="3875"/>
      <c r="D234" s="1127">
        <f>+D235</f>
        <v>4899</v>
      </c>
      <c r="E234" s="1127">
        <f t="shared" ref="E234:F234" si="154">E235</f>
        <v>4899</v>
      </c>
      <c r="F234" s="1127">
        <f t="shared" si="154"/>
        <v>0</v>
      </c>
      <c r="G234" s="1151"/>
      <c r="H234" s="1127"/>
      <c r="I234" s="1127"/>
      <c r="J234" s="1127"/>
      <c r="K234" s="1127"/>
      <c r="L234" s="1127">
        <f>L235</f>
        <v>0</v>
      </c>
      <c r="M234" s="3700"/>
      <c r="N234" s="3896"/>
      <c r="O234" s="266"/>
    </row>
    <row r="235" spans="1:15" s="1200" customFormat="1" ht="11.25" customHeight="1" thickBot="1">
      <c r="A235" s="3431"/>
      <c r="B235" s="297" t="s">
        <v>19</v>
      </c>
      <c r="C235" s="3907"/>
      <c r="D235" s="719">
        <f>E235+L235+F235+G235+H235+I235+J235+K235</f>
        <v>4899</v>
      </c>
      <c r="E235" s="1136">
        <v>4899</v>
      </c>
      <c r="F235" s="488">
        <v>0</v>
      </c>
      <c r="G235" s="488"/>
      <c r="H235" s="488"/>
      <c r="I235" s="488"/>
      <c r="J235" s="488"/>
      <c r="K235" s="488"/>
      <c r="L235" s="488">
        <v>0</v>
      </c>
      <c r="M235" s="3701"/>
      <c r="N235" s="3897"/>
      <c r="O235" s="266"/>
    </row>
    <row r="236" spans="1:15" s="1200" customFormat="1" ht="13.5" hidden="1" thickBot="1">
      <c r="A236" s="2853"/>
      <c r="B236" s="391"/>
      <c r="C236" s="392"/>
      <c r="D236" s="393"/>
      <c r="E236" s="393"/>
      <c r="F236" s="394"/>
      <c r="G236" s="394"/>
      <c r="H236" s="394"/>
      <c r="I236" s="394"/>
      <c r="J236" s="394"/>
      <c r="K236" s="394"/>
      <c r="L236" s="394"/>
      <c r="M236" s="395"/>
      <c r="N236" s="396"/>
      <c r="O236" s="266"/>
    </row>
    <row r="237" spans="1:15" s="263" customFormat="1" ht="30" customHeight="1" thickBot="1">
      <c r="A237" s="165" t="s">
        <v>144</v>
      </c>
      <c r="B237" s="166"/>
      <c r="C237" s="166"/>
      <c r="D237" s="166"/>
      <c r="E237" s="1110"/>
      <c r="F237" s="166"/>
      <c r="G237" s="166"/>
      <c r="H237" s="166"/>
      <c r="I237" s="166"/>
      <c r="J237" s="166"/>
      <c r="K237" s="166"/>
      <c r="L237" s="166"/>
      <c r="M237" s="772"/>
      <c r="N237" s="167"/>
    </row>
    <row r="238" spans="1:15" s="1200" customFormat="1">
      <c r="A238" s="1054"/>
      <c r="B238" s="180" t="s">
        <v>67</v>
      </c>
      <c r="C238" s="181"/>
      <c r="D238" s="182">
        <f>+D239+D240</f>
        <v>85094859</v>
      </c>
      <c r="E238" s="182">
        <f>+E239+E240</f>
        <v>34464847</v>
      </c>
      <c r="F238" s="182">
        <f>+F239+F240</f>
        <v>8406775</v>
      </c>
      <c r="G238" s="182">
        <f>+G239+G240</f>
        <v>8774144</v>
      </c>
      <c r="H238" s="182">
        <f>+H239+H240</f>
        <v>9378093</v>
      </c>
      <c r="I238" s="182">
        <f t="shared" ref="I238:K238" si="155">+I239+I240</f>
        <v>9430000</v>
      </c>
      <c r="J238" s="182">
        <f t="shared" si="155"/>
        <v>8669000</v>
      </c>
      <c r="K238" s="182">
        <f t="shared" si="155"/>
        <v>5972000</v>
      </c>
      <c r="L238" s="182">
        <f t="shared" ref="L238" si="156">+L239+L240</f>
        <v>0</v>
      </c>
      <c r="M238" s="12">
        <f>+M239+M240</f>
        <v>50630012</v>
      </c>
      <c r="N238" s="3589" t="s">
        <v>52</v>
      </c>
      <c r="O238" s="266"/>
    </row>
    <row r="239" spans="1:15" s="1200" customFormat="1" ht="13.5" customHeight="1">
      <c r="A239" s="163"/>
      <c r="B239" s="183" t="s">
        <v>68</v>
      </c>
      <c r="C239" s="184"/>
      <c r="D239" s="185">
        <f>+D253+D259</f>
        <v>82978135</v>
      </c>
      <c r="E239" s="185">
        <f t="shared" ref="E239:H239" si="157">+E253+E259</f>
        <v>32353947</v>
      </c>
      <c r="F239" s="185">
        <f t="shared" si="157"/>
        <v>8400951</v>
      </c>
      <c r="G239" s="185">
        <f t="shared" si="157"/>
        <v>8774144</v>
      </c>
      <c r="H239" s="185">
        <f t="shared" si="157"/>
        <v>9378093</v>
      </c>
      <c r="I239" s="185">
        <f t="shared" ref="I239:K239" si="158">+I253+I259</f>
        <v>9430000</v>
      </c>
      <c r="J239" s="185">
        <f t="shared" si="158"/>
        <v>8669000</v>
      </c>
      <c r="K239" s="185">
        <f t="shared" si="158"/>
        <v>5972000</v>
      </c>
      <c r="L239" s="185">
        <f>+L253+L259</f>
        <v>0</v>
      </c>
      <c r="M239" s="14">
        <f>SUM(F239:K239)</f>
        <v>50624188</v>
      </c>
      <c r="N239" s="3759"/>
    </row>
    <row r="240" spans="1:15" s="1200" customFormat="1" ht="13.5" customHeight="1" thickBot="1">
      <c r="A240" s="163"/>
      <c r="B240" s="194" t="s">
        <v>8</v>
      </c>
      <c r="C240" s="184"/>
      <c r="D240" s="185">
        <f>+D249</f>
        <v>2116724</v>
      </c>
      <c r="E240" s="185">
        <f>+E249</f>
        <v>2110900</v>
      </c>
      <c r="F240" s="308">
        <f>+F249</f>
        <v>5824</v>
      </c>
      <c r="G240" s="308">
        <f>+G249</f>
        <v>0</v>
      </c>
      <c r="H240" s="308">
        <f>+H249</f>
        <v>0</v>
      </c>
      <c r="I240" s="308">
        <f t="shared" ref="I240:K240" si="159">+I249</f>
        <v>0</v>
      </c>
      <c r="J240" s="308">
        <f t="shared" si="159"/>
        <v>0</v>
      </c>
      <c r="K240" s="308">
        <f t="shared" si="159"/>
        <v>0</v>
      </c>
      <c r="L240" s="185">
        <f t="shared" ref="L240" si="160">+L249</f>
        <v>0</v>
      </c>
      <c r="M240" s="126">
        <f>SUM(F240:K240)</f>
        <v>5824</v>
      </c>
      <c r="N240" s="3759"/>
    </row>
    <row r="241" spans="1:26" s="312" customFormat="1" ht="13.5" customHeight="1">
      <c r="A241" s="309"/>
      <c r="B241" s="155" t="s">
        <v>9</v>
      </c>
      <c r="C241" s="156"/>
      <c r="D241" s="130">
        <f>+D242</f>
        <v>85094859</v>
      </c>
      <c r="E241" s="130">
        <f t="shared" ref="E241:K242" si="161">+E242</f>
        <v>34464847</v>
      </c>
      <c r="F241" s="130">
        <f t="shared" si="161"/>
        <v>8406775</v>
      </c>
      <c r="G241" s="130">
        <f t="shared" si="161"/>
        <v>8774144</v>
      </c>
      <c r="H241" s="130">
        <f t="shared" si="161"/>
        <v>9378093</v>
      </c>
      <c r="I241" s="130">
        <f t="shared" si="161"/>
        <v>9430000</v>
      </c>
      <c r="J241" s="130">
        <f t="shared" si="161"/>
        <v>8669000</v>
      </c>
      <c r="K241" s="130">
        <f t="shared" si="161"/>
        <v>5972000</v>
      </c>
      <c r="L241" s="130">
        <f>+L242</f>
        <v>0</v>
      </c>
      <c r="M241" s="310">
        <f>+M242</f>
        <v>42223237</v>
      </c>
      <c r="N241" s="3759"/>
      <c r="O241" s="311"/>
      <c r="P241" s="311"/>
    </row>
    <row r="242" spans="1:26" s="315" customFormat="1" ht="13.5" customHeight="1">
      <c r="A242" s="169"/>
      <c r="B242" s="131" t="s">
        <v>10</v>
      </c>
      <c r="C242" s="3904" t="s">
        <v>52</v>
      </c>
      <c r="D242" s="1237">
        <f>+D243+D244</f>
        <v>85094859</v>
      </c>
      <c r="E242" s="1237">
        <f t="shared" si="161"/>
        <v>34464847</v>
      </c>
      <c r="F242" s="1237">
        <f t="shared" si="161"/>
        <v>8406775</v>
      </c>
      <c r="G242" s="1237">
        <f t="shared" si="161"/>
        <v>8774144</v>
      </c>
      <c r="H242" s="1237">
        <f t="shared" si="161"/>
        <v>9378093</v>
      </c>
      <c r="I242" s="1237">
        <f t="shared" si="161"/>
        <v>9430000</v>
      </c>
      <c r="J242" s="1237">
        <f t="shared" si="161"/>
        <v>8669000</v>
      </c>
      <c r="K242" s="1237">
        <f t="shared" si="161"/>
        <v>5972000</v>
      </c>
      <c r="L242" s="1237">
        <f>+L243</f>
        <v>0</v>
      </c>
      <c r="M242" s="1238">
        <f>+M243+M244</f>
        <v>42223237</v>
      </c>
      <c r="N242" s="3759"/>
      <c r="O242" s="313"/>
      <c r="P242" s="314"/>
      <c r="Q242" s="313"/>
      <c r="R242" s="313"/>
      <c r="S242" s="313"/>
      <c r="T242" s="313"/>
      <c r="U242" s="313"/>
      <c r="V242" s="313"/>
      <c r="W242" s="313"/>
      <c r="X242" s="313"/>
      <c r="Y242" s="313"/>
      <c r="Z242" s="313"/>
    </row>
    <row r="243" spans="1:26" s="277" customFormat="1" ht="13.5" thickBot="1">
      <c r="A243" s="133"/>
      <c r="B243" s="134" t="s">
        <v>11</v>
      </c>
      <c r="C243" s="3594"/>
      <c r="D243" s="1239">
        <f>+D251+D255+D261</f>
        <v>85094859</v>
      </c>
      <c r="E243" s="1239">
        <f>+E251+E255+E261</f>
        <v>34464847</v>
      </c>
      <c r="F243" s="1239">
        <f t="shared" ref="F243" si="162">+F251+F255+F261</f>
        <v>8406775</v>
      </c>
      <c r="G243" s="1239">
        <f>+G251+G255+G261</f>
        <v>8774144</v>
      </c>
      <c r="H243" s="1239">
        <f>+H251+H255</f>
        <v>9378093</v>
      </c>
      <c r="I243" s="1239">
        <f t="shared" ref="I243:K243" si="163">+I251+I255</f>
        <v>9430000</v>
      </c>
      <c r="J243" s="1239">
        <f t="shared" si="163"/>
        <v>8669000</v>
      </c>
      <c r="K243" s="1239">
        <f t="shared" si="163"/>
        <v>5972000</v>
      </c>
      <c r="L243" s="1239">
        <f>+L251+L255+L261</f>
        <v>0</v>
      </c>
      <c r="M243" s="1240">
        <f>SUM(G243:K243)</f>
        <v>42223237</v>
      </c>
      <c r="N243" s="3759"/>
      <c r="O243" s="266"/>
    </row>
    <row r="244" spans="1:26" s="277" customFormat="1" ht="13.5" hidden="1" customHeight="1">
      <c r="A244" s="133"/>
      <c r="B244" s="134" t="s">
        <v>13</v>
      </c>
      <c r="C244" s="3594"/>
      <c r="D244" s="1239">
        <f t="shared" ref="D244" si="164">+D262</f>
        <v>0</v>
      </c>
      <c r="E244" s="1239">
        <f t="shared" ref="E244" si="165">+E262</f>
        <v>0</v>
      </c>
      <c r="F244" s="1239">
        <f>+F262</f>
        <v>0</v>
      </c>
      <c r="G244" s="1239">
        <f>+G262</f>
        <v>0</v>
      </c>
      <c r="H244" s="1239">
        <f>+H262</f>
        <v>0</v>
      </c>
      <c r="I244" s="1239"/>
      <c r="J244" s="1239"/>
      <c r="K244" s="1239"/>
      <c r="L244" s="1239" t="e">
        <f>+#REF!</f>
        <v>#REF!</v>
      </c>
      <c r="M244" s="1240">
        <f>SUM(F244:K244)</f>
        <v>0</v>
      </c>
      <c r="N244" s="3759"/>
      <c r="O244" s="266"/>
    </row>
    <row r="245" spans="1:26" s="269" customFormat="1" ht="15" hidden="1" customHeight="1">
      <c r="A245" s="127"/>
      <c r="B245" s="68" t="s">
        <v>20</v>
      </c>
      <c r="C245" s="75"/>
      <c r="D245" s="168">
        <f>+D246</f>
        <v>0</v>
      </c>
      <c r="E245" s="168">
        <f t="shared" ref="E245" si="166">+E246</f>
        <v>0</v>
      </c>
      <c r="F245" s="168">
        <f t="shared" ref="F245:H246" si="167">+F246</f>
        <v>0</v>
      </c>
      <c r="G245" s="168">
        <f t="shared" si="167"/>
        <v>0</v>
      </c>
      <c r="H245" s="168">
        <f t="shared" si="167"/>
        <v>0</v>
      </c>
      <c r="I245" s="168"/>
      <c r="J245" s="168"/>
      <c r="K245" s="168"/>
      <c r="L245" s="168" t="e">
        <f>+L246</f>
        <v>#REF!</v>
      </c>
      <c r="M245" s="3893" t="s">
        <v>52</v>
      </c>
      <c r="N245" s="3759"/>
      <c r="O245" s="268"/>
      <c r="P245" s="268"/>
    </row>
    <row r="246" spans="1:26" s="269" customFormat="1" ht="14.25" hidden="1" customHeight="1">
      <c r="A246" s="127"/>
      <c r="B246" s="131" t="s">
        <v>10</v>
      </c>
      <c r="C246" s="3904" t="s">
        <v>52</v>
      </c>
      <c r="D246" s="1237">
        <f>+D247</f>
        <v>0</v>
      </c>
      <c r="E246" s="1237">
        <f>+E247</f>
        <v>0</v>
      </c>
      <c r="F246" s="1237">
        <f t="shared" si="167"/>
        <v>0</v>
      </c>
      <c r="G246" s="1237">
        <f t="shared" si="167"/>
        <v>0</v>
      </c>
      <c r="H246" s="1237">
        <f t="shared" si="167"/>
        <v>0</v>
      </c>
      <c r="I246" s="1237"/>
      <c r="J246" s="1237"/>
      <c r="K246" s="1237"/>
      <c r="L246" s="1237" t="e">
        <f>+L247</f>
        <v>#REF!</v>
      </c>
      <c r="M246" s="3700"/>
      <c r="N246" s="3759"/>
      <c r="O246" s="268"/>
      <c r="P246" s="268"/>
    </row>
    <row r="247" spans="1:26" s="277" customFormat="1" ht="16.5" hidden="1" customHeight="1" thickBot="1">
      <c r="A247" s="133"/>
      <c r="B247" s="134" t="s">
        <v>13</v>
      </c>
      <c r="C247" s="3594"/>
      <c r="D247" s="1239">
        <f>+D265</f>
        <v>0</v>
      </c>
      <c r="E247" s="1239">
        <f>+E265</f>
        <v>0</v>
      </c>
      <c r="F247" s="1239">
        <f t="shared" ref="F247:H247" si="168">+F265</f>
        <v>0</v>
      </c>
      <c r="G247" s="1239">
        <f t="shared" si="168"/>
        <v>0</v>
      </c>
      <c r="H247" s="1239">
        <f t="shared" si="168"/>
        <v>0</v>
      </c>
      <c r="I247" s="316"/>
      <c r="J247" s="316"/>
      <c r="K247" s="316"/>
      <c r="L247" s="1239" t="e">
        <f>+#REF!</f>
        <v>#REF!</v>
      </c>
      <c r="M247" s="3701"/>
      <c r="N247" s="3590"/>
      <c r="O247" s="267"/>
    </row>
    <row r="248" spans="1:26" s="285" customFormat="1" ht="25.5" customHeight="1" thickBot="1">
      <c r="A248" s="3900" t="s">
        <v>54</v>
      </c>
      <c r="B248" s="317" t="s">
        <v>417</v>
      </c>
      <c r="C248" s="318" t="s">
        <v>72</v>
      </c>
      <c r="D248" s="327"/>
      <c r="E248" s="326"/>
      <c r="F248" s="326"/>
      <c r="G248" s="326"/>
      <c r="H248" s="326"/>
      <c r="I248" s="326"/>
      <c r="J248" s="326"/>
      <c r="K248" s="1109"/>
      <c r="L248" s="326"/>
      <c r="M248" s="301"/>
      <c r="N248" s="3596" t="s">
        <v>269</v>
      </c>
    </row>
    <row r="249" spans="1:26" s="285" customFormat="1" ht="13.5" thickBot="1">
      <c r="A249" s="3901"/>
      <c r="B249" s="68" t="s">
        <v>9</v>
      </c>
      <c r="C249" s="1121"/>
      <c r="D249" s="1132">
        <f>+D250</f>
        <v>2116724</v>
      </c>
      <c r="E249" s="1132">
        <f t="shared" ref="E249:M250" si="169">+E250</f>
        <v>2110900</v>
      </c>
      <c r="F249" s="1132">
        <f>+F250</f>
        <v>5824</v>
      </c>
      <c r="G249" s="1224">
        <v>0</v>
      </c>
      <c r="H249" s="1224">
        <v>0</v>
      </c>
      <c r="I249" s="1224">
        <v>0</v>
      </c>
      <c r="J249" s="1224">
        <v>0</v>
      </c>
      <c r="K249" s="1224">
        <v>0</v>
      </c>
      <c r="L249" s="1132">
        <f>+L250</f>
        <v>0</v>
      </c>
      <c r="M249" s="1225">
        <f t="shared" si="169"/>
        <v>0</v>
      </c>
      <c r="N249" s="3596"/>
      <c r="O249" s="266"/>
    </row>
    <row r="250" spans="1:26" s="285" customFormat="1" ht="12" customHeight="1" thickBot="1">
      <c r="A250" s="3901"/>
      <c r="B250" s="470" t="s">
        <v>22</v>
      </c>
      <c r="C250" s="3906" t="s">
        <v>145</v>
      </c>
      <c r="D250" s="1127">
        <f>+D251</f>
        <v>2116724</v>
      </c>
      <c r="E250" s="1127">
        <f t="shared" si="169"/>
        <v>2110900</v>
      </c>
      <c r="F250" s="1127">
        <f>+F251</f>
        <v>5824</v>
      </c>
      <c r="G250" s="1128">
        <v>0</v>
      </c>
      <c r="H250" s="1128">
        <v>0</v>
      </c>
      <c r="I250" s="1128">
        <v>0</v>
      </c>
      <c r="J250" s="1128">
        <v>0</v>
      </c>
      <c r="K250" s="1128">
        <v>0</v>
      </c>
      <c r="L250" s="1127">
        <f>+L251</f>
        <v>0</v>
      </c>
      <c r="M250" s="1241">
        <f t="shared" si="169"/>
        <v>0</v>
      </c>
      <c r="N250" s="3596"/>
    </row>
    <row r="251" spans="1:26" s="285" customFormat="1" thickBot="1">
      <c r="A251" s="3902"/>
      <c r="B251" s="1008" t="s">
        <v>11</v>
      </c>
      <c r="C251" s="3907"/>
      <c r="D251" s="724">
        <f>E251+L251+F251+G251+H251+I251+J251+K251</f>
        <v>2116724</v>
      </c>
      <c r="E251" s="1124">
        <f>2110900</f>
        <v>2110900</v>
      </c>
      <c r="F251" s="411">
        <v>5824</v>
      </c>
      <c r="G251" s="509">
        <v>0</v>
      </c>
      <c r="H251" s="509">
        <v>0</v>
      </c>
      <c r="I251" s="509">
        <v>0</v>
      </c>
      <c r="J251" s="509">
        <v>0</v>
      </c>
      <c r="K251" s="509">
        <v>0</v>
      </c>
      <c r="L251" s="411">
        <f>5824-5824</f>
        <v>0</v>
      </c>
      <c r="M251" s="1126">
        <f>SUM(G251:K251)</f>
        <v>0</v>
      </c>
      <c r="N251" s="3903"/>
    </row>
    <row r="252" spans="1:26" s="285" customFormat="1" ht="15.75" customHeight="1">
      <c r="A252" s="3912" t="s">
        <v>55</v>
      </c>
      <c r="B252" s="1043" t="s">
        <v>517</v>
      </c>
      <c r="C252" s="1689" t="s">
        <v>99</v>
      </c>
      <c r="D252" s="160"/>
      <c r="E252" s="328"/>
      <c r="F252" s="328"/>
      <c r="G252" s="328"/>
      <c r="H252" s="328"/>
      <c r="I252" s="328"/>
      <c r="J252" s="328"/>
      <c r="K252" s="1947"/>
      <c r="L252" s="328"/>
      <c r="M252" s="301"/>
      <c r="N252" s="3909" t="s">
        <v>270</v>
      </c>
      <c r="O252" s="266"/>
    </row>
    <row r="253" spans="1:26" s="285" customFormat="1" ht="17.25" customHeight="1">
      <c r="A253" s="3913"/>
      <c r="B253" s="1768" t="s">
        <v>9</v>
      </c>
      <c r="C253" s="2372"/>
      <c r="D253" s="2592">
        <f>+D254</f>
        <v>82293135</v>
      </c>
      <c r="E253" s="2592">
        <f t="shared" ref="E253:M254" si="170">+E254</f>
        <v>32353947</v>
      </c>
      <c r="F253" s="2592">
        <f t="shared" si="170"/>
        <v>8355951</v>
      </c>
      <c r="G253" s="2592">
        <f t="shared" si="170"/>
        <v>8134144</v>
      </c>
      <c r="H253" s="2592">
        <f t="shared" si="170"/>
        <v>9378093</v>
      </c>
      <c r="I253" s="2592">
        <f t="shared" si="170"/>
        <v>9430000</v>
      </c>
      <c r="J253" s="2592">
        <f t="shared" si="170"/>
        <v>8669000</v>
      </c>
      <c r="K253" s="2592">
        <f t="shared" si="170"/>
        <v>5972000</v>
      </c>
      <c r="L253" s="2592">
        <f>+L254</f>
        <v>0</v>
      </c>
      <c r="M253" s="1638">
        <f t="shared" si="170"/>
        <v>41583237</v>
      </c>
      <c r="N253" s="3910"/>
    </row>
    <row r="254" spans="1:26" s="285" customFormat="1" ht="14.25" customHeight="1">
      <c r="A254" s="3913"/>
      <c r="B254" s="2294" t="s">
        <v>22</v>
      </c>
      <c r="C254" s="3869" t="s">
        <v>138</v>
      </c>
      <c r="D254" s="2593">
        <f>+D255</f>
        <v>82293135</v>
      </c>
      <c r="E254" s="2594">
        <f t="shared" si="170"/>
        <v>32353947</v>
      </c>
      <c r="F254" s="2595">
        <f t="shared" si="170"/>
        <v>8355951</v>
      </c>
      <c r="G254" s="2595">
        <f t="shared" si="170"/>
        <v>8134144</v>
      </c>
      <c r="H254" s="2595">
        <f t="shared" si="170"/>
        <v>9378093</v>
      </c>
      <c r="I254" s="2595">
        <f t="shared" si="170"/>
        <v>9430000</v>
      </c>
      <c r="J254" s="2595">
        <f t="shared" si="170"/>
        <v>8669000</v>
      </c>
      <c r="K254" s="2595">
        <f t="shared" si="170"/>
        <v>5972000</v>
      </c>
      <c r="L254" s="2854">
        <f>+L255</f>
        <v>0</v>
      </c>
      <c r="M254" s="1641">
        <f t="shared" si="170"/>
        <v>41583237</v>
      </c>
      <c r="N254" s="3910"/>
    </row>
    <row r="255" spans="1:26" s="285" customFormat="1" ht="15" customHeight="1" thickBot="1">
      <c r="A255" s="3913"/>
      <c r="B255" s="2596" t="s">
        <v>11</v>
      </c>
      <c r="C255" s="3851"/>
      <c r="D255" s="2597">
        <f>E255+L255+F255+G255+H255+I255+J255+K255</f>
        <v>82293135</v>
      </c>
      <c r="E255" s="2598">
        <f>20241982+5766983+6344982</f>
        <v>32353947</v>
      </c>
      <c r="F255" s="2599">
        <f>0+7382305+973646</f>
        <v>8355951</v>
      </c>
      <c r="G255" s="2599">
        <f>G256+G257</f>
        <v>8134144</v>
      </c>
      <c r="H255" s="2599">
        <f>H256+H257</f>
        <v>9378093</v>
      </c>
      <c r="I255" s="2599">
        <f t="shared" ref="I255:K255" si="171">I256+I257</f>
        <v>9430000</v>
      </c>
      <c r="J255" s="2599">
        <f t="shared" si="171"/>
        <v>8669000</v>
      </c>
      <c r="K255" s="2599">
        <f t="shared" si="171"/>
        <v>5972000</v>
      </c>
      <c r="L255" s="2855">
        <v>0</v>
      </c>
      <c r="M255" s="1126">
        <f>SUM(G255:K255)</f>
        <v>41583237</v>
      </c>
      <c r="N255" s="3910"/>
    </row>
    <row r="256" spans="1:26" s="285" customFormat="1" ht="15" hidden="1" customHeight="1">
      <c r="A256" s="3913"/>
      <c r="B256" s="2601" t="s">
        <v>511</v>
      </c>
      <c r="C256" s="3851"/>
      <c r="D256" s="2602"/>
      <c r="E256" s="2603"/>
      <c r="F256" s="2604"/>
      <c r="G256" s="2605">
        <v>7856850</v>
      </c>
      <c r="H256" s="2605">
        <v>9160000</v>
      </c>
      <c r="I256" s="2605">
        <v>9220000</v>
      </c>
      <c r="J256" s="2605">
        <v>8459000</v>
      </c>
      <c r="K256" s="2605">
        <v>5762000</v>
      </c>
      <c r="L256" s="2604"/>
      <c r="M256" s="2600">
        <f>SUM(F256:K256)</f>
        <v>40457850</v>
      </c>
      <c r="N256" s="3910"/>
    </row>
    <row r="257" spans="1:15" s="285" customFormat="1" ht="15" hidden="1" customHeight="1" thickBot="1">
      <c r="A257" s="3914"/>
      <c r="B257" s="2606" t="s">
        <v>510</v>
      </c>
      <c r="C257" s="3852"/>
      <c r="D257" s="2607"/>
      <c r="E257" s="2608"/>
      <c r="F257" s="2609"/>
      <c r="G257" s="2610">
        <v>277294</v>
      </c>
      <c r="H257" s="2610">
        <v>218093</v>
      </c>
      <c r="I257" s="2610">
        <v>210000</v>
      </c>
      <c r="J257" s="2610">
        <v>210000</v>
      </c>
      <c r="K257" s="2610">
        <v>210000</v>
      </c>
      <c r="L257" s="2609"/>
      <c r="M257" s="2611">
        <f>SUM(F257:K257)</f>
        <v>1125387</v>
      </c>
      <c r="N257" s="3911"/>
    </row>
    <row r="258" spans="1:15" s="285" customFormat="1" ht="24.75" customHeight="1" thickBot="1">
      <c r="A258" s="3900" t="s">
        <v>56</v>
      </c>
      <c r="B258" s="143" t="s">
        <v>438</v>
      </c>
      <c r="C258" s="318" t="s">
        <v>99</v>
      </c>
      <c r="D258" s="160"/>
      <c r="E258" s="328"/>
      <c r="F258" s="328"/>
      <c r="G258" s="328"/>
      <c r="H258" s="328"/>
      <c r="I258" s="328"/>
      <c r="J258" s="328"/>
      <c r="K258" s="1947"/>
      <c r="L258" s="328"/>
      <c r="M258" s="2436"/>
      <c r="N258" s="3596" t="s">
        <v>269</v>
      </c>
      <c r="O258" s="266"/>
    </row>
    <row r="259" spans="1:15" s="285" customFormat="1" thickBot="1">
      <c r="A259" s="3901"/>
      <c r="B259" s="1785" t="s">
        <v>9</v>
      </c>
      <c r="C259" s="2437"/>
      <c r="D259" s="1132">
        <f>+D260</f>
        <v>685000</v>
      </c>
      <c r="E259" s="1132">
        <f t="shared" ref="E259:K259" si="172">+E260</f>
        <v>0</v>
      </c>
      <c r="F259" s="1132">
        <f t="shared" si="172"/>
        <v>45000</v>
      </c>
      <c r="G259" s="1132">
        <f t="shared" si="172"/>
        <v>640000</v>
      </c>
      <c r="H259" s="1224">
        <f t="shared" si="172"/>
        <v>0</v>
      </c>
      <c r="I259" s="1224">
        <f t="shared" si="172"/>
        <v>0</v>
      </c>
      <c r="J259" s="1224">
        <f t="shared" si="172"/>
        <v>0</v>
      </c>
      <c r="K259" s="1224">
        <f t="shared" si="172"/>
        <v>0</v>
      </c>
      <c r="L259" s="1132">
        <f>+L260</f>
        <v>0</v>
      </c>
      <c r="M259" s="310">
        <f>+M260</f>
        <v>640000</v>
      </c>
      <c r="N259" s="3596"/>
    </row>
    <row r="260" spans="1:15" s="285" customFormat="1" thickBot="1">
      <c r="A260" s="3901"/>
      <c r="B260" s="1806" t="s">
        <v>22</v>
      </c>
      <c r="C260" s="3599">
        <v>75018</v>
      </c>
      <c r="D260" s="1640">
        <f>+D261+D262</f>
        <v>685000</v>
      </c>
      <c r="E260" s="1640">
        <f t="shared" ref="E260" si="173">+E261+E262</f>
        <v>0</v>
      </c>
      <c r="F260" s="1140">
        <f t="shared" ref="F260:M260" si="174">+F261+F262</f>
        <v>45000</v>
      </c>
      <c r="G260" s="1140">
        <f t="shared" si="174"/>
        <v>640000</v>
      </c>
      <c r="H260" s="1418">
        <f t="shared" si="174"/>
        <v>0</v>
      </c>
      <c r="I260" s="1418">
        <f t="shared" si="174"/>
        <v>0</v>
      </c>
      <c r="J260" s="1418">
        <f t="shared" si="174"/>
        <v>0</v>
      </c>
      <c r="K260" s="1418">
        <f t="shared" si="174"/>
        <v>0</v>
      </c>
      <c r="L260" s="1640"/>
      <c r="M260" s="2438">
        <f t="shared" si="174"/>
        <v>640000</v>
      </c>
      <c r="N260" s="3596"/>
    </row>
    <row r="261" spans="1:15" s="285" customFormat="1" ht="13.5" thickBot="1">
      <c r="A261" s="3902"/>
      <c r="B261" s="2856" t="s">
        <v>11</v>
      </c>
      <c r="C261" s="3908"/>
      <c r="D261" s="1405">
        <f>E261+L261+F261+G261+H261+I261+J261+K261</f>
        <v>685000</v>
      </c>
      <c r="E261" s="2439">
        <v>0</v>
      </c>
      <c r="F261" s="2440">
        <v>45000</v>
      </c>
      <c r="G261" s="2440">
        <v>640000</v>
      </c>
      <c r="H261" s="2857">
        <v>0</v>
      </c>
      <c r="I261" s="2857">
        <v>0</v>
      </c>
      <c r="J261" s="2857">
        <v>0</v>
      </c>
      <c r="K261" s="2857">
        <v>0</v>
      </c>
      <c r="L261" s="2858"/>
      <c r="M261" s="1126">
        <f>SUM(G261:K261)</f>
        <v>640000</v>
      </c>
      <c r="N261" s="3903"/>
    </row>
    <row r="262" spans="1:15" s="285" customFormat="1" ht="13.5" hidden="1" customHeight="1" thickBot="1">
      <c r="A262" s="757"/>
      <c r="B262" s="1200" t="s">
        <v>13</v>
      </c>
      <c r="C262" s="758"/>
      <c r="D262" s="718">
        <f>E262+F262+G262+H262+I262+J262+K262</f>
        <v>0</v>
      </c>
      <c r="E262" s="760"/>
      <c r="F262" s="761">
        <v>0</v>
      </c>
      <c r="G262" s="761">
        <v>0</v>
      </c>
      <c r="H262" s="761">
        <v>0</v>
      </c>
      <c r="I262" s="761">
        <v>0</v>
      </c>
      <c r="J262" s="761">
        <v>0</v>
      </c>
      <c r="K262" s="761">
        <v>0</v>
      </c>
      <c r="L262" s="761"/>
      <c r="M262" s="585">
        <f>SUM(F262:K262)</f>
        <v>0</v>
      </c>
      <c r="N262" s="1991"/>
    </row>
    <row r="263" spans="1:15" s="1200" customFormat="1" ht="13.5" hidden="1" customHeight="1" thickBot="1">
      <c r="A263" s="757"/>
      <c r="B263" s="492" t="s">
        <v>20</v>
      </c>
      <c r="C263" s="755"/>
      <c r="D263" s="513">
        <f>+D264</f>
        <v>0</v>
      </c>
      <c r="E263" s="513">
        <f t="shared" ref="E263:K263" si="175">+E264</f>
        <v>0</v>
      </c>
      <c r="F263" s="522">
        <f t="shared" si="175"/>
        <v>0</v>
      </c>
      <c r="G263" s="494">
        <f t="shared" si="175"/>
        <v>0</v>
      </c>
      <c r="H263" s="522">
        <f t="shared" si="175"/>
        <v>0</v>
      </c>
      <c r="I263" s="522">
        <f t="shared" si="175"/>
        <v>0</v>
      </c>
      <c r="J263" s="494">
        <f t="shared" si="175"/>
        <v>0</v>
      </c>
      <c r="K263" s="522">
        <f t="shared" si="175"/>
        <v>0</v>
      </c>
      <c r="L263" s="2724"/>
      <c r="M263" s="3893" t="s">
        <v>21</v>
      </c>
      <c r="N263" s="1991"/>
    </row>
    <row r="264" spans="1:15" s="1200" customFormat="1" ht="13.5" hidden="1" customHeight="1">
      <c r="A264" s="2859"/>
      <c r="B264" s="470" t="s">
        <v>22</v>
      </c>
      <c r="C264" s="3905" t="s">
        <v>288</v>
      </c>
      <c r="D264" s="756">
        <f t="shared" ref="D264:K264" si="176">+D265</f>
        <v>0</v>
      </c>
      <c r="E264" s="756">
        <f t="shared" si="176"/>
        <v>0</v>
      </c>
      <c r="F264" s="510">
        <f t="shared" si="176"/>
        <v>0</v>
      </c>
      <c r="G264" s="525">
        <f t="shared" si="176"/>
        <v>0</v>
      </c>
      <c r="H264" s="526">
        <f t="shared" si="176"/>
        <v>0</v>
      </c>
      <c r="I264" s="510">
        <f t="shared" si="176"/>
        <v>0</v>
      </c>
      <c r="J264" s="525">
        <f t="shared" si="176"/>
        <v>0</v>
      </c>
      <c r="K264" s="526">
        <f t="shared" si="176"/>
        <v>0</v>
      </c>
      <c r="L264" s="2703"/>
      <c r="M264" s="3700"/>
      <c r="N264" s="1992"/>
    </row>
    <row r="265" spans="1:15" s="1200" customFormat="1" ht="22.5" hidden="1" customHeight="1" thickBot="1">
      <c r="A265" s="3338"/>
      <c r="B265" s="473" t="s">
        <v>13</v>
      </c>
      <c r="C265" s="3600"/>
      <c r="D265" s="718">
        <f>E265+F265+G265+H265+I265+J265+K265</f>
        <v>0</v>
      </c>
      <c r="E265" s="523">
        <v>0</v>
      </c>
      <c r="F265" s="527">
        <v>0</v>
      </c>
      <c r="G265" s="528">
        <v>0</v>
      </c>
      <c r="H265" s="528">
        <v>0</v>
      </c>
      <c r="I265" s="527">
        <v>0</v>
      </c>
      <c r="J265" s="528">
        <v>0</v>
      </c>
      <c r="K265" s="528">
        <v>0</v>
      </c>
      <c r="L265" s="528"/>
      <c r="M265" s="3701"/>
      <c r="N265" s="969"/>
    </row>
    <row r="266" spans="1:15" ht="14.25" customHeight="1">
      <c r="A266" s="3899" t="s">
        <v>313</v>
      </c>
      <c r="B266" s="3899"/>
      <c r="C266" s="3899"/>
      <c r="D266" s="3899"/>
      <c r="E266" s="3899"/>
      <c r="F266" s="3899"/>
      <c r="G266" s="3899"/>
      <c r="H266" s="3899"/>
      <c r="I266" s="3899"/>
      <c r="J266" s="3899"/>
      <c r="K266" s="3899"/>
      <c r="L266" s="3899"/>
      <c r="M266" s="3899"/>
      <c r="N266" s="3899"/>
    </row>
    <row r="267" spans="1:15" ht="14.25" customHeight="1">
      <c r="A267" s="3899" t="s">
        <v>505</v>
      </c>
      <c r="B267" s="3899"/>
      <c r="C267" s="3899"/>
      <c r="D267" s="3899"/>
      <c r="E267" s="3899"/>
      <c r="F267" s="3899"/>
      <c r="G267" s="3899"/>
      <c r="H267" s="3899"/>
      <c r="I267" s="3899"/>
      <c r="J267" s="3899"/>
      <c r="K267" s="3899"/>
      <c r="L267" s="3899"/>
      <c r="M267" s="3899"/>
      <c r="N267" s="3899"/>
    </row>
    <row r="268" spans="1:15" ht="12.75" customHeight="1">
      <c r="A268" s="3899" t="s">
        <v>504</v>
      </c>
      <c r="B268" s="3899"/>
      <c r="C268" s="3899"/>
      <c r="D268" s="3899"/>
      <c r="E268" s="3899"/>
      <c r="F268" s="3899"/>
      <c r="G268" s="3899"/>
      <c r="H268" s="3899"/>
      <c r="I268" s="3899"/>
      <c r="J268" s="3899"/>
      <c r="K268" s="3899"/>
      <c r="L268" s="3899"/>
      <c r="M268" s="3899"/>
      <c r="N268" s="3899"/>
    </row>
    <row r="269" spans="1:15" ht="13.5" hidden="1" customHeight="1">
      <c r="A269" s="3346"/>
      <c r="B269" s="998" t="s">
        <v>332</v>
      </c>
      <c r="C269" s="2700"/>
      <c r="D269" s="2700"/>
      <c r="E269" s="2700"/>
      <c r="F269" s="2700"/>
      <c r="G269" s="2700"/>
      <c r="H269" s="2700"/>
      <c r="I269" s="2700"/>
      <c r="J269" s="2700"/>
      <c r="K269" s="2700"/>
      <c r="L269" s="1200"/>
      <c r="M269" s="3346"/>
      <c r="N269" s="3346"/>
    </row>
    <row r="270" spans="1:15" ht="13.5" hidden="1" customHeight="1">
      <c r="A270" s="3346"/>
      <c r="B270" s="2821" t="s">
        <v>333</v>
      </c>
      <c r="C270" s="2700"/>
      <c r="D270" s="2701">
        <f t="shared" ref="D270:K270" si="177">+D220+D115+D77+D54+D35</f>
        <v>199693184</v>
      </c>
      <c r="E270" s="2701">
        <f t="shared" si="177"/>
        <v>42448037</v>
      </c>
      <c r="F270" s="2701">
        <f t="shared" si="177"/>
        <v>28992234</v>
      </c>
      <c r="G270" s="2701">
        <f t="shared" si="177"/>
        <v>29236900</v>
      </c>
      <c r="H270" s="2701">
        <f t="shared" si="177"/>
        <v>16257962</v>
      </c>
      <c r="I270" s="2701">
        <f t="shared" si="177"/>
        <v>23112431</v>
      </c>
      <c r="J270" s="2701">
        <f t="shared" si="177"/>
        <v>23572239</v>
      </c>
      <c r="K270" s="2701">
        <f t="shared" si="177"/>
        <v>22656667</v>
      </c>
      <c r="L270" s="2701">
        <f>+L220+L115+L77+L54+L35</f>
        <v>0</v>
      </c>
      <c r="M270" s="3346"/>
      <c r="N270" s="3346"/>
    </row>
    <row r="271" spans="1:15" ht="13.5" hidden="1" customHeight="1">
      <c r="A271" s="3346"/>
      <c r="B271" s="2821" t="s">
        <v>334</v>
      </c>
      <c r="C271" s="2700"/>
      <c r="D271" s="2701">
        <f t="shared" ref="D271:K271" si="178">+D66+D88+D134+D147+D231</f>
        <v>72050516</v>
      </c>
      <c r="E271" s="2701">
        <f t="shared" si="178"/>
        <v>1758107</v>
      </c>
      <c r="F271" s="2701">
        <f t="shared" si="178"/>
        <v>2066326</v>
      </c>
      <c r="G271" s="2701">
        <f t="shared" si="178"/>
        <v>12878548</v>
      </c>
      <c r="H271" s="2701">
        <f t="shared" si="178"/>
        <v>36253035</v>
      </c>
      <c r="I271" s="2701">
        <f t="shared" si="178"/>
        <v>18700000</v>
      </c>
      <c r="J271" s="2701">
        <f t="shared" si="178"/>
        <v>200000</v>
      </c>
      <c r="K271" s="2701">
        <f t="shared" si="178"/>
        <v>144500</v>
      </c>
      <c r="L271" s="2701">
        <f>+L66+L88+L134+L147+L231</f>
        <v>0</v>
      </c>
      <c r="M271" s="3346"/>
      <c r="N271" s="3346"/>
    </row>
    <row r="272" spans="1:15" ht="13.5" hidden="1" customHeight="1">
      <c r="A272" s="3346"/>
      <c r="B272" s="2821" t="s">
        <v>335</v>
      </c>
      <c r="C272" s="2700"/>
      <c r="D272" s="996">
        <f>D270+D271</f>
        <v>271743700</v>
      </c>
      <c r="E272" s="996">
        <f t="shared" ref="E272:K272" si="179">E270+E271</f>
        <v>44206144</v>
      </c>
      <c r="F272" s="996">
        <f t="shared" si="179"/>
        <v>31058560</v>
      </c>
      <c r="G272" s="996">
        <f t="shared" si="179"/>
        <v>42115448</v>
      </c>
      <c r="H272" s="996">
        <f t="shared" si="179"/>
        <v>52510997</v>
      </c>
      <c r="I272" s="996">
        <f t="shared" si="179"/>
        <v>41812431</v>
      </c>
      <c r="J272" s="996">
        <f t="shared" si="179"/>
        <v>23772239</v>
      </c>
      <c r="K272" s="996">
        <f t="shared" si="179"/>
        <v>22801167</v>
      </c>
      <c r="L272" s="996">
        <f>L270+L271</f>
        <v>0</v>
      </c>
      <c r="M272" s="3346"/>
      <c r="N272" s="3346"/>
    </row>
    <row r="273" spans="1:14" ht="13.5" hidden="1" customHeight="1">
      <c r="A273" s="3346"/>
      <c r="B273" s="993" t="s">
        <v>40</v>
      </c>
      <c r="C273" s="995"/>
      <c r="D273" s="997">
        <f t="shared" ref="D273:K273" si="180">D20-D272</f>
        <v>0</v>
      </c>
      <c r="E273" s="997">
        <f t="shared" si="180"/>
        <v>0</v>
      </c>
      <c r="F273" s="997">
        <f t="shared" si="180"/>
        <v>0</v>
      </c>
      <c r="G273" s="997">
        <f t="shared" si="180"/>
        <v>0</v>
      </c>
      <c r="H273" s="997">
        <f t="shared" si="180"/>
        <v>0</v>
      </c>
      <c r="I273" s="997">
        <f t="shared" si="180"/>
        <v>0</v>
      </c>
      <c r="J273" s="997">
        <f t="shared" si="180"/>
        <v>0</v>
      </c>
      <c r="K273" s="997">
        <f t="shared" si="180"/>
        <v>0</v>
      </c>
      <c r="L273" s="997">
        <f>L20-L272</f>
        <v>0</v>
      </c>
      <c r="M273" s="3346"/>
      <c r="N273" s="3346"/>
    </row>
    <row r="274" spans="1:14" ht="31.5" hidden="1" customHeight="1">
      <c r="A274" s="3346"/>
      <c r="B274" s="3346"/>
      <c r="C274" s="3346"/>
      <c r="D274" s="3346"/>
      <c r="E274" s="3346"/>
      <c r="F274" s="3346"/>
      <c r="G274" s="3346"/>
      <c r="H274" s="3346"/>
      <c r="I274" s="3346"/>
      <c r="J274" s="3346"/>
      <c r="K274" s="3346"/>
      <c r="L274" s="3346"/>
      <c r="M274" s="3346"/>
      <c r="N274" s="3346"/>
    </row>
    <row r="275" spans="1:14" ht="31.5" hidden="1" customHeight="1">
      <c r="A275" s="3346"/>
      <c r="B275" s="3346"/>
      <c r="C275" s="3346"/>
      <c r="D275" s="3346"/>
      <c r="E275" s="3346"/>
      <c r="F275" s="3346"/>
      <c r="G275" s="3346"/>
      <c r="H275" s="3346"/>
      <c r="I275" s="3346"/>
      <c r="J275" s="3346"/>
      <c r="K275" s="3346"/>
      <c r="L275" s="3346"/>
      <c r="M275" s="3346"/>
      <c r="N275" s="3346"/>
    </row>
    <row r="276" spans="1:14" hidden="1">
      <c r="B276" s="3348" t="s">
        <v>40</v>
      </c>
    </row>
    <row r="277" spans="1:14" hidden="1">
      <c r="B277" s="3898" t="s">
        <v>205</v>
      </c>
      <c r="C277" s="256" t="s">
        <v>99</v>
      </c>
      <c r="D277" s="259">
        <f>D115-L115-F115-G115-H115-I115-J115-K115</f>
        <v>50695171</v>
      </c>
      <c r="E277" s="256" t="s">
        <v>99</v>
      </c>
    </row>
    <row r="278" spans="1:14" hidden="1">
      <c r="B278" s="3898"/>
      <c r="C278" s="256" t="s">
        <v>72</v>
      </c>
      <c r="D278" s="259">
        <f>D134-L134-F134-G134-H134-I134-J134-K134</f>
        <v>518371</v>
      </c>
      <c r="E278" s="256" t="s">
        <v>72</v>
      </c>
    </row>
    <row r="279" spans="1:14" hidden="1">
      <c r="B279" s="3898"/>
      <c r="D279" s="321">
        <f>D277+D278</f>
        <v>51213542</v>
      </c>
    </row>
    <row r="280" spans="1:14" hidden="1"/>
    <row r="281" spans="1:14" hidden="1">
      <c r="B281" s="2861" t="s">
        <v>565</v>
      </c>
      <c r="C281" s="256" t="s">
        <v>99</v>
      </c>
      <c r="D281" s="259">
        <f>+D105-L105-F105-G105-H105-I105-J105-K105</f>
        <v>40545815</v>
      </c>
    </row>
    <row r="282" spans="1:14" hidden="1">
      <c r="C282" s="256" t="s">
        <v>72</v>
      </c>
      <c r="D282" s="259">
        <f>D124-L124-F124-G124-H124-I124-J124-K124</f>
        <v>779442</v>
      </c>
    </row>
    <row r="283" spans="1:14" hidden="1">
      <c r="D283" s="321">
        <f>D281+D282</f>
        <v>41325257</v>
      </c>
    </row>
    <row r="284" spans="1:14" hidden="1"/>
    <row r="285" spans="1:14" hidden="1">
      <c r="B285" s="2861" t="s">
        <v>207</v>
      </c>
      <c r="D285" s="321">
        <f>+D96-L96-F96-G96-H96-I96-J96-K96</f>
        <v>8907379</v>
      </c>
    </row>
    <row r="286" spans="1:14" hidden="1"/>
    <row r="287" spans="1:14" hidden="1">
      <c r="B287" s="256" t="s">
        <v>206</v>
      </c>
      <c r="D287" s="321">
        <f>D283+D285</f>
        <v>50232636</v>
      </c>
    </row>
    <row r="288" spans="1:14" hidden="1">
      <c r="E288" s="259"/>
    </row>
    <row r="289" spans="2:13" hidden="1">
      <c r="B289" s="256" t="s">
        <v>278</v>
      </c>
      <c r="D289" s="259">
        <f t="shared" ref="D289:K289" si="181">+D96+D106</f>
        <v>217427656</v>
      </c>
      <c r="E289" s="259">
        <f t="shared" si="181"/>
        <v>49453194</v>
      </c>
      <c r="F289" s="259">
        <f t="shared" si="181"/>
        <v>29167993</v>
      </c>
      <c r="G289" s="259">
        <f t="shared" si="181"/>
        <v>31341732</v>
      </c>
      <c r="H289" s="259">
        <f t="shared" si="181"/>
        <v>30064390</v>
      </c>
      <c r="I289" s="259">
        <f t="shared" si="181"/>
        <v>26593043</v>
      </c>
      <c r="J289" s="259">
        <f t="shared" si="181"/>
        <v>25498869</v>
      </c>
      <c r="K289" s="259">
        <f t="shared" si="181"/>
        <v>25308435</v>
      </c>
      <c r="L289" s="259"/>
      <c r="M289" s="259">
        <f>SUM(E289:K289)-D289</f>
        <v>0</v>
      </c>
    </row>
    <row r="290" spans="2:13" hidden="1">
      <c r="B290" s="256" t="s">
        <v>279</v>
      </c>
      <c r="D290" s="259">
        <f t="shared" ref="D290:K290" si="182">+D125</f>
        <v>2741069</v>
      </c>
      <c r="E290" s="259">
        <f t="shared" si="182"/>
        <v>779442</v>
      </c>
      <c r="F290" s="259">
        <f t="shared" si="182"/>
        <v>600000</v>
      </c>
      <c r="G290" s="259">
        <f t="shared" si="182"/>
        <v>617127</v>
      </c>
      <c r="H290" s="259">
        <f t="shared" si="182"/>
        <v>200000</v>
      </c>
      <c r="I290" s="259">
        <f t="shared" si="182"/>
        <v>200000</v>
      </c>
      <c r="J290" s="259">
        <f t="shared" si="182"/>
        <v>200000</v>
      </c>
      <c r="K290" s="259">
        <f t="shared" si="182"/>
        <v>144500</v>
      </c>
      <c r="L290" s="259"/>
      <c r="M290" s="259">
        <f>SUM(E290:K290)-D290</f>
        <v>0</v>
      </c>
    </row>
    <row r="291" spans="2:13" hidden="1"/>
    <row r="292" spans="2:13" hidden="1">
      <c r="B292" s="256" t="s">
        <v>277</v>
      </c>
      <c r="D292" s="259">
        <f>+D115+'Tab. 6B Polit społ i rozwój prz'!D92+D134+'Tab. 6B Polit społ i rozwój prz'!D104</f>
        <v>249298062</v>
      </c>
      <c r="F292" s="259">
        <f>+F115+'Tab. 6B Polit społ i rozwój prz'!F92+F134+'Tab. 6B Polit społ i rozwój prz'!F104</f>
        <v>31772176</v>
      </c>
      <c r="G292" s="259">
        <f>+G115+'Tab. 6B Polit społ i rozwój prz'!G92+G134+'Tab. 6B Polit społ i rozwój prz'!G104</f>
        <v>37179474</v>
      </c>
      <c r="H292" s="259">
        <f>+H115+'Tab. 6B Polit społ i rozwój prz'!H92+H134+'Tab. 6B Polit społ i rozwój prz'!H104</f>
        <v>22696965</v>
      </c>
      <c r="I292" s="259">
        <f>+I115+'Tab. 6B Polit społ i rozwój prz'!I92+I134+'Tab. 6B Polit społ i rozwój prz'!I104</f>
        <v>31000000</v>
      </c>
      <c r="J292" s="259">
        <f>+J115+'Tab. 6B Polit społ i rozwój prz'!J92+J134+'Tab. 6B Polit społ i rozwój prz'!J104</f>
        <v>31000000</v>
      </c>
      <c r="K292" s="259">
        <f>+K115+'Tab. 6B Polit społ i rozwój prz'!K92+K134+'Tab. 6B Polit społ i rozwój prz'!K104</f>
        <v>28958648</v>
      </c>
      <c r="L292" s="259"/>
      <c r="M292" s="259">
        <f>SUM(E292:K292)-D292</f>
        <v>-66690799</v>
      </c>
    </row>
    <row r="293" spans="2:13" hidden="1">
      <c r="B293" s="256" t="s">
        <v>276</v>
      </c>
      <c r="D293" s="259">
        <f>+D94+D119+'Tab. 6B Polit społ i rozwój prz'!D86+'Tab. 6B Polit społ i rozwój prz'!D98</f>
        <v>296468308</v>
      </c>
      <c r="E293" s="259">
        <f>+E94+E119+'Tab. 6B Polit społ i rozwój prz'!E86+'Tab. 6B Polit społ i rozwój prz'!E98</f>
        <v>69135785</v>
      </c>
      <c r="F293" s="259">
        <f>+F94+F119+'Tab. 6B Polit społ i rozwój prz'!F86+'Tab. 6B Polit społ i rozwój prz'!F98</f>
        <v>40317986</v>
      </c>
      <c r="G293" s="259">
        <f>+G94+G119+'Tab. 6B Polit społ i rozwój prz'!G86+'Tab. 6B Polit społ i rozwój prz'!G98</f>
        <v>42647402</v>
      </c>
      <c r="H293" s="259">
        <f>+H94+H119+'Tab. 6B Polit społ i rozwój prz'!H86+'Tab. 6B Polit społ i rozwój prz'!H98</f>
        <v>40043130</v>
      </c>
      <c r="I293" s="259">
        <f>+I94+I119+'Tab. 6B Polit społ i rozwój prz'!I86+'Tab. 6B Polit społ i rozwój prz'!I98</f>
        <v>36454337</v>
      </c>
      <c r="J293" s="259">
        <f>+J94+J119+'Tab. 6B Polit społ i rozwój prz'!J86+'Tab. 6B Polit społ i rozwój prz'!J98</f>
        <v>34640162</v>
      </c>
      <c r="K293" s="259">
        <f>+K94+K119+'Tab. 6B Polit społ i rozwój prz'!K86+'Tab. 6B Polit społ i rozwój prz'!K98</f>
        <v>33229506</v>
      </c>
      <c r="L293" s="259"/>
      <c r="M293" s="259">
        <f>SUM(E293:K293)-D293</f>
        <v>0</v>
      </c>
    </row>
    <row r="294" spans="2:13" hidden="1"/>
    <row r="295" spans="2:13" hidden="1"/>
    <row r="296" spans="2:13" hidden="1"/>
    <row r="297" spans="2:13" hidden="1"/>
    <row r="298" spans="2:13" hidden="1">
      <c r="B298" s="256" t="s">
        <v>240</v>
      </c>
      <c r="C298" s="256" t="s">
        <v>238</v>
      </c>
      <c r="D298" s="259">
        <f>+D210+D176</f>
        <v>18000000</v>
      </c>
      <c r="F298" s="259">
        <f t="shared" ref="F298:J298" si="183">+F210+F176</f>
        <v>1782033</v>
      </c>
      <c r="G298" s="259">
        <f t="shared" si="183"/>
        <v>5574771</v>
      </c>
      <c r="H298" s="259">
        <f t="shared" si="183"/>
        <v>9303035</v>
      </c>
      <c r="I298" s="259">
        <f t="shared" si="183"/>
        <v>0</v>
      </c>
      <c r="J298" s="259">
        <f t="shared" si="183"/>
        <v>0</v>
      </c>
      <c r="M298" s="259">
        <f>SUM(E298:K298)-D298</f>
        <v>-1340161</v>
      </c>
    </row>
    <row r="299" spans="2:13" hidden="1">
      <c r="C299" s="256" t="s">
        <v>239</v>
      </c>
      <c r="D299" s="259">
        <f>+D168+D195</f>
        <v>0</v>
      </c>
      <c r="F299" s="259">
        <f t="shared" ref="F299:J299" si="184">+F168+F195</f>
        <v>0</v>
      </c>
      <c r="G299" s="259">
        <f t="shared" si="184"/>
        <v>0</v>
      </c>
      <c r="H299" s="259">
        <f t="shared" si="184"/>
        <v>0</v>
      </c>
      <c r="I299" s="259">
        <f t="shared" si="184"/>
        <v>0</v>
      </c>
      <c r="J299" s="259">
        <f t="shared" si="184"/>
        <v>0</v>
      </c>
      <c r="M299" s="259">
        <f>SUM(E299:K299)-D299</f>
        <v>0</v>
      </c>
    </row>
    <row r="300" spans="2:13" hidden="1">
      <c r="D300" s="259">
        <f>SUM(D298:D299)</f>
        <v>18000000</v>
      </c>
      <c r="E300" s="259">
        <f t="shared" ref="E300:J300" si="185">SUM(E298:E299)</f>
        <v>0</v>
      </c>
      <c r="F300" s="259">
        <f t="shared" si="185"/>
        <v>1782033</v>
      </c>
      <c r="G300" s="259">
        <f t="shared" si="185"/>
        <v>5574771</v>
      </c>
      <c r="H300" s="259">
        <f t="shared" si="185"/>
        <v>9303035</v>
      </c>
      <c r="I300" s="259">
        <f t="shared" si="185"/>
        <v>0</v>
      </c>
      <c r="J300" s="259">
        <f t="shared" si="185"/>
        <v>0</v>
      </c>
      <c r="M300" s="259">
        <f>SUM(E300:K300)-D300</f>
        <v>-1340161</v>
      </c>
    </row>
    <row r="301" spans="2:13" hidden="1">
      <c r="B301" s="256" t="s">
        <v>280</v>
      </c>
      <c r="D301" s="259">
        <f t="shared" ref="D301:J301" si="186">D144</f>
        <v>18000000</v>
      </c>
      <c r="E301" s="259">
        <f t="shared" si="186"/>
        <v>1340161</v>
      </c>
      <c r="F301" s="259">
        <f t="shared" si="186"/>
        <v>1782033</v>
      </c>
      <c r="G301" s="259">
        <f t="shared" si="186"/>
        <v>5574771</v>
      </c>
      <c r="H301" s="259">
        <f t="shared" si="186"/>
        <v>9303035</v>
      </c>
      <c r="I301" s="259">
        <f t="shared" si="186"/>
        <v>0</v>
      </c>
      <c r="J301" s="259">
        <f t="shared" si="186"/>
        <v>0</v>
      </c>
      <c r="M301" s="259">
        <f>SUM(E301:K301)-D301</f>
        <v>0</v>
      </c>
    </row>
    <row r="302" spans="2:13" hidden="1"/>
    <row r="303" spans="2:13" hidden="1">
      <c r="B303" s="256" t="s">
        <v>281</v>
      </c>
      <c r="D303" s="259">
        <f>+D292+D300</f>
        <v>267298062</v>
      </c>
      <c r="E303" s="259">
        <f t="shared" ref="E303:K303" si="187">+E292+E300</f>
        <v>0</v>
      </c>
      <c r="F303" s="259">
        <f t="shared" si="187"/>
        <v>33554209</v>
      </c>
      <c r="G303" s="259">
        <f t="shared" si="187"/>
        <v>42754245</v>
      </c>
      <c r="H303" s="259">
        <f t="shared" si="187"/>
        <v>32000000</v>
      </c>
      <c r="I303" s="259">
        <f t="shared" si="187"/>
        <v>31000000</v>
      </c>
      <c r="J303" s="259">
        <f t="shared" si="187"/>
        <v>31000000</v>
      </c>
      <c r="K303" s="259">
        <f t="shared" si="187"/>
        <v>28958648</v>
      </c>
      <c r="L303" s="259"/>
      <c r="M303" s="259">
        <f>SUM(E303:K303)-D303</f>
        <v>-68030960</v>
      </c>
    </row>
    <row r="304" spans="2:13" hidden="1">
      <c r="B304" s="256" t="s">
        <v>282</v>
      </c>
      <c r="D304" s="259">
        <f>+D293+D301</f>
        <v>314468308</v>
      </c>
      <c r="E304" s="259">
        <f t="shared" ref="E304:K304" si="188">+E293+E301</f>
        <v>70475946</v>
      </c>
      <c r="F304" s="259">
        <f t="shared" si="188"/>
        <v>42100019</v>
      </c>
      <c r="G304" s="259">
        <f t="shared" si="188"/>
        <v>48222173</v>
      </c>
      <c r="H304" s="259">
        <f t="shared" si="188"/>
        <v>49346165</v>
      </c>
      <c r="I304" s="259">
        <f t="shared" si="188"/>
        <v>36454337</v>
      </c>
      <c r="J304" s="259">
        <f t="shared" si="188"/>
        <v>34640162</v>
      </c>
      <c r="K304" s="259">
        <f t="shared" si="188"/>
        <v>33229506</v>
      </c>
      <c r="L304" s="259"/>
      <c r="M304" s="259">
        <f>SUM(E304:K304)-D304</f>
        <v>0</v>
      </c>
    </row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403" spans="1:14" ht="13.5" thickBot="1">
      <c r="A403" s="1732"/>
    </row>
    <row r="404" spans="1:14" ht="13.5" thickBot="1">
      <c r="A404" s="2019"/>
    </row>
    <row r="405" spans="1:14" ht="13.5" thickBot="1">
      <c r="A405" s="2019"/>
    </row>
    <row r="406" spans="1:14" ht="13.5" thickBot="1">
      <c r="A406" s="2019"/>
    </row>
    <row r="407" spans="1:14" ht="13.5" thickBot="1">
      <c r="A407" s="2019"/>
    </row>
    <row r="408" spans="1:14" ht="13.5" thickBot="1">
      <c r="A408" s="2019"/>
    </row>
    <row r="409" spans="1:14" ht="13.5" thickBot="1">
      <c r="A409" s="2019"/>
      <c r="M409" s="2862"/>
      <c r="N409" s="2863"/>
    </row>
    <row r="410" spans="1:14" ht="13.5" thickBot="1">
      <c r="A410" s="2019"/>
      <c r="C410" s="2862"/>
      <c r="M410" s="2864"/>
      <c r="N410" s="2865"/>
    </row>
    <row r="411" spans="1:14" ht="13.5" thickBot="1">
      <c r="A411" s="2019"/>
      <c r="C411" s="2864"/>
      <c r="D411" s="2862"/>
      <c r="E411" s="2862"/>
      <c r="F411" s="2862"/>
      <c r="G411" s="2862"/>
      <c r="H411" s="2862"/>
      <c r="I411" s="2862"/>
      <c r="J411" s="2862"/>
      <c r="K411" s="2862"/>
      <c r="L411" s="2862"/>
      <c r="M411" s="2864"/>
      <c r="N411" s="2865"/>
    </row>
    <row r="412" spans="1:14" ht="13.5" thickBot="1">
      <c r="A412" s="2019"/>
      <c r="C412" s="2866"/>
      <c r="D412" s="2866"/>
      <c r="E412" s="2866"/>
      <c r="F412" s="2866"/>
      <c r="G412" s="2866"/>
      <c r="H412" s="2866"/>
      <c r="I412" s="2866"/>
      <c r="J412" s="2866"/>
      <c r="K412" s="2866"/>
      <c r="L412" s="2866"/>
      <c r="M412" s="2866"/>
      <c r="N412" s="2865"/>
    </row>
    <row r="413" spans="1:14" ht="13.5" thickBot="1">
      <c r="A413" s="2019"/>
      <c r="N413" s="2865"/>
    </row>
    <row r="414" spans="1:14" ht="13.5" thickBot="1">
      <c r="A414" s="2019"/>
      <c r="N414" s="2865"/>
    </row>
    <row r="415" spans="1:14" ht="13.5" thickBot="1">
      <c r="A415" s="2019"/>
      <c r="N415" s="2865"/>
    </row>
    <row r="416" spans="1:14" ht="13.5" thickBot="1">
      <c r="A416" s="2019"/>
      <c r="N416" s="2865"/>
    </row>
    <row r="417" spans="1:14" ht="13.5" thickBot="1">
      <c r="A417" s="2019"/>
      <c r="N417" s="2867"/>
    </row>
    <row r="418" spans="1:14" ht="13.5" thickBot="1">
      <c r="A418" s="2019"/>
    </row>
    <row r="419" spans="1:14" ht="13.5" thickBot="1">
      <c r="A419" s="2019"/>
    </row>
    <row r="420" spans="1:14">
      <c r="A420" s="2020"/>
    </row>
    <row r="518" spans="1:14" ht="13.5" thickBot="1">
      <c r="N518" s="2863"/>
    </row>
    <row r="519" spans="1:14" ht="13.5" thickBot="1">
      <c r="N519" s="2865"/>
    </row>
    <row r="520" spans="1:14" ht="13.5" thickBot="1">
      <c r="N520" s="2865"/>
    </row>
    <row r="521" spans="1:14" ht="13.5" thickBot="1">
      <c r="N521" s="2865"/>
    </row>
    <row r="522" spans="1:14" ht="13.5" thickBot="1">
      <c r="M522" s="2862"/>
      <c r="N522" s="2865"/>
    </row>
    <row r="523" spans="1:14" ht="13.5" thickBot="1">
      <c r="M523" s="2864"/>
      <c r="N523" s="2865"/>
    </row>
    <row r="524" spans="1:14" ht="13.5" thickBot="1">
      <c r="M524" s="2864"/>
      <c r="N524" s="2865"/>
    </row>
    <row r="525" spans="1:14" ht="13.5" thickBot="1">
      <c r="M525" s="2864"/>
      <c r="N525" s="2865"/>
    </row>
    <row r="526" spans="1:14" ht="13.5" thickBot="1">
      <c r="M526" s="2864"/>
      <c r="N526" s="2865"/>
    </row>
    <row r="527" spans="1:14" ht="13.5" thickBot="1">
      <c r="A527" s="1732"/>
      <c r="B527" s="2862"/>
      <c r="C527" s="2862"/>
      <c r="D527" s="2862"/>
      <c r="E527" s="2862"/>
      <c r="F527" s="2862"/>
      <c r="G527" s="2862"/>
      <c r="H527" s="2862"/>
      <c r="I527" s="2862"/>
      <c r="J527" s="2862"/>
      <c r="K527" s="2862"/>
      <c r="L527" s="2862"/>
      <c r="M527" s="2864"/>
      <c r="N527" s="2865"/>
    </row>
    <row r="528" spans="1:14" ht="13.5" thickBot="1">
      <c r="A528" s="2019"/>
      <c r="B528" s="2866"/>
      <c r="C528" s="2866"/>
      <c r="D528" s="2866"/>
      <c r="E528" s="2866"/>
      <c r="F528" s="2866"/>
      <c r="G528" s="2866"/>
      <c r="H528" s="2866"/>
      <c r="I528" s="2866"/>
      <c r="J528" s="2866"/>
      <c r="K528" s="2866"/>
      <c r="L528" s="2866"/>
      <c r="M528" s="2866"/>
      <c r="N528" s="2865"/>
    </row>
    <row r="529" spans="1:14" ht="13.5" thickBot="1">
      <c r="A529" s="2019"/>
      <c r="N529" s="2865"/>
    </row>
    <row r="530" spans="1:14" ht="13.5" thickBot="1">
      <c r="A530" s="2019"/>
      <c r="N530" s="2865"/>
    </row>
    <row r="531" spans="1:14" ht="13.5" thickBot="1">
      <c r="A531" s="2019"/>
      <c r="N531" s="2865"/>
    </row>
    <row r="532" spans="1:14" ht="13.5" thickBot="1">
      <c r="A532" s="2019"/>
      <c r="N532" s="2865"/>
    </row>
    <row r="533" spans="1:14" ht="13.5" thickBot="1">
      <c r="A533" s="2019"/>
      <c r="N533" s="2865"/>
    </row>
    <row r="534" spans="1:14" ht="13.5" thickBot="1">
      <c r="A534" s="2019"/>
      <c r="N534" s="2865"/>
    </row>
    <row r="535" spans="1:14">
      <c r="A535" s="2020"/>
      <c r="N535" s="2867"/>
    </row>
    <row r="542" spans="1:14" ht="13.5" thickBot="1"/>
    <row r="543" spans="1:14" ht="33.75">
      <c r="A543" s="322"/>
      <c r="B543" s="323" t="s">
        <v>60</v>
      </c>
      <c r="C543" s="323"/>
      <c r="D543" s="2866"/>
      <c r="E543" s="2866"/>
      <c r="F543" s="2866"/>
      <c r="G543" s="2866"/>
      <c r="H543" s="2866"/>
      <c r="I543" s="2866"/>
      <c r="J543" s="2866"/>
      <c r="K543" s="2866"/>
      <c r="L543" s="2866"/>
      <c r="M543" s="2866"/>
      <c r="N543" s="2868"/>
    </row>
    <row r="544" spans="1:14">
      <c r="A544" s="324"/>
      <c r="N544" s="2869"/>
    </row>
    <row r="545" spans="1:14">
      <c r="A545" s="324"/>
      <c r="N545" s="2869"/>
    </row>
    <row r="546" spans="1:14">
      <c r="A546" s="324"/>
      <c r="N546" s="2869"/>
    </row>
    <row r="547" spans="1:14">
      <c r="A547" s="324"/>
      <c r="N547" s="2869"/>
    </row>
    <row r="548" spans="1:14">
      <c r="A548" s="324"/>
      <c r="N548" s="2869"/>
    </row>
    <row r="549" spans="1:14">
      <c r="A549" s="324"/>
      <c r="N549" s="2869"/>
    </row>
    <row r="550" spans="1:14">
      <c r="A550" s="324"/>
      <c r="N550" s="2869"/>
    </row>
    <row r="551" spans="1:14">
      <c r="A551" s="324"/>
      <c r="N551" s="2869"/>
    </row>
    <row r="552" spans="1:14">
      <c r="A552" s="324"/>
      <c r="N552" s="2869"/>
    </row>
    <row r="553" spans="1:14">
      <c r="A553" s="324"/>
      <c r="N553" s="2869"/>
    </row>
    <row r="554" spans="1:14" ht="13.5" thickBot="1">
      <c r="A554" s="325"/>
      <c r="B554" s="2862"/>
      <c r="C554" s="2862"/>
      <c r="D554" s="2862"/>
      <c r="E554" s="2862"/>
      <c r="F554" s="2862"/>
      <c r="G554" s="2862"/>
      <c r="H554" s="2862"/>
      <c r="I554" s="2862"/>
      <c r="J554" s="2862"/>
      <c r="K554" s="2862"/>
      <c r="L554" s="2862"/>
      <c r="M554" s="2862"/>
      <c r="N554" s="2870"/>
    </row>
  </sheetData>
  <mergeCells count="98">
    <mergeCell ref="O115:R136"/>
    <mergeCell ref="N137:N151"/>
    <mergeCell ref="N93:N117"/>
    <mergeCell ref="M115:M117"/>
    <mergeCell ref="M66:M70"/>
    <mergeCell ref="M77:M81"/>
    <mergeCell ref="M88:M92"/>
    <mergeCell ref="N71:N81"/>
    <mergeCell ref="A93:A117"/>
    <mergeCell ref="A118:A136"/>
    <mergeCell ref="C135:C136"/>
    <mergeCell ref="C120:C125"/>
    <mergeCell ref="C116:C117"/>
    <mergeCell ref="C95:C106"/>
    <mergeCell ref="C206:C209"/>
    <mergeCell ref="A137:A151"/>
    <mergeCell ref="A155:A167"/>
    <mergeCell ref="C232:C235"/>
    <mergeCell ref="A169:A182"/>
    <mergeCell ref="A185:A194"/>
    <mergeCell ref="C179:C180"/>
    <mergeCell ref="C187:C188"/>
    <mergeCell ref="C148:C151"/>
    <mergeCell ref="C139:C146"/>
    <mergeCell ref="A38:A58"/>
    <mergeCell ref="M231:M235"/>
    <mergeCell ref="M147:M151"/>
    <mergeCell ref="C193:C194"/>
    <mergeCell ref="M192:M194"/>
    <mergeCell ref="C171:C177"/>
    <mergeCell ref="C189:C191"/>
    <mergeCell ref="C198:C204"/>
    <mergeCell ref="C181:C182"/>
    <mergeCell ref="C164:C165"/>
    <mergeCell ref="M178:M184"/>
    <mergeCell ref="M163:M168"/>
    <mergeCell ref="M205:M211"/>
    <mergeCell ref="C214:C219"/>
    <mergeCell ref="M220:M224"/>
    <mergeCell ref="C221:C224"/>
    <mergeCell ref="C67:C70"/>
    <mergeCell ref="N38:N58"/>
    <mergeCell ref="C40:C50"/>
    <mergeCell ref="M54:M58"/>
    <mergeCell ref="C55:C58"/>
    <mergeCell ref="M245:M247"/>
    <mergeCell ref="A5:N5"/>
    <mergeCell ref="B6:B7"/>
    <mergeCell ref="C6:C7"/>
    <mergeCell ref="D6:D7"/>
    <mergeCell ref="N6:N7"/>
    <mergeCell ref="M6:M7"/>
    <mergeCell ref="L6:L7"/>
    <mergeCell ref="G6:K6"/>
    <mergeCell ref="A26:A37"/>
    <mergeCell ref="N26:N37"/>
    <mergeCell ref="C28:C31"/>
    <mergeCell ref="C36:C37"/>
    <mergeCell ref="A59:A70"/>
    <mergeCell ref="N59:N70"/>
    <mergeCell ref="C61:C65"/>
    <mergeCell ref="A252:A257"/>
    <mergeCell ref="C73:C76"/>
    <mergeCell ref="C78:C81"/>
    <mergeCell ref="A71:A81"/>
    <mergeCell ref="A268:N268"/>
    <mergeCell ref="A82:A92"/>
    <mergeCell ref="N82:N92"/>
    <mergeCell ref="C84:C87"/>
    <mergeCell ref="C89:C92"/>
    <mergeCell ref="C166:C168"/>
    <mergeCell ref="C157:C162"/>
    <mergeCell ref="N225:N235"/>
    <mergeCell ref="C227:C230"/>
    <mergeCell ref="A196:A208"/>
    <mergeCell ref="A212:A224"/>
    <mergeCell ref="A225:A235"/>
    <mergeCell ref="B277:B279"/>
    <mergeCell ref="A266:N266"/>
    <mergeCell ref="A248:A251"/>
    <mergeCell ref="N248:N251"/>
    <mergeCell ref="N238:N247"/>
    <mergeCell ref="C242:C244"/>
    <mergeCell ref="C246:C247"/>
    <mergeCell ref="C264:C265"/>
    <mergeCell ref="M263:M265"/>
    <mergeCell ref="C250:C251"/>
    <mergeCell ref="A258:A261"/>
    <mergeCell ref="C260:C261"/>
    <mergeCell ref="N258:N261"/>
    <mergeCell ref="A267:N267"/>
    <mergeCell ref="N252:N257"/>
    <mergeCell ref="C254:C257"/>
    <mergeCell ref="M20:M25"/>
    <mergeCell ref="M35:M37"/>
    <mergeCell ref="N118:N136"/>
    <mergeCell ref="M134:M136"/>
    <mergeCell ref="N212:N224"/>
  </mergeCells>
  <printOptions horizontalCentered="1"/>
  <pageMargins left="3.937007874015748E-2" right="7.874015748031496E-2" top="0.51181102362204722" bottom="0.51181102362204722" header="0.15748031496062992" footer="0.15748031496062992"/>
  <pageSetup paperSize="9" scale="75" firstPageNumber="45" fitToHeight="3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</oddHeader>
    <oddFooter>&amp;C&amp;8&amp;P</oddFooter>
  </headerFooter>
  <rowBreaks count="1" manualBreakCount="1">
    <brk id="58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BX535"/>
  <sheetViews>
    <sheetView showGridLines="0" view="pageBreakPreview" zoomScaleSheetLayoutView="100" workbookViewId="0">
      <pane xSplit="3" ySplit="6" topLeftCell="D7" activePane="bottomRight" state="frozen"/>
      <selection activeCell="A4" sqref="A1:XFD1048576"/>
      <selection pane="topRight" activeCell="A4" sqref="A1:XFD1048576"/>
      <selection pane="bottomLeft" activeCell="A4" sqref="A1:XFD1048576"/>
      <selection pane="bottomRight" activeCell="N32" sqref="N32:N40"/>
    </sheetView>
  </sheetViews>
  <sheetFormatPr defaultColWidth="9.140625" defaultRowHeight="11.25"/>
  <cols>
    <col min="1" max="1" width="4.140625" style="332" customWidth="1"/>
    <col min="2" max="2" width="59.28515625" style="265" customWidth="1"/>
    <col min="3" max="3" width="10.5703125" style="265" customWidth="1"/>
    <col min="4" max="4" width="16.140625" style="265" customWidth="1"/>
    <col min="5" max="5" width="12.42578125" style="265" customWidth="1"/>
    <col min="6" max="6" width="12.5703125" style="265" customWidth="1"/>
    <col min="7" max="7" width="10.28515625" style="265" customWidth="1"/>
    <col min="8" max="9" width="9.85546875" style="265" customWidth="1"/>
    <col min="10" max="10" width="10" style="265" customWidth="1"/>
    <col min="11" max="11" width="8.28515625" style="265" customWidth="1"/>
    <col min="12" max="12" width="8.28515625" style="265" hidden="1" customWidth="1"/>
    <col min="13" max="13" width="12.42578125" style="265" customWidth="1"/>
    <col min="14" max="14" width="15.28515625" style="388" customWidth="1"/>
    <col min="15" max="15" width="3.28515625" style="265" customWidth="1"/>
    <col min="16" max="16" width="13.42578125" style="265" hidden="1" customWidth="1"/>
    <col min="17" max="17" width="18.28515625" style="265" hidden="1" customWidth="1"/>
    <col min="18" max="33" width="18.28515625" style="265" customWidth="1"/>
    <col min="34" max="75" width="3.28515625" style="265" customWidth="1"/>
    <col min="76" max="16384" width="9.140625" style="265"/>
  </cols>
  <sheetData>
    <row r="1" spans="1:76" s="387" customFormat="1" ht="18" customHeight="1">
      <c r="A1" s="397"/>
      <c r="B1" s="398"/>
      <c r="C1" s="397"/>
      <c r="D1" s="397"/>
      <c r="E1" s="397"/>
      <c r="F1" s="261" t="s">
        <v>366</v>
      </c>
      <c r="G1" s="261"/>
      <c r="H1" s="261"/>
      <c r="I1" s="261"/>
      <c r="J1" s="261"/>
      <c r="K1" s="261"/>
      <c r="L1" s="261"/>
      <c r="M1" s="3"/>
      <c r="N1" s="4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M1" s="386"/>
      <c r="AN1" s="386"/>
      <c r="AO1" s="386"/>
      <c r="AP1" s="386"/>
      <c r="AQ1" s="386"/>
      <c r="AR1" s="386"/>
      <c r="AS1" s="386"/>
      <c r="AT1" s="386"/>
      <c r="AU1" s="386"/>
      <c r="AV1" s="386"/>
      <c r="AW1" s="386"/>
      <c r="AX1" s="386"/>
      <c r="AY1" s="386"/>
      <c r="AZ1" s="386"/>
      <c r="BA1" s="386"/>
      <c r="BB1" s="386"/>
      <c r="BC1" s="386"/>
      <c r="BD1" s="386"/>
      <c r="BE1" s="386"/>
      <c r="BF1" s="386"/>
      <c r="BG1" s="386"/>
      <c r="BH1" s="386"/>
      <c r="BI1" s="386"/>
      <c r="BJ1" s="386"/>
      <c r="BK1" s="386"/>
      <c r="BL1" s="386"/>
      <c r="BM1" s="386"/>
      <c r="BN1" s="386"/>
      <c r="BO1" s="386"/>
      <c r="BP1" s="386"/>
      <c r="BQ1" s="386"/>
      <c r="BR1" s="386"/>
      <c r="BS1" s="386"/>
      <c r="BT1" s="386"/>
      <c r="BU1" s="386"/>
      <c r="BV1" s="386"/>
      <c r="BW1" s="386"/>
      <c r="BX1" s="264"/>
    </row>
    <row r="2" spans="1:76" s="387" customFormat="1" ht="16.5" customHeight="1">
      <c r="A2" s="399"/>
      <c r="B2" s="398"/>
      <c r="C2" s="397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  <c r="AQ2" s="386"/>
      <c r="AR2" s="386"/>
      <c r="AS2" s="386"/>
      <c r="AT2" s="386"/>
      <c r="AU2" s="386"/>
      <c r="AV2" s="386"/>
      <c r="AW2" s="386"/>
      <c r="AX2" s="386"/>
      <c r="AY2" s="386"/>
      <c r="AZ2" s="386"/>
      <c r="BA2" s="386"/>
      <c r="BB2" s="386"/>
      <c r="BC2" s="386"/>
      <c r="BD2" s="386"/>
      <c r="BE2" s="386"/>
      <c r="BF2" s="386"/>
      <c r="BG2" s="386"/>
      <c r="BH2" s="386"/>
      <c r="BI2" s="386"/>
      <c r="BJ2" s="386"/>
      <c r="BK2" s="386"/>
      <c r="BL2" s="386"/>
      <c r="BM2" s="386"/>
      <c r="BN2" s="386"/>
      <c r="BO2" s="386"/>
      <c r="BP2" s="386"/>
      <c r="BQ2" s="386"/>
      <c r="BR2" s="386"/>
      <c r="BS2" s="386"/>
      <c r="BT2" s="386"/>
      <c r="BU2" s="386"/>
      <c r="BV2" s="386"/>
      <c r="BW2" s="386"/>
      <c r="BX2" s="264"/>
    </row>
    <row r="3" spans="1:76" s="387" customFormat="1" ht="18" customHeight="1" thickBot="1">
      <c r="A3" s="720" t="s">
        <v>146</v>
      </c>
      <c r="B3" s="721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"/>
      <c r="N3" s="4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M3" s="386"/>
      <c r="AN3" s="386"/>
      <c r="AO3" s="386"/>
      <c r="AP3" s="386"/>
      <c r="AQ3" s="386"/>
      <c r="AR3" s="386"/>
      <c r="AS3" s="386"/>
      <c r="AT3" s="386"/>
      <c r="AU3" s="386"/>
      <c r="AV3" s="386"/>
      <c r="AW3" s="386"/>
      <c r="AX3" s="386"/>
      <c r="AY3" s="386"/>
      <c r="AZ3" s="386"/>
      <c r="BA3" s="386"/>
      <c r="BB3" s="386"/>
      <c r="BC3" s="386"/>
      <c r="BD3" s="386"/>
      <c r="BE3" s="386"/>
      <c r="BF3" s="386"/>
      <c r="BG3" s="386"/>
      <c r="BH3" s="386"/>
      <c r="BI3" s="386"/>
      <c r="BJ3" s="386"/>
      <c r="BK3" s="386"/>
      <c r="BL3" s="386"/>
      <c r="BM3" s="386"/>
      <c r="BN3" s="386"/>
      <c r="BO3" s="386"/>
      <c r="BP3" s="386"/>
      <c r="BQ3" s="386"/>
      <c r="BR3" s="386"/>
      <c r="BS3" s="386"/>
      <c r="BT3" s="386"/>
      <c r="BU3" s="386"/>
      <c r="BV3" s="386"/>
      <c r="BW3" s="386"/>
      <c r="BX3" s="264"/>
    </row>
    <row r="4" spans="1:76" ht="71.25" customHeight="1" thickBot="1">
      <c r="A4" s="401"/>
      <c r="B4" s="4007" t="s">
        <v>66</v>
      </c>
      <c r="C4" s="4008" t="s">
        <v>62</v>
      </c>
      <c r="D4" s="3815" t="s">
        <v>63</v>
      </c>
      <c r="E4" s="2693" t="s">
        <v>216</v>
      </c>
      <c r="F4" s="2691" t="s">
        <v>542</v>
      </c>
      <c r="G4" s="3521" t="s">
        <v>544</v>
      </c>
      <c r="H4" s="3522"/>
      <c r="I4" s="3522"/>
      <c r="J4" s="3522"/>
      <c r="K4" s="3523"/>
      <c r="L4" s="3658">
        <v>2024</v>
      </c>
      <c r="M4" s="3819" t="s">
        <v>563</v>
      </c>
      <c r="N4" s="3817" t="s">
        <v>64</v>
      </c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</row>
    <row r="5" spans="1:76" ht="18" customHeight="1" thickBot="1">
      <c r="A5" s="402"/>
      <c r="B5" s="4007"/>
      <c r="C5" s="4009"/>
      <c r="D5" s="4010"/>
      <c r="E5" s="1108" t="s">
        <v>541</v>
      </c>
      <c r="F5" s="2678" t="s">
        <v>5</v>
      </c>
      <c r="G5" s="2678" t="s">
        <v>169</v>
      </c>
      <c r="H5" s="2678" t="s">
        <v>170</v>
      </c>
      <c r="I5" s="2678" t="s">
        <v>210</v>
      </c>
      <c r="J5" s="2678" t="s">
        <v>211</v>
      </c>
      <c r="K5" s="2678" t="s">
        <v>209</v>
      </c>
      <c r="L5" s="3659"/>
      <c r="M5" s="3820"/>
      <c r="N5" s="3818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</row>
    <row r="6" spans="1:76" ht="14.25" customHeight="1">
      <c r="A6" s="767">
        <v>1</v>
      </c>
      <c r="B6" s="768">
        <v>2</v>
      </c>
      <c r="C6" s="769" t="s">
        <v>108</v>
      </c>
      <c r="D6" s="769" t="s">
        <v>109</v>
      </c>
      <c r="E6" s="1112">
        <v>5</v>
      </c>
      <c r="F6" s="769">
        <v>7</v>
      </c>
      <c r="G6" s="769">
        <v>8</v>
      </c>
      <c r="H6" s="769">
        <v>9</v>
      </c>
      <c r="I6" s="769">
        <v>10</v>
      </c>
      <c r="J6" s="769">
        <v>11</v>
      </c>
      <c r="K6" s="769">
        <v>12</v>
      </c>
      <c r="L6" s="769"/>
      <c r="M6" s="770">
        <v>13</v>
      </c>
      <c r="N6" s="771">
        <v>14</v>
      </c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</row>
    <row r="7" spans="1:76" ht="14.25" customHeight="1">
      <c r="A7" s="529"/>
      <c r="B7" s="2254" t="s">
        <v>67</v>
      </c>
      <c r="C7" s="2685"/>
      <c r="D7" s="2255">
        <f>+D9+D8</f>
        <v>133145158</v>
      </c>
      <c r="E7" s="2255">
        <f t="shared" ref="E7:K7" si="0">+E9+E8</f>
        <v>5749391</v>
      </c>
      <c r="F7" s="2255">
        <f t="shared" si="0"/>
        <v>14580273</v>
      </c>
      <c r="G7" s="2255">
        <f t="shared" si="0"/>
        <v>64253930</v>
      </c>
      <c r="H7" s="2255">
        <f t="shared" si="0"/>
        <v>30232378</v>
      </c>
      <c r="I7" s="2255">
        <f>+I9+I8</f>
        <v>16856941</v>
      </c>
      <c r="J7" s="2255">
        <f t="shared" si="0"/>
        <v>1472245</v>
      </c>
      <c r="K7" s="2255">
        <f t="shared" si="0"/>
        <v>0</v>
      </c>
      <c r="L7" s="2255">
        <f>+L9+L8</f>
        <v>0</v>
      </c>
      <c r="M7" s="124">
        <f>+M9+M8</f>
        <v>112815494</v>
      </c>
      <c r="N7" s="403"/>
      <c r="O7" s="264"/>
      <c r="P7" s="153">
        <f>M7-M13</f>
        <v>0</v>
      </c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</row>
    <row r="8" spans="1:76" ht="14.25" customHeight="1">
      <c r="A8" s="529"/>
      <c r="B8" s="2256" t="s">
        <v>68</v>
      </c>
      <c r="C8" s="2686"/>
      <c r="D8" s="185">
        <f>D35+D159+D70</f>
        <v>13331341</v>
      </c>
      <c r="E8" s="185">
        <f t="shared" ref="E8:K8" si="1">E35+E159+E70</f>
        <v>4099273</v>
      </c>
      <c r="F8" s="185">
        <f t="shared" si="1"/>
        <v>6849872</v>
      </c>
      <c r="G8" s="185">
        <f t="shared" si="1"/>
        <v>2024663</v>
      </c>
      <c r="H8" s="185">
        <f t="shared" si="1"/>
        <v>356812</v>
      </c>
      <c r="I8" s="185">
        <f>I35+I159+I70</f>
        <v>721</v>
      </c>
      <c r="J8" s="185">
        <f t="shared" si="1"/>
        <v>0</v>
      </c>
      <c r="K8" s="185">
        <f t="shared" si="1"/>
        <v>0</v>
      </c>
      <c r="L8" s="185">
        <f>L35+L159+L70</f>
        <v>0</v>
      </c>
      <c r="M8" s="1410">
        <f>M35+M159+M70</f>
        <v>2382196</v>
      </c>
      <c r="N8" s="403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</row>
    <row r="9" spans="1:76" ht="14.25" customHeight="1" thickBot="1">
      <c r="A9" s="529"/>
      <c r="B9" s="2257" t="s">
        <v>8</v>
      </c>
      <c r="C9" s="2258"/>
      <c r="D9" s="195">
        <f>+D26+D47+D58+D83+D109+D121+D133+D145+D171+D95</f>
        <v>119813817</v>
      </c>
      <c r="E9" s="195">
        <f t="shared" ref="E9:M9" si="2">+E26+E47+E58+E83+E109+E121+E133+E145+E171+E95</f>
        <v>1650118</v>
      </c>
      <c r="F9" s="195">
        <f t="shared" si="2"/>
        <v>7730401</v>
      </c>
      <c r="G9" s="195">
        <f t="shared" si="2"/>
        <v>62229267</v>
      </c>
      <c r="H9" s="195">
        <f t="shared" si="2"/>
        <v>29875566</v>
      </c>
      <c r="I9" s="195">
        <f t="shared" si="2"/>
        <v>16856220</v>
      </c>
      <c r="J9" s="195">
        <f t="shared" si="2"/>
        <v>1472245</v>
      </c>
      <c r="K9" s="195">
        <f t="shared" si="2"/>
        <v>0</v>
      </c>
      <c r="L9" s="195">
        <f>+L26+L47+L58+L83+L109+L121+L133+L145+L171+L95</f>
        <v>0</v>
      </c>
      <c r="M9" s="126">
        <f t="shared" si="2"/>
        <v>110433298</v>
      </c>
      <c r="N9" s="403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</row>
    <row r="10" spans="1:76" s="426" customFormat="1" ht="12">
      <c r="A10" s="529"/>
      <c r="B10" s="1045" t="s">
        <v>9</v>
      </c>
      <c r="C10" s="1045"/>
      <c r="D10" s="1044">
        <f>+D11+D15</f>
        <v>249393585</v>
      </c>
      <c r="E10" s="1044">
        <f t="shared" ref="E10" si="3">+E11+E15</f>
        <v>6372314</v>
      </c>
      <c r="F10" s="1044">
        <f t="shared" ref="F10:K10" si="4">+F11+F15</f>
        <v>21150918</v>
      </c>
      <c r="G10" s="1044">
        <f t="shared" si="4"/>
        <v>99156698</v>
      </c>
      <c r="H10" s="1044">
        <f t="shared" si="4"/>
        <v>77947477</v>
      </c>
      <c r="I10" s="1044">
        <f t="shared" si="4"/>
        <v>33201433</v>
      </c>
      <c r="J10" s="1044">
        <f t="shared" si="4"/>
        <v>11564745</v>
      </c>
      <c r="K10" s="1044">
        <f t="shared" si="4"/>
        <v>0</v>
      </c>
      <c r="L10" s="1044">
        <f>+L11+L15</f>
        <v>0</v>
      </c>
      <c r="M10" s="310">
        <f>+M11</f>
        <v>112815494</v>
      </c>
      <c r="N10" s="4011"/>
      <c r="O10" s="264"/>
      <c r="P10" s="153"/>
      <c r="Q10" s="153">
        <f>+D24+D44+D56+D68+D80+D106</f>
        <v>221640572</v>
      </c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</row>
    <row r="11" spans="1:76" s="426" customFormat="1" ht="14.1" customHeight="1">
      <c r="A11" s="529"/>
      <c r="B11" s="2259" t="s">
        <v>10</v>
      </c>
      <c r="C11" s="4013" t="s">
        <v>52</v>
      </c>
      <c r="D11" s="2260">
        <f>+D12+D13+D14</f>
        <v>134023006</v>
      </c>
      <c r="E11" s="2260">
        <f t="shared" ref="E11:K11" si="5">+E12+E13+E14</f>
        <v>5811382</v>
      </c>
      <c r="F11" s="2260">
        <f>+F12+F13+F14</f>
        <v>14773165</v>
      </c>
      <c r="G11" s="2260">
        <f t="shared" si="5"/>
        <v>64876895</v>
      </c>
      <c r="H11" s="2260">
        <f t="shared" si="5"/>
        <v>30232378</v>
      </c>
      <c r="I11" s="2260">
        <f t="shared" si="5"/>
        <v>16856941</v>
      </c>
      <c r="J11" s="2260">
        <f t="shared" si="5"/>
        <v>1472245</v>
      </c>
      <c r="K11" s="2260">
        <f t="shared" si="5"/>
        <v>0</v>
      </c>
      <c r="L11" s="2260">
        <f>+L12+L13+L14</f>
        <v>0</v>
      </c>
      <c r="M11" s="2261">
        <f>+M13</f>
        <v>112815494</v>
      </c>
      <c r="N11" s="4011"/>
      <c r="O11" s="264"/>
      <c r="P11" s="153"/>
      <c r="Q11" s="153">
        <f>+Q10-D10</f>
        <v>-27753013</v>
      </c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</row>
    <row r="12" spans="1:76" s="426" customFormat="1" ht="12">
      <c r="A12" s="529"/>
      <c r="B12" s="2262" t="s">
        <v>30</v>
      </c>
      <c r="C12" s="4013"/>
      <c r="D12" s="2263">
        <f>D144+D158+D170+D120+D108+D94+D71+D82</f>
        <v>145265</v>
      </c>
      <c r="E12" s="2263">
        <f t="shared" ref="E12:K12" si="6">E144+E158+E170+E120+E108+E94</f>
        <v>57641</v>
      </c>
      <c r="F12" s="2263">
        <f t="shared" si="6"/>
        <v>47624</v>
      </c>
      <c r="G12" s="2263">
        <f t="shared" si="6"/>
        <v>40000</v>
      </c>
      <c r="H12" s="2263">
        <f t="shared" si="6"/>
        <v>0</v>
      </c>
      <c r="I12" s="2263">
        <f t="shared" si="6"/>
        <v>0</v>
      </c>
      <c r="J12" s="2263">
        <f t="shared" si="6"/>
        <v>0</v>
      </c>
      <c r="K12" s="2263">
        <f t="shared" si="6"/>
        <v>0</v>
      </c>
      <c r="L12" s="2263">
        <f>L144+L158+L170+L120+L108+L94</f>
        <v>0</v>
      </c>
      <c r="M12" s="2264" t="s">
        <v>52</v>
      </c>
      <c r="N12" s="4011"/>
      <c r="O12" s="264"/>
      <c r="P12" s="153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</row>
    <row r="13" spans="1:76" s="426" customFormat="1" ht="12">
      <c r="A13" s="529"/>
      <c r="B13" s="2262" t="s">
        <v>147</v>
      </c>
      <c r="C13" s="4013"/>
      <c r="D13" s="2263">
        <f>+D26+D47+D58+D70+D109+D83+D121+D133+D35+D145+D159+D171+D95</f>
        <v>133145158</v>
      </c>
      <c r="E13" s="2263">
        <f t="shared" ref="E13:K13" si="7">+E26+E47+E58+E70+E109+E83+E121+E133+E35+E145+E159+E171+E95</f>
        <v>5749391</v>
      </c>
      <c r="F13" s="2263">
        <f>+F26+F47+F58+F70+F109+F83+F121+F133+F35+F145+F159+F171+F95</f>
        <v>14580273</v>
      </c>
      <c r="G13" s="2263">
        <f>+G26+G47+G58+G70+G109+G83+G121+G133+G35+G145+G159+G171+G95</f>
        <v>64253930</v>
      </c>
      <c r="H13" s="2263">
        <f t="shared" si="7"/>
        <v>30232378</v>
      </c>
      <c r="I13" s="2263">
        <f>+I26+I47+I58+I70+I109+I83+I121+I133+I35+I145+I159+I171+I95</f>
        <v>16856941</v>
      </c>
      <c r="J13" s="2263">
        <f t="shared" si="7"/>
        <v>1472245</v>
      </c>
      <c r="K13" s="2263">
        <f t="shared" si="7"/>
        <v>0</v>
      </c>
      <c r="L13" s="2263">
        <f>+L26+L47+L58+L70+L109+L83+L121+L133+L35+L145+L159+L171+L95</f>
        <v>0</v>
      </c>
      <c r="M13" s="404">
        <f>SUM(G13:K13)</f>
        <v>112815494</v>
      </c>
      <c r="N13" s="4011"/>
      <c r="O13" s="264"/>
      <c r="P13" s="153"/>
      <c r="Q13" s="153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64"/>
      <c r="BV13" s="264"/>
      <c r="BW13" s="264"/>
      <c r="BX13" s="264"/>
    </row>
    <row r="14" spans="1:76" s="426" customFormat="1" ht="12">
      <c r="A14" s="529"/>
      <c r="B14" s="2208" t="s">
        <v>378</v>
      </c>
      <c r="C14" s="4014"/>
      <c r="D14" s="2209">
        <f>D146+D96</f>
        <v>732583</v>
      </c>
      <c r="E14" s="2209">
        <f t="shared" ref="E14:K14" si="8">E146+E96</f>
        <v>4350</v>
      </c>
      <c r="F14" s="2209">
        <f t="shared" si="8"/>
        <v>145268</v>
      </c>
      <c r="G14" s="2209">
        <f t="shared" si="8"/>
        <v>582965</v>
      </c>
      <c r="H14" s="2209">
        <f t="shared" si="8"/>
        <v>0</v>
      </c>
      <c r="I14" s="2209">
        <f t="shared" si="8"/>
        <v>0</v>
      </c>
      <c r="J14" s="2209">
        <f t="shared" si="8"/>
        <v>0</v>
      </c>
      <c r="K14" s="2209">
        <f t="shared" si="8"/>
        <v>0</v>
      </c>
      <c r="L14" s="2209">
        <f>L146+L96</f>
        <v>0</v>
      </c>
      <c r="M14" s="1253"/>
      <c r="N14" s="4011"/>
      <c r="O14" s="264"/>
      <c r="P14" s="153"/>
      <c r="Q14" s="153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264"/>
      <c r="BT14" s="264"/>
      <c r="BU14" s="264"/>
      <c r="BV14" s="264"/>
      <c r="BW14" s="264"/>
      <c r="BX14" s="264"/>
    </row>
    <row r="15" spans="1:76" s="426" customFormat="1" ht="12">
      <c r="A15" s="529"/>
      <c r="B15" s="2259" t="s">
        <v>17</v>
      </c>
      <c r="C15" s="4013"/>
      <c r="D15" s="2260">
        <f>+D16</f>
        <v>115370579</v>
      </c>
      <c r="E15" s="2260">
        <f t="shared" ref="E15:K15" si="9">+E16</f>
        <v>560932</v>
      </c>
      <c r="F15" s="2260">
        <f t="shared" si="9"/>
        <v>6377753</v>
      </c>
      <c r="G15" s="2260">
        <f t="shared" si="9"/>
        <v>34279803</v>
      </c>
      <c r="H15" s="2260">
        <f t="shared" si="9"/>
        <v>47715099</v>
      </c>
      <c r="I15" s="2260">
        <f t="shared" si="9"/>
        <v>16344492</v>
      </c>
      <c r="J15" s="2260">
        <f t="shared" si="9"/>
        <v>10092500</v>
      </c>
      <c r="K15" s="2260">
        <f t="shared" si="9"/>
        <v>0</v>
      </c>
      <c r="L15" s="2260">
        <f>+L16</f>
        <v>0</v>
      </c>
      <c r="M15" s="2265" t="str">
        <f>+M16</f>
        <v>x</v>
      </c>
      <c r="N15" s="4011"/>
      <c r="O15" s="264"/>
      <c r="P15" s="153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</row>
    <row r="16" spans="1:76" s="426" customFormat="1" ht="12">
      <c r="A16" s="529"/>
      <c r="B16" s="2266" t="s">
        <v>33</v>
      </c>
      <c r="C16" s="4013"/>
      <c r="D16" s="2263">
        <f t="shared" ref="D16:K16" si="10">D28+D49+D61+D85+D111+D73+D123+D148+D161+D173</f>
        <v>115370579</v>
      </c>
      <c r="E16" s="2263">
        <f t="shared" si="10"/>
        <v>560932</v>
      </c>
      <c r="F16" s="2263">
        <f t="shared" si="10"/>
        <v>6377753</v>
      </c>
      <c r="G16" s="2263">
        <f t="shared" si="10"/>
        <v>34279803</v>
      </c>
      <c r="H16" s="2263">
        <f t="shared" si="10"/>
        <v>47715099</v>
      </c>
      <c r="I16" s="2263">
        <f t="shared" si="10"/>
        <v>16344492</v>
      </c>
      <c r="J16" s="2263">
        <f t="shared" si="10"/>
        <v>10092500</v>
      </c>
      <c r="K16" s="2263">
        <f t="shared" si="10"/>
        <v>0</v>
      </c>
      <c r="L16" s="2263">
        <f>L28+L49+L61+L85+L111+L73+L123+L148+L161+L173</f>
        <v>0</v>
      </c>
      <c r="M16" s="2267" t="s">
        <v>52</v>
      </c>
      <c r="N16" s="4011"/>
      <c r="O16" s="264"/>
      <c r="P16" s="153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</row>
    <row r="17" spans="1:76" s="426" customFormat="1" ht="12">
      <c r="A17" s="529"/>
      <c r="B17" s="381" t="s">
        <v>20</v>
      </c>
      <c r="C17" s="381"/>
      <c r="D17" s="405">
        <f>+D18+D21</f>
        <v>156430215</v>
      </c>
      <c r="E17" s="405">
        <f t="shared" ref="E17" si="11">+E18+E21</f>
        <v>1025026</v>
      </c>
      <c r="F17" s="405">
        <f t="shared" ref="F17:K17" si="12">+F18+F21</f>
        <v>10652597</v>
      </c>
      <c r="G17" s="405">
        <f t="shared" si="12"/>
        <v>50903749</v>
      </c>
      <c r="H17" s="405">
        <f t="shared" si="12"/>
        <v>60086049</v>
      </c>
      <c r="I17" s="405">
        <f t="shared" si="12"/>
        <v>22019565</v>
      </c>
      <c r="J17" s="405">
        <f t="shared" si="12"/>
        <v>11743229</v>
      </c>
      <c r="K17" s="405">
        <f t="shared" si="12"/>
        <v>0</v>
      </c>
      <c r="L17" s="405">
        <f>+L18+L21</f>
        <v>0</v>
      </c>
      <c r="M17" s="4018" t="s">
        <v>52</v>
      </c>
      <c r="N17" s="4011"/>
      <c r="O17" s="264"/>
      <c r="P17" s="153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4"/>
      <c r="BV17" s="264"/>
      <c r="BW17" s="264"/>
      <c r="BX17" s="264"/>
    </row>
    <row r="18" spans="1:76" s="426" customFormat="1" ht="12">
      <c r="A18" s="529"/>
      <c r="B18" s="2259" t="s">
        <v>22</v>
      </c>
      <c r="C18" s="4015" t="s">
        <v>52</v>
      </c>
      <c r="D18" s="2260">
        <f>+D19+D20</f>
        <v>41059636</v>
      </c>
      <c r="E18" s="2260">
        <f t="shared" ref="E18:K18" si="13">+E19+E20</f>
        <v>489926</v>
      </c>
      <c r="F18" s="2260">
        <f t="shared" si="13"/>
        <v>4579602</v>
      </c>
      <c r="G18" s="2260">
        <f t="shared" si="13"/>
        <v>16913356</v>
      </c>
      <c r="H18" s="2260">
        <f t="shared" si="13"/>
        <v>11750950</v>
      </c>
      <c r="I18" s="2260">
        <f t="shared" si="13"/>
        <v>5675073</v>
      </c>
      <c r="J18" s="2260">
        <f t="shared" si="13"/>
        <v>1650729</v>
      </c>
      <c r="K18" s="2260">
        <f t="shared" si="13"/>
        <v>0</v>
      </c>
      <c r="L18" s="2260">
        <f>+L19+L20</f>
        <v>0</v>
      </c>
      <c r="M18" s="4019"/>
      <c r="N18" s="4011"/>
      <c r="O18" s="264"/>
      <c r="P18" s="153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4"/>
    </row>
    <row r="19" spans="1:76" s="426" customFormat="1" ht="12">
      <c r="A19" s="529"/>
      <c r="B19" s="2266" t="s">
        <v>136</v>
      </c>
      <c r="C19" s="4016"/>
      <c r="D19" s="2263">
        <f t="shared" ref="D19:K19" si="14">+D64+D114+D52+D76+D88+D31+D40+D151+D164+D176</f>
        <v>40327053</v>
      </c>
      <c r="E19" s="2263">
        <f t="shared" si="14"/>
        <v>489926</v>
      </c>
      <c r="F19" s="2263">
        <f t="shared" si="14"/>
        <v>4443323</v>
      </c>
      <c r="G19" s="2263">
        <f t="shared" si="14"/>
        <v>16317052</v>
      </c>
      <c r="H19" s="2263">
        <f t="shared" si="14"/>
        <v>11750950</v>
      </c>
      <c r="I19" s="2263">
        <f t="shared" si="14"/>
        <v>5675073</v>
      </c>
      <c r="J19" s="2263">
        <f t="shared" si="14"/>
        <v>1650729</v>
      </c>
      <c r="K19" s="2263">
        <f t="shared" si="14"/>
        <v>0</v>
      </c>
      <c r="L19" s="2263">
        <f>+L64+L114+L52+L76+L88+L31+L40+L151+L164+L176</f>
        <v>0</v>
      </c>
      <c r="M19" s="4019"/>
      <c r="N19" s="4011"/>
      <c r="O19" s="264"/>
      <c r="P19" s="153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4"/>
      <c r="BV19" s="264"/>
      <c r="BW19" s="264"/>
      <c r="BX19" s="264"/>
    </row>
    <row r="20" spans="1:76" s="426" customFormat="1" ht="12">
      <c r="A20" s="529"/>
      <c r="B20" s="2268" t="s">
        <v>378</v>
      </c>
      <c r="C20" s="4016"/>
      <c r="D20" s="406">
        <f>D152+D102</f>
        <v>732583</v>
      </c>
      <c r="E20" s="406">
        <f t="shared" ref="E20:K20" si="15">E152+E102</f>
        <v>0</v>
      </c>
      <c r="F20" s="406">
        <f t="shared" si="15"/>
        <v>136279</v>
      </c>
      <c r="G20" s="406">
        <f t="shared" si="15"/>
        <v>596304</v>
      </c>
      <c r="H20" s="406">
        <f t="shared" si="15"/>
        <v>0</v>
      </c>
      <c r="I20" s="406">
        <f t="shared" si="15"/>
        <v>0</v>
      </c>
      <c r="J20" s="406">
        <f t="shared" si="15"/>
        <v>0</v>
      </c>
      <c r="K20" s="406">
        <f t="shared" si="15"/>
        <v>0</v>
      </c>
      <c r="L20" s="406">
        <f>L152+L102</f>
        <v>0</v>
      </c>
      <c r="M20" s="4019"/>
      <c r="N20" s="4011"/>
      <c r="O20" s="264"/>
      <c r="P20" s="153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  <c r="BS20" s="264"/>
      <c r="BT20" s="264"/>
      <c r="BU20" s="264"/>
      <c r="BV20" s="264"/>
      <c r="BW20" s="264"/>
      <c r="BX20" s="264"/>
    </row>
    <row r="21" spans="1:76" s="426" customFormat="1" ht="12">
      <c r="A21" s="529"/>
      <c r="B21" s="2269" t="s">
        <v>17</v>
      </c>
      <c r="C21" s="4016"/>
      <c r="D21" s="2270">
        <f>+D22</f>
        <v>115370579</v>
      </c>
      <c r="E21" s="2270">
        <f t="shared" ref="E21:K21" si="16">+E22</f>
        <v>535100</v>
      </c>
      <c r="F21" s="2270">
        <f t="shared" si="16"/>
        <v>6072995</v>
      </c>
      <c r="G21" s="2270">
        <f t="shared" si="16"/>
        <v>33990393</v>
      </c>
      <c r="H21" s="2270">
        <f t="shared" si="16"/>
        <v>48335099</v>
      </c>
      <c r="I21" s="2270">
        <f t="shared" si="16"/>
        <v>16344492</v>
      </c>
      <c r="J21" s="2270">
        <f t="shared" si="16"/>
        <v>10092500</v>
      </c>
      <c r="K21" s="2270">
        <f t="shared" si="16"/>
        <v>0</v>
      </c>
      <c r="L21" s="2270">
        <f>+L22</f>
        <v>0</v>
      </c>
      <c r="M21" s="4019"/>
      <c r="N21" s="4011"/>
      <c r="O21" s="264"/>
      <c r="P21" s="153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  <c r="BS21" s="264"/>
      <c r="BT21" s="264"/>
      <c r="BU21" s="264"/>
      <c r="BV21" s="264"/>
      <c r="BW21" s="264"/>
      <c r="BX21" s="264"/>
    </row>
    <row r="22" spans="1:76" s="426" customFormat="1" ht="14.1" customHeight="1" thickBot="1">
      <c r="A22" s="530"/>
      <c r="B22" s="2271" t="s">
        <v>33</v>
      </c>
      <c r="C22" s="4017"/>
      <c r="D22" s="1046">
        <f t="shared" ref="D22:K22" si="17">+D54+D66+D116+D90+D78+D128+D154+D166+D178</f>
        <v>115370579</v>
      </c>
      <c r="E22" s="1046">
        <f t="shared" si="17"/>
        <v>535100</v>
      </c>
      <c r="F22" s="1046">
        <f t="shared" si="17"/>
        <v>6072995</v>
      </c>
      <c r="G22" s="1046">
        <f t="shared" si="17"/>
        <v>33990393</v>
      </c>
      <c r="H22" s="1046">
        <f t="shared" si="17"/>
        <v>48335099</v>
      </c>
      <c r="I22" s="1046">
        <f t="shared" si="17"/>
        <v>16344492</v>
      </c>
      <c r="J22" s="1046">
        <f t="shared" si="17"/>
        <v>10092500</v>
      </c>
      <c r="K22" s="1046">
        <f t="shared" si="17"/>
        <v>0</v>
      </c>
      <c r="L22" s="1046">
        <f>+L54+L66+L116+L90+L78+L128+L154+L166+L178</f>
        <v>0</v>
      </c>
      <c r="M22" s="4020"/>
      <c r="N22" s="4012"/>
      <c r="O22" s="264"/>
      <c r="P22" s="153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</row>
    <row r="23" spans="1:76" s="264" customFormat="1" ht="23.25" customHeight="1">
      <c r="A23" s="3979" t="s">
        <v>54</v>
      </c>
      <c r="B23" s="1047" t="s">
        <v>475</v>
      </c>
      <c r="C23" s="2236" t="s">
        <v>72</v>
      </c>
      <c r="D23" s="2235"/>
      <c r="E23" s="326"/>
      <c r="F23" s="326"/>
      <c r="G23" s="326"/>
      <c r="H23" s="326"/>
      <c r="I23" s="326"/>
      <c r="J23" s="326"/>
      <c r="K23" s="1109"/>
      <c r="L23" s="326"/>
      <c r="M23" s="407"/>
      <c r="N23" s="3991" t="s">
        <v>287</v>
      </c>
    </row>
    <row r="24" spans="1:76" s="264" customFormat="1" ht="12">
      <c r="A24" s="3980"/>
      <c r="B24" s="381" t="s">
        <v>9</v>
      </c>
      <c r="C24" s="381"/>
      <c r="D24" s="405">
        <f t="shared" ref="D24" si="18">+D25+D27</f>
        <v>1805000</v>
      </c>
      <c r="E24" s="405">
        <f t="shared" ref="E24:M24" si="19">+E25</f>
        <v>242386</v>
      </c>
      <c r="F24" s="405">
        <f t="shared" si="19"/>
        <v>0</v>
      </c>
      <c r="G24" s="405">
        <f t="shared" si="19"/>
        <v>0</v>
      </c>
      <c r="H24" s="405">
        <f t="shared" si="19"/>
        <v>1562614</v>
      </c>
      <c r="I24" s="405"/>
      <c r="J24" s="405"/>
      <c r="K24" s="405"/>
      <c r="L24" s="405">
        <f>+L25</f>
        <v>0</v>
      </c>
      <c r="M24" s="408">
        <f t="shared" si="19"/>
        <v>1562614</v>
      </c>
      <c r="N24" s="3992"/>
    </row>
    <row r="25" spans="1:76" s="264" customFormat="1" ht="12">
      <c r="A25" s="3980"/>
      <c r="B25" s="2203" t="s">
        <v>22</v>
      </c>
      <c r="C25" s="3983" t="s">
        <v>286</v>
      </c>
      <c r="D25" s="1151">
        <f>D26</f>
        <v>1805000</v>
      </c>
      <c r="E25" s="379">
        <f t="shared" ref="E25:H25" si="20">E26</f>
        <v>242386</v>
      </c>
      <c r="F25" s="379">
        <f t="shared" si="20"/>
        <v>0</v>
      </c>
      <c r="G25" s="379">
        <f t="shared" si="20"/>
        <v>0</v>
      </c>
      <c r="H25" s="379">
        <f t="shared" si="20"/>
        <v>1562614</v>
      </c>
      <c r="I25" s="379"/>
      <c r="J25" s="379"/>
      <c r="K25" s="379"/>
      <c r="L25" s="379">
        <f>L26</f>
        <v>0</v>
      </c>
      <c r="M25" s="410">
        <f>+M26</f>
        <v>1562614</v>
      </c>
      <c r="N25" s="3992"/>
    </row>
    <row r="26" spans="1:76" s="264" customFormat="1" ht="12.75" customHeight="1">
      <c r="A26" s="3980"/>
      <c r="B26" s="2272" t="s">
        <v>111</v>
      </c>
      <c r="C26" s="3984"/>
      <c r="D26" s="1152">
        <f>E26+L26+F26+G26+H26+I26+J26+K26</f>
        <v>1805000</v>
      </c>
      <c r="E26" s="376">
        <f>355000-112614</f>
        <v>242386</v>
      </c>
      <c r="F26" s="376">
        <f>1450000+112614-1562614</f>
        <v>0</v>
      </c>
      <c r="G26" s="376">
        <v>0</v>
      </c>
      <c r="H26" s="376">
        <v>1562614</v>
      </c>
      <c r="I26" s="376"/>
      <c r="J26" s="376"/>
      <c r="K26" s="376"/>
      <c r="L26" s="376">
        <v>0</v>
      </c>
      <c r="M26" s="404">
        <f>SUM(G26:K26)</f>
        <v>1562614</v>
      </c>
      <c r="N26" s="3992"/>
    </row>
    <row r="27" spans="1:76" s="264" customFormat="1" ht="12.75" hidden="1" customHeight="1">
      <c r="A27" s="3980"/>
      <c r="B27" s="412" t="s">
        <v>17</v>
      </c>
      <c r="C27" s="3984"/>
      <c r="D27" s="413">
        <f>+D28</f>
        <v>0</v>
      </c>
      <c r="E27" s="413"/>
      <c r="F27" s="413"/>
      <c r="G27" s="413"/>
      <c r="H27" s="413"/>
      <c r="I27" s="413"/>
      <c r="J27" s="413"/>
      <c r="K27" s="413"/>
      <c r="L27" s="413"/>
      <c r="M27" s="1048" t="s">
        <v>52</v>
      </c>
      <c r="N27" s="3992"/>
    </row>
    <row r="28" spans="1:76" s="264" customFormat="1" ht="13.5" hidden="1" customHeight="1">
      <c r="A28" s="3980"/>
      <c r="B28" s="2204" t="s">
        <v>33</v>
      </c>
      <c r="C28" s="3984"/>
      <c r="D28" s="1152">
        <f>E28+L28+F28+G28+H28+I28+J28+K28</f>
        <v>0</v>
      </c>
      <c r="E28" s="376"/>
      <c r="F28" s="376"/>
      <c r="G28" s="376"/>
      <c r="H28" s="376"/>
      <c r="I28" s="376"/>
      <c r="J28" s="376"/>
      <c r="K28" s="376"/>
      <c r="L28" s="376"/>
      <c r="M28" s="421" t="s">
        <v>52</v>
      </c>
      <c r="N28" s="3992"/>
    </row>
    <row r="29" spans="1:76" s="414" customFormat="1" ht="12">
      <c r="A29" s="3980"/>
      <c r="B29" s="1045" t="s">
        <v>20</v>
      </c>
      <c r="C29" s="3984"/>
      <c r="D29" s="1049">
        <f>D30</f>
        <v>23142</v>
      </c>
      <c r="E29" s="1049">
        <f>E30</f>
        <v>0</v>
      </c>
      <c r="F29" s="1050">
        <f>F30</f>
        <v>0</v>
      </c>
      <c r="G29" s="1050"/>
      <c r="H29" s="1050">
        <f>H30</f>
        <v>23142</v>
      </c>
      <c r="I29" s="1050"/>
      <c r="J29" s="1050"/>
      <c r="K29" s="1050"/>
      <c r="L29" s="1050"/>
      <c r="M29" s="4028"/>
      <c r="N29" s="3992"/>
    </row>
    <row r="30" spans="1:76" s="264" customFormat="1" ht="12.75">
      <c r="A30" s="3980"/>
      <c r="B30" s="1255" t="s">
        <v>22</v>
      </c>
      <c r="C30" s="3984"/>
      <c r="D30" s="1151">
        <f>+D31</f>
        <v>23142</v>
      </c>
      <c r="E30" s="1151">
        <f>+E31</f>
        <v>0</v>
      </c>
      <c r="F30" s="379">
        <f>F31</f>
        <v>0</v>
      </c>
      <c r="G30" s="2835"/>
      <c r="H30" s="379">
        <f>H31</f>
        <v>23142</v>
      </c>
      <c r="I30" s="2835"/>
      <c r="J30" s="2835"/>
      <c r="K30" s="2835"/>
      <c r="L30" s="2835"/>
      <c r="M30" s="4022"/>
      <c r="N30" s="3992"/>
    </row>
    <row r="31" spans="1:76" s="264" customFormat="1" ht="13.5" thickBot="1">
      <c r="A31" s="3981"/>
      <c r="B31" s="1256" t="s">
        <v>136</v>
      </c>
      <c r="C31" s="4030"/>
      <c r="D31" s="1257">
        <f>E31+L31+F31+G31+H31+I31+J31+K31</f>
        <v>23142</v>
      </c>
      <c r="E31" s="411">
        <v>0</v>
      </c>
      <c r="F31" s="411">
        <f>55657-55657</f>
        <v>0</v>
      </c>
      <c r="G31" s="2836"/>
      <c r="H31" s="2836">
        <v>23142</v>
      </c>
      <c r="I31" s="2836"/>
      <c r="J31" s="2836"/>
      <c r="K31" s="2836"/>
      <c r="L31" s="2836"/>
      <c r="M31" s="4029"/>
      <c r="N31" s="4001"/>
    </row>
    <row r="32" spans="1:76" s="264" customFormat="1" ht="27" customHeight="1">
      <c r="A32" s="3979" t="s">
        <v>55</v>
      </c>
      <c r="B32" s="1047" t="s">
        <v>515</v>
      </c>
      <c r="C32" s="2236" t="s">
        <v>99</v>
      </c>
      <c r="D32" s="2235"/>
      <c r="E32" s="326"/>
      <c r="F32" s="326"/>
      <c r="G32" s="326"/>
      <c r="H32" s="326"/>
      <c r="I32" s="326"/>
      <c r="J32" s="326"/>
      <c r="K32" s="1109"/>
      <c r="L32" s="326"/>
      <c r="M32" s="424"/>
      <c r="N32" s="3991" t="s">
        <v>287</v>
      </c>
    </row>
    <row r="33" spans="1:14" s="264" customFormat="1" ht="12.75" customHeight="1">
      <c r="A33" s="3980"/>
      <c r="B33" s="381" t="s">
        <v>9</v>
      </c>
      <c r="C33" s="381"/>
      <c r="D33" s="405">
        <f t="shared" ref="D33" si="21">+D34+D36</f>
        <v>11765000</v>
      </c>
      <c r="E33" s="1166">
        <f t="shared" ref="E33:M33" si="22">+E34</f>
        <v>4099273</v>
      </c>
      <c r="F33" s="1166">
        <f t="shared" si="22"/>
        <v>6449841</v>
      </c>
      <c r="G33" s="1166">
        <f t="shared" si="22"/>
        <v>1215886</v>
      </c>
      <c r="H33" s="1166">
        <f t="shared" si="22"/>
        <v>0</v>
      </c>
      <c r="I33" s="1166"/>
      <c r="J33" s="1166"/>
      <c r="K33" s="1166"/>
      <c r="L33" s="1166">
        <f>+L34</f>
        <v>0</v>
      </c>
      <c r="M33" s="1252">
        <f t="shared" si="22"/>
        <v>1215886</v>
      </c>
      <c r="N33" s="3992"/>
    </row>
    <row r="34" spans="1:14" s="264" customFormat="1" ht="12.75" customHeight="1">
      <c r="A34" s="3980"/>
      <c r="B34" s="409" t="s">
        <v>22</v>
      </c>
      <c r="C34" s="4032" t="s">
        <v>286</v>
      </c>
      <c r="D34" s="379">
        <f>D35</f>
        <v>11765000</v>
      </c>
      <c r="E34" s="1151">
        <f t="shared" ref="E34:H34" si="23">E35</f>
        <v>4099273</v>
      </c>
      <c r="F34" s="1151">
        <f t="shared" si="23"/>
        <v>6449841</v>
      </c>
      <c r="G34" s="1151">
        <f t="shared" si="23"/>
        <v>1215886</v>
      </c>
      <c r="H34" s="1151">
        <f t="shared" si="23"/>
        <v>0</v>
      </c>
      <c r="I34" s="1151"/>
      <c r="J34" s="1151"/>
      <c r="K34" s="1151"/>
      <c r="L34" s="1151">
        <f>L35</f>
        <v>0</v>
      </c>
      <c r="M34" s="1123">
        <f>+M35</f>
        <v>1215886</v>
      </c>
      <c r="N34" s="3992"/>
    </row>
    <row r="35" spans="1:14" s="264" customFormat="1" ht="12.75" customHeight="1">
      <c r="A35" s="3980"/>
      <c r="B35" s="425" t="s">
        <v>111</v>
      </c>
      <c r="C35" s="4033"/>
      <c r="D35" s="1033">
        <f>E35+L35+F35+G35+H35+I35+J35+K35</f>
        <v>11765000</v>
      </c>
      <c r="E35" s="1134">
        <f>4813876-714603</f>
        <v>4099273</v>
      </c>
      <c r="F35" s="1134">
        <f>3451124+714603+3500000-1215886</f>
        <v>6449841</v>
      </c>
      <c r="G35" s="1134">
        <v>1215886</v>
      </c>
      <c r="H35" s="1134">
        <v>0</v>
      </c>
      <c r="I35" s="1134"/>
      <c r="J35" s="1134"/>
      <c r="K35" s="1134"/>
      <c r="L35" s="1134"/>
      <c r="M35" s="404">
        <f>SUM(G35:K35)</f>
        <v>1215886</v>
      </c>
      <c r="N35" s="3992"/>
    </row>
    <row r="36" spans="1:14" s="264" customFormat="1" ht="12" hidden="1" customHeight="1">
      <c r="A36" s="3980"/>
      <c r="B36" s="412" t="s">
        <v>17</v>
      </c>
      <c r="C36" s="4033"/>
      <c r="D36" s="413">
        <f>+D37</f>
        <v>0</v>
      </c>
      <c r="E36" s="413"/>
      <c r="F36" s="413"/>
      <c r="G36" s="413"/>
      <c r="H36" s="413"/>
      <c r="I36" s="413"/>
      <c r="J36" s="413"/>
      <c r="K36" s="413"/>
      <c r="L36" s="413"/>
      <c r="M36" s="2431" t="s">
        <v>52</v>
      </c>
      <c r="N36" s="3992"/>
    </row>
    <row r="37" spans="1:14" s="264" customFormat="1" ht="12" hidden="1" customHeight="1">
      <c r="A37" s="3980"/>
      <c r="B37" s="2480" t="s">
        <v>33</v>
      </c>
      <c r="C37" s="4033"/>
      <c r="D37" s="1033">
        <f>E37+L37+F37+G37+H37+I37+J37+K37</f>
        <v>0</v>
      </c>
      <c r="E37" s="1134"/>
      <c r="F37" s="1134"/>
      <c r="G37" s="1134"/>
      <c r="H37" s="1134"/>
      <c r="I37" s="1134"/>
      <c r="J37" s="1134"/>
      <c r="K37" s="1134"/>
      <c r="L37" s="1134"/>
      <c r="M37" s="2432" t="s">
        <v>52</v>
      </c>
      <c r="N37" s="3992"/>
    </row>
    <row r="38" spans="1:14" s="264" customFormat="1" ht="12.75" customHeight="1">
      <c r="A38" s="3980"/>
      <c r="B38" s="1045" t="s">
        <v>20</v>
      </c>
      <c r="C38" s="4033"/>
      <c r="D38" s="1049">
        <f>D39</f>
        <v>3926474</v>
      </c>
      <c r="E38" s="1050">
        <f t="shared" ref="E38:G39" si="24">E39</f>
        <v>272966</v>
      </c>
      <c r="F38" s="1050">
        <f t="shared" si="24"/>
        <v>3635501</v>
      </c>
      <c r="G38" s="1050">
        <f t="shared" si="24"/>
        <v>18007</v>
      </c>
      <c r="H38" s="1050"/>
      <c r="I38" s="1050"/>
      <c r="J38" s="1050"/>
      <c r="K38" s="1050"/>
      <c r="L38" s="1050">
        <f>L39</f>
        <v>0</v>
      </c>
      <c r="M38" s="4021"/>
      <c r="N38" s="3992"/>
    </row>
    <row r="39" spans="1:14" s="264" customFormat="1" ht="12.75">
      <c r="A39" s="3980"/>
      <c r="B39" s="1642" t="s">
        <v>22</v>
      </c>
      <c r="C39" s="4033"/>
      <c r="D39" s="379">
        <f>+D40</f>
        <v>3926474</v>
      </c>
      <c r="E39" s="2837">
        <f t="shared" si="24"/>
        <v>272966</v>
      </c>
      <c r="F39" s="1151">
        <f t="shared" si="24"/>
        <v>3635501</v>
      </c>
      <c r="G39" s="1151">
        <f t="shared" si="24"/>
        <v>18007</v>
      </c>
      <c r="H39" s="2810"/>
      <c r="I39" s="2810"/>
      <c r="J39" s="2810"/>
      <c r="K39" s="2810"/>
      <c r="L39" s="2837">
        <f>L40</f>
        <v>0</v>
      </c>
      <c r="M39" s="4022"/>
      <c r="N39" s="3992"/>
    </row>
    <row r="40" spans="1:14" s="264" customFormat="1" ht="12.75">
      <c r="A40" s="3980"/>
      <c r="B40" s="1643" t="s">
        <v>514</v>
      </c>
      <c r="C40" s="4033"/>
      <c r="D40" s="211">
        <f>E40+L40+F40+G40+H40+I40+J40+K40</f>
        <v>3926474</v>
      </c>
      <c r="E40" s="2838">
        <f>E41+E42</f>
        <v>272966</v>
      </c>
      <c r="F40" s="2838">
        <f t="shared" ref="F40:G40" si="25">F41+F42</f>
        <v>3635501</v>
      </c>
      <c r="G40" s="2838">
        <f t="shared" si="25"/>
        <v>18007</v>
      </c>
      <c r="H40" s="2810"/>
      <c r="I40" s="2810"/>
      <c r="J40" s="2810"/>
      <c r="K40" s="2810"/>
      <c r="L40" s="2838">
        <f>L41+L42</f>
        <v>0</v>
      </c>
      <c r="M40" s="4023"/>
      <c r="N40" s="4031"/>
    </row>
    <row r="41" spans="1:14" s="264" customFormat="1" ht="12.75">
      <c r="A41" s="3980"/>
      <c r="B41" s="2481" t="s">
        <v>512</v>
      </c>
      <c r="C41" s="4033"/>
      <c r="D41" s="2433">
        <f>E41+L41+F41+G41+H41+I41+J41+K41</f>
        <v>219752</v>
      </c>
      <c r="E41" s="2839">
        <v>106202</v>
      </c>
      <c r="F41" s="2434">
        <f>113550-18007</f>
        <v>95543</v>
      </c>
      <c r="G41" s="2434">
        <v>18007</v>
      </c>
      <c r="H41" s="2810"/>
      <c r="I41" s="2810"/>
      <c r="J41" s="2810"/>
      <c r="K41" s="2810"/>
      <c r="L41" s="2839"/>
      <c r="M41" s="2430"/>
      <c r="N41" s="2840"/>
    </row>
    <row r="42" spans="1:14" s="264" customFormat="1" ht="13.5" thickBot="1">
      <c r="A42" s="3981"/>
      <c r="B42" s="2481" t="s">
        <v>513</v>
      </c>
      <c r="C42" s="4034"/>
      <c r="D42" s="2433">
        <f>E42+L42+F42+G42+H42+I42+J42+K42</f>
        <v>3706722</v>
      </c>
      <c r="E42" s="2841">
        <v>166764</v>
      </c>
      <c r="F42" s="2341">
        <v>3539958</v>
      </c>
      <c r="G42" s="2341">
        <v>0</v>
      </c>
      <c r="H42" s="2826"/>
      <c r="I42" s="2826"/>
      <c r="J42" s="2826"/>
      <c r="K42" s="2826"/>
      <c r="L42" s="2841"/>
      <c r="M42" s="2430"/>
      <c r="N42" s="2840"/>
    </row>
    <row r="43" spans="1:14" s="264" customFormat="1" ht="26.25" customHeight="1">
      <c r="A43" s="3979" t="s">
        <v>56</v>
      </c>
      <c r="B43" s="415" t="s">
        <v>376</v>
      </c>
      <c r="C43" s="2232" t="s">
        <v>72</v>
      </c>
      <c r="D43" s="2233"/>
      <c r="E43" s="326"/>
      <c r="F43" s="326"/>
      <c r="G43" s="326"/>
      <c r="H43" s="326"/>
      <c r="I43" s="326"/>
      <c r="J43" s="326"/>
      <c r="K43" s="1109"/>
      <c r="L43" s="326"/>
      <c r="M43" s="424"/>
      <c r="N43" s="3991" t="s">
        <v>377</v>
      </c>
    </row>
    <row r="44" spans="1:14" s="264" customFormat="1" ht="11.25" customHeight="1">
      <c r="A44" s="3980"/>
      <c r="B44" s="1644" t="s">
        <v>9</v>
      </c>
      <c r="C44" s="1645"/>
      <c r="D44" s="1646">
        <f>+D45+D48</f>
        <v>86880466</v>
      </c>
      <c r="E44" s="1646">
        <f t="shared" ref="E44" si="26">+E45+E48</f>
        <v>1271005</v>
      </c>
      <c r="F44" s="1646">
        <f t="shared" ref="F44" si="27">+F45+F48</f>
        <v>7106931</v>
      </c>
      <c r="G44" s="1646">
        <f>+G45+G48</f>
        <v>37270905</v>
      </c>
      <c r="H44" s="1646">
        <f>+H45+H48</f>
        <v>17600000</v>
      </c>
      <c r="I44" s="1646">
        <f t="shared" ref="I44:J44" si="28">+I45+I48</f>
        <v>12066880</v>
      </c>
      <c r="J44" s="1646">
        <f t="shared" si="28"/>
        <v>11564745</v>
      </c>
      <c r="K44" s="1646"/>
      <c r="L44" s="1646">
        <f>+L45+L48</f>
        <v>0</v>
      </c>
      <c r="M44" s="1647">
        <f>+M45</f>
        <v>20302530</v>
      </c>
      <c r="N44" s="3992"/>
    </row>
    <row r="45" spans="1:14" s="264" customFormat="1" ht="12" customHeight="1">
      <c r="A45" s="3980"/>
      <c r="B45" s="1648" t="s">
        <v>22</v>
      </c>
      <c r="C45" s="4024" t="s">
        <v>413</v>
      </c>
      <c r="D45" s="1649">
        <f>D47+D46</f>
        <v>26680466</v>
      </c>
      <c r="E45" s="1649">
        <f t="shared" ref="E45" si="29">E47+E46</f>
        <v>1271005</v>
      </c>
      <c r="F45" s="1649">
        <f t="shared" ref="F45:J45" si="30">F47+F46</f>
        <v>5106931</v>
      </c>
      <c r="G45" s="1649">
        <f t="shared" si="30"/>
        <v>9605905</v>
      </c>
      <c r="H45" s="1649">
        <f t="shared" si="30"/>
        <v>5657500</v>
      </c>
      <c r="I45" s="1649">
        <f t="shared" si="30"/>
        <v>3566880</v>
      </c>
      <c r="J45" s="1649">
        <f t="shared" si="30"/>
        <v>1472245</v>
      </c>
      <c r="K45" s="1649"/>
      <c r="L45" s="1649">
        <f>L47+L46</f>
        <v>0</v>
      </c>
      <c r="M45" s="1650">
        <f>+M47</f>
        <v>20302530</v>
      </c>
      <c r="N45" s="3992"/>
    </row>
    <row r="46" spans="1:14" s="264" customFormat="1" ht="12" hidden="1" customHeight="1">
      <c r="A46" s="3980"/>
      <c r="B46" s="1651" t="s">
        <v>30</v>
      </c>
      <c r="C46" s="4025"/>
      <c r="D46" s="724">
        <f>E46+L46+F46+G46+H46+I46+J46+K46</f>
        <v>0</v>
      </c>
      <c r="E46" s="2842"/>
      <c r="F46" s="1652">
        <v>0</v>
      </c>
      <c r="G46" s="1652">
        <v>0</v>
      </c>
      <c r="H46" s="1652">
        <v>0</v>
      </c>
      <c r="I46" s="1653"/>
      <c r="J46" s="1653"/>
      <c r="K46" s="1653"/>
      <c r="L46" s="1652">
        <v>0</v>
      </c>
      <c r="M46" s="417" t="s">
        <v>52</v>
      </c>
      <c r="N46" s="3992"/>
    </row>
    <row r="47" spans="1:14" s="264" customFormat="1" ht="12">
      <c r="A47" s="3980"/>
      <c r="B47" s="1654" t="s">
        <v>111</v>
      </c>
      <c r="C47" s="4025"/>
      <c r="D47" s="724">
        <f>E47+L47+F47+G47+H47+I47+J47+K47</f>
        <v>26680466</v>
      </c>
      <c r="E47" s="2842">
        <f>353841+917164</f>
        <v>1271005</v>
      </c>
      <c r="F47" s="1655">
        <f>3030000+2076931</f>
        <v>5106931</v>
      </c>
      <c r="G47" s="1655">
        <f>9600000+5905</f>
        <v>9605905</v>
      </c>
      <c r="H47" s="1655">
        <v>5657500</v>
      </c>
      <c r="I47" s="1655">
        <v>3566880</v>
      </c>
      <c r="J47" s="1655">
        <f>1467579+4666</f>
        <v>1472245</v>
      </c>
      <c r="K47" s="1655"/>
      <c r="L47" s="1655"/>
      <c r="M47" s="404">
        <f>SUM(G47:K47)</f>
        <v>20302530</v>
      </c>
      <c r="N47" s="3992"/>
    </row>
    <row r="48" spans="1:14" s="313" customFormat="1" ht="12">
      <c r="A48" s="3980"/>
      <c r="B48" s="1656" t="s">
        <v>17</v>
      </c>
      <c r="C48" s="4025"/>
      <c r="D48" s="1657">
        <f>+D49</f>
        <v>60200000</v>
      </c>
      <c r="E48" s="1657">
        <f t="shared" ref="E48:M48" si="31">+E49</f>
        <v>0</v>
      </c>
      <c r="F48" s="1657">
        <f t="shared" si="31"/>
        <v>2000000</v>
      </c>
      <c r="G48" s="1657">
        <f t="shared" si="31"/>
        <v>27665000</v>
      </c>
      <c r="H48" s="1657">
        <f t="shared" si="31"/>
        <v>11942500</v>
      </c>
      <c r="I48" s="1657">
        <f t="shared" si="31"/>
        <v>8500000</v>
      </c>
      <c r="J48" s="1657">
        <f t="shared" si="31"/>
        <v>10092500</v>
      </c>
      <c r="K48" s="1658"/>
      <c r="L48" s="1657">
        <f>+L49</f>
        <v>0</v>
      </c>
      <c r="M48" s="1659" t="str">
        <f t="shared" si="31"/>
        <v>x</v>
      </c>
      <c r="N48" s="3992"/>
    </row>
    <row r="49" spans="1:76" s="313" customFormat="1" ht="12">
      <c r="A49" s="3980"/>
      <c r="B49" s="1654" t="s">
        <v>33</v>
      </c>
      <c r="C49" s="4026"/>
      <c r="D49" s="724">
        <f>E49+L49+F49+G49+H49+I49+J49+K49</f>
        <v>60200000</v>
      </c>
      <c r="E49" s="2842">
        <v>0</v>
      </c>
      <c r="F49" s="1095">
        <f>9265000-7265000</f>
        <v>2000000</v>
      </c>
      <c r="G49" s="1095">
        <f>20400000+7265000</f>
        <v>27665000</v>
      </c>
      <c r="H49" s="1095">
        <v>11942500</v>
      </c>
      <c r="I49" s="1660">
        <v>8500000</v>
      </c>
      <c r="J49" s="1660">
        <v>10092500</v>
      </c>
      <c r="K49" s="1660"/>
      <c r="L49" s="1095">
        <v>0</v>
      </c>
      <c r="M49" s="1661" t="s">
        <v>52</v>
      </c>
      <c r="N49" s="3992"/>
    </row>
    <row r="50" spans="1:76" s="418" customFormat="1" ht="12">
      <c r="A50" s="3980"/>
      <c r="B50" s="1644" t="s">
        <v>20</v>
      </c>
      <c r="C50" s="1662"/>
      <c r="D50" s="1663">
        <f>D53+D51</f>
        <v>76000729</v>
      </c>
      <c r="E50" s="1663">
        <f t="shared" ref="E50" si="32">E53+E51</f>
        <v>97440</v>
      </c>
      <c r="F50" s="1663">
        <f t="shared" ref="F50" si="33">F53+F51</f>
        <v>2481236</v>
      </c>
      <c r="G50" s="1663">
        <f>G53+G51</f>
        <v>35236324</v>
      </c>
      <c r="H50" s="1663">
        <f>H53+H51</f>
        <v>15942500</v>
      </c>
      <c r="I50" s="1663">
        <f t="shared" ref="I50:J50" si="34">I53+I51</f>
        <v>10500000</v>
      </c>
      <c r="J50" s="1663">
        <f t="shared" si="34"/>
        <v>11743229</v>
      </c>
      <c r="K50" s="1663"/>
      <c r="L50" s="1663">
        <f>L53+L51</f>
        <v>0</v>
      </c>
      <c r="M50" s="3995" t="s">
        <v>52</v>
      </c>
      <c r="N50" s="3992"/>
    </row>
    <row r="51" spans="1:76" s="418" customFormat="1" ht="12">
      <c r="A51" s="3980"/>
      <c r="B51" s="1664" t="s">
        <v>22</v>
      </c>
      <c r="C51" s="4024" t="s">
        <v>414</v>
      </c>
      <c r="D51" s="1094">
        <f>+D52</f>
        <v>15800729</v>
      </c>
      <c r="E51" s="1094">
        <f t="shared" ref="E51:J51" si="35">+E52</f>
        <v>97440</v>
      </c>
      <c r="F51" s="1094">
        <f t="shared" si="35"/>
        <v>481236</v>
      </c>
      <c r="G51" s="1094">
        <f t="shared" si="35"/>
        <v>7571324</v>
      </c>
      <c r="H51" s="1094">
        <f t="shared" si="35"/>
        <v>4000000</v>
      </c>
      <c r="I51" s="1094">
        <f t="shared" si="35"/>
        <v>2000000</v>
      </c>
      <c r="J51" s="1094">
        <f t="shared" si="35"/>
        <v>1650729</v>
      </c>
      <c r="K51" s="1094"/>
      <c r="L51" s="1094">
        <f>+L52</f>
        <v>0</v>
      </c>
      <c r="M51" s="3996"/>
      <c r="N51" s="3992"/>
    </row>
    <row r="52" spans="1:76" s="418" customFormat="1" ht="12.75" customHeight="1">
      <c r="A52" s="3980"/>
      <c r="B52" s="1654" t="s">
        <v>136</v>
      </c>
      <c r="C52" s="4025"/>
      <c r="D52" s="724">
        <f>E52+L52+F52+G52+H52+I52+J52+K52</f>
        <v>15800729</v>
      </c>
      <c r="E52" s="1655">
        <f>350000-252560</f>
        <v>97440</v>
      </c>
      <c r="F52" s="1655">
        <f>1800000+252560-1571324</f>
        <v>481236</v>
      </c>
      <c r="G52" s="1655">
        <f>6000000+1571324</f>
        <v>7571324</v>
      </c>
      <c r="H52" s="1655">
        <v>4000000</v>
      </c>
      <c r="I52" s="1655">
        <v>2000000</v>
      </c>
      <c r="J52" s="1655">
        <v>1650729</v>
      </c>
      <c r="K52" s="1655"/>
      <c r="L52" s="1655"/>
      <c r="M52" s="3996"/>
      <c r="N52" s="3992"/>
      <c r="P52" s="419">
        <v>10989251</v>
      </c>
    </row>
    <row r="53" spans="1:76" s="313" customFormat="1" ht="13.5" customHeight="1">
      <c r="A53" s="3980"/>
      <c r="B53" s="1656" t="s">
        <v>17</v>
      </c>
      <c r="C53" s="4025"/>
      <c r="D53" s="1657">
        <f>+D54</f>
        <v>60200000</v>
      </c>
      <c r="E53" s="1657">
        <f t="shared" ref="E53:J53" si="36">+E54</f>
        <v>0</v>
      </c>
      <c r="F53" s="1657">
        <f t="shared" si="36"/>
        <v>2000000</v>
      </c>
      <c r="G53" s="1657">
        <f t="shared" si="36"/>
        <v>27665000</v>
      </c>
      <c r="H53" s="1657">
        <f t="shared" si="36"/>
        <v>11942500</v>
      </c>
      <c r="I53" s="1657">
        <f t="shared" si="36"/>
        <v>8500000</v>
      </c>
      <c r="J53" s="1657">
        <f t="shared" si="36"/>
        <v>10092500</v>
      </c>
      <c r="K53" s="1657"/>
      <c r="L53" s="1657">
        <f>+L54</f>
        <v>0</v>
      </c>
      <c r="M53" s="3996"/>
      <c r="N53" s="3992"/>
    </row>
    <row r="54" spans="1:76" s="313" customFormat="1" ht="13.5" customHeight="1" thickBot="1">
      <c r="A54" s="3981"/>
      <c r="B54" s="1594" t="s">
        <v>33</v>
      </c>
      <c r="C54" s="4027"/>
      <c r="D54" s="1484">
        <f>E54+L54+F54+G54+H54+I54+J54+K54</f>
        <v>60200000</v>
      </c>
      <c r="E54" s="411">
        <v>0</v>
      </c>
      <c r="F54" s="420">
        <f>9265000-7265000</f>
        <v>2000000</v>
      </c>
      <c r="G54" s="420">
        <f>20400000+7265000</f>
        <v>27665000</v>
      </c>
      <c r="H54" s="420">
        <v>11942500</v>
      </c>
      <c r="I54" s="420">
        <v>8500000</v>
      </c>
      <c r="J54" s="420">
        <v>10092500</v>
      </c>
      <c r="K54" s="420"/>
      <c r="L54" s="420">
        <v>0</v>
      </c>
      <c r="M54" s="3997"/>
      <c r="N54" s="3993"/>
    </row>
    <row r="55" spans="1:76" s="264" customFormat="1" ht="27" customHeight="1">
      <c r="A55" s="3979" t="s">
        <v>57</v>
      </c>
      <c r="B55" s="415" t="s">
        <v>404</v>
      </c>
      <c r="C55" s="2232" t="s">
        <v>72</v>
      </c>
      <c r="D55" s="2235"/>
      <c r="E55" s="326"/>
      <c r="F55" s="326"/>
      <c r="G55" s="326"/>
      <c r="H55" s="326"/>
      <c r="I55" s="326"/>
      <c r="J55" s="326"/>
      <c r="K55" s="1109"/>
      <c r="L55" s="326"/>
      <c r="M55" s="1665"/>
      <c r="N55" s="3991" t="s">
        <v>502</v>
      </c>
      <c r="BX55" s="414"/>
    </row>
    <row r="56" spans="1:76" s="264" customFormat="1" ht="14.25" customHeight="1">
      <c r="A56" s="3980"/>
      <c r="B56" s="381" t="s">
        <v>9</v>
      </c>
      <c r="C56" s="416"/>
      <c r="D56" s="405">
        <f>D57+D60</f>
        <v>105070947</v>
      </c>
      <c r="E56" s="405">
        <v>0</v>
      </c>
      <c r="F56" s="405">
        <f t="shared" ref="F56:I56" si="37">+F57+F60</f>
        <v>720400</v>
      </c>
      <c r="G56" s="405">
        <f t="shared" si="37"/>
        <v>41610400</v>
      </c>
      <c r="H56" s="405">
        <f t="shared" si="37"/>
        <v>41610400</v>
      </c>
      <c r="I56" s="405">
        <f t="shared" si="37"/>
        <v>21129747</v>
      </c>
      <c r="J56" s="405"/>
      <c r="K56" s="405"/>
      <c r="L56" s="405">
        <f>+L57+L60</f>
        <v>0</v>
      </c>
      <c r="M56" s="408">
        <f>+M57</f>
        <v>62680547</v>
      </c>
      <c r="N56" s="3992"/>
    </row>
    <row r="57" spans="1:76" s="264" customFormat="1" ht="14.25" customHeight="1">
      <c r="A57" s="3980"/>
      <c r="B57" s="1642" t="s">
        <v>22</v>
      </c>
      <c r="C57" s="3631" t="s">
        <v>151</v>
      </c>
      <c r="D57" s="379">
        <f>D58+D59</f>
        <v>63400947</v>
      </c>
      <c r="E57" s="379">
        <v>0</v>
      </c>
      <c r="F57" s="379">
        <f t="shared" ref="F57" si="38">F58+F59</f>
        <v>720400</v>
      </c>
      <c r="G57" s="379">
        <f>G58+G59</f>
        <v>41610400</v>
      </c>
      <c r="H57" s="379">
        <f>H58+H59</f>
        <v>7780807</v>
      </c>
      <c r="I57" s="379">
        <f>I58+I59</f>
        <v>13289340</v>
      </c>
      <c r="J57" s="379"/>
      <c r="K57" s="379"/>
      <c r="L57" s="379">
        <f>L58+L59</f>
        <v>0</v>
      </c>
      <c r="M57" s="410">
        <f>+M58</f>
        <v>62680547</v>
      </c>
      <c r="N57" s="3992"/>
    </row>
    <row r="58" spans="1:76" s="264" customFormat="1" ht="14.25" customHeight="1">
      <c r="A58" s="3980"/>
      <c r="B58" s="1643" t="s">
        <v>111</v>
      </c>
      <c r="C58" s="4006"/>
      <c r="D58" s="378">
        <f>E58+L58+F58+G58+H58+I58+J58+K58</f>
        <v>63400947</v>
      </c>
      <c r="E58" s="376"/>
      <c r="F58" s="376">
        <v>720400</v>
      </c>
      <c r="G58" s="376">
        <v>41610400</v>
      </c>
      <c r="H58" s="376">
        <v>7780807</v>
      </c>
      <c r="I58" s="376">
        <v>13289340</v>
      </c>
      <c r="J58" s="376"/>
      <c r="K58" s="376"/>
      <c r="L58" s="376">
        <v>0</v>
      </c>
      <c r="M58" s="404">
        <f>SUM(G58:K58)</f>
        <v>62680547</v>
      </c>
      <c r="N58" s="3992"/>
    </row>
    <row r="59" spans="1:76" s="264" customFormat="1" ht="14.25" hidden="1" customHeight="1">
      <c r="A59" s="3980"/>
      <c r="B59" s="1666" t="s">
        <v>30</v>
      </c>
      <c r="C59" s="3994" t="s">
        <v>21</v>
      </c>
      <c r="D59" s="378">
        <f>E59+L59+F59+G59+H59+I59+J59+K59</f>
        <v>0</v>
      </c>
      <c r="E59" s="376"/>
      <c r="F59" s="1667">
        <v>0</v>
      </c>
      <c r="G59" s="1667">
        <v>0</v>
      </c>
      <c r="H59" s="1667">
        <v>0</v>
      </c>
      <c r="I59" s="1667"/>
      <c r="J59" s="1667"/>
      <c r="K59" s="1667"/>
      <c r="L59" s="1667"/>
      <c r="M59" s="1668" t="s">
        <v>52</v>
      </c>
      <c r="N59" s="3992"/>
    </row>
    <row r="60" spans="1:76" s="264" customFormat="1" ht="14.25" customHeight="1">
      <c r="A60" s="3980"/>
      <c r="B60" s="1669" t="s">
        <v>17</v>
      </c>
      <c r="C60" s="3985"/>
      <c r="D60" s="413">
        <f>D61</f>
        <v>41670000</v>
      </c>
      <c r="E60" s="413">
        <v>0</v>
      </c>
      <c r="F60" s="413">
        <f t="shared" ref="F60:M60" si="39">+F61</f>
        <v>0</v>
      </c>
      <c r="G60" s="413">
        <f t="shared" si="39"/>
        <v>0</v>
      </c>
      <c r="H60" s="413">
        <f t="shared" si="39"/>
        <v>33829593</v>
      </c>
      <c r="I60" s="413">
        <f t="shared" si="39"/>
        <v>7840407</v>
      </c>
      <c r="J60" s="413"/>
      <c r="K60" s="413"/>
      <c r="L60" s="413">
        <f>+L61</f>
        <v>0</v>
      </c>
      <c r="M60" s="417" t="str">
        <f t="shared" si="39"/>
        <v>x</v>
      </c>
      <c r="N60" s="3992"/>
    </row>
    <row r="61" spans="1:76" s="264" customFormat="1" ht="14.25" customHeight="1">
      <c r="A61" s="3980"/>
      <c r="B61" s="1666" t="s">
        <v>33</v>
      </c>
      <c r="C61" s="3987"/>
      <c r="D61" s="378">
        <f>E61+L61+F61+G61+H61+I61+J61+K61</f>
        <v>41670000</v>
      </c>
      <c r="E61" s="376"/>
      <c r="F61" s="376">
        <v>0</v>
      </c>
      <c r="G61" s="376">
        <v>0</v>
      </c>
      <c r="H61" s="376">
        <v>33829593</v>
      </c>
      <c r="I61" s="376">
        <v>7840407</v>
      </c>
      <c r="J61" s="376"/>
      <c r="K61" s="376"/>
      <c r="L61" s="376">
        <v>0</v>
      </c>
      <c r="M61" s="421" t="s">
        <v>52</v>
      </c>
      <c r="N61" s="3992"/>
    </row>
    <row r="62" spans="1:76" s="414" customFormat="1" ht="14.25" customHeight="1">
      <c r="A62" s="3980"/>
      <c r="B62" s="381" t="s">
        <v>20</v>
      </c>
      <c r="C62" s="416"/>
      <c r="D62" s="405">
        <f>D63+D65</f>
        <v>59942652</v>
      </c>
      <c r="E62" s="405">
        <v>0</v>
      </c>
      <c r="F62" s="405">
        <f>F65+F63</f>
        <v>125279</v>
      </c>
      <c r="G62" s="405">
        <f>G65+G63</f>
        <v>7236150</v>
      </c>
      <c r="H62" s="405">
        <f>H65+H63</f>
        <v>41065743</v>
      </c>
      <c r="I62" s="405">
        <f>I65+I63</f>
        <v>11515480</v>
      </c>
      <c r="J62" s="405"/>
      <c r="K62" s="405"/>
      <c r="L62" s="405">
        <f>L65+L63</f>
        <v>0</v>
      </c>
      <c r="M62" s="4002" t="s">
        <v>52</v>
      </c>
      <c r="N62" s="3992"/>
    </row>
    <row r="63" spans="1:76" s="414" customFormat="1" ht="14.25" customHeight="1">
      <c r="A63" s="3980"/>
      <c r="B63" s="1642" t="s">
        <v>22</v>
      </c>
      <c r="C63" s="3975" t="s">
        <v>151</v>
      </c>
      <c r="D63" s="422">
        <f>D64</f>
        <v>18272652</v>
      </c>
      <c r="E63" s="422">
        <v>0</v>
      </c>
      <c r="F63" s="422">
        <f t="shared" ref="F63:I63" si="40">+F64</f>
        <v>125279</v>
      </c>
      <c r="G63" s="422">
        <f t="shared" si="40"/>
        <v>7236150</v>
      </c>
      <c r="H63" s="422">
        <f t="shared" si="40"/>
        <v>7236150</v>
      </c>
      <c r="I63" s="422">
        <f t="shared" si="40"/>
        <v>3675073</v>
      </c>
      <c r="J63" s="422"/>
      <c r="K63" s="422"/>
      <c r="L63" s="422">
        <f>+L64</f>
        <v>0</v>
      </c>
      <c r="M63" s="4003"/>
      <c r="N63" s="3992"/>
    </row>
    <row r="64" spans="1:76" s="414" customFormat="1" ht="14.25" customHeight="1">
      <c r="A64" s="3980"/>
      <c r="B64" s="1666" t="s">
        <v>136</v>
      </c>
      <c r="C64" s="3976"/>
      <c r="D64" s="378">
        <f>E64+L64+F64+G64+H64+I64+J64+K64</f>
        <v>18272652</v>
      </c>
      <c r="E64" s="376"/>
      <c r="F64" s="376">
        <v>125279</v>
      </c>
      <c r="G64" s="376">
        <v>7236150</v>
      </c>
      <c r="H64" s="376">
        <v>7236150</v>
      </c>
      <c r="I64" s="376">
        <v>3675073</v>
      </c>
      <c r="J64" s="376"/>
      <c r="K64" s="376"/>
      <c r="L64" s="376">
        <v>0</v>
      </c>
      <c r="M64" s="4003"/>
      <c r="N64" s="3992"/>
      <c r="P64" s="423">
        <v>-13525758</v>
      </c>
    </row>
    <row r="65" spans="1:76" s="264" customFormat="1" ht="14.25" customHeight="1">
      <c r="A65" s="3980"/>
      <c r="B65" s="1669" t="s">
        <v>17</v>
      </c>
      <c r="C65" s="3994" t="s">
        <v>21</v>
      </c>
      <c r="D65" s="379">
        <f>D66</f>
        <v>41670000</v>
      </c>
      <c r="E65" s="379">
        <v>0</v>
      </c>
      <c r="F65" s="379">
        <f t="shared" ref="F65:I65" si="41">+F66</f>
        <v>0</v>
      </c>
      <c r="G65" s="379">
        <f t="shared" si="41"/>
        <v>0</v>
      </c>
      <c r="H65" s="379">
        <f t="shared" si="41"/>
        <v>33829593</v>
      </c>
      <c r="I65" s="379">
        <f t="shared" si="41"/>
        <v>7840407</v>
      </c>
      <c r="J65" s="379"/>
      <c r="K65" s="379"/>
      <c r="L65" s="379">
        <f>+L66</f>
        <v>0</v>
      </c>
      <c r="M65" s="4003"/>
      <c r="N65" s="3992"/>
    </row>
    <row r="66" spans="1:76" s="264" customFormat="1" ht="14.25" customHeight="1" thickBot="1">
      <c r="A66" s="3981"/>
      <c r="B66" s="1594" t="s">
        <v>33</v>
      </c>
      <c r="C66" s="3978"/>
      <c r="D66" s="420">
        <f>E66+L66+F66+G66+H66+I66+J66+K66</f>
        <v>41670000</v>
      </c>
      <c r="E66" s="411"/>
      <c r="F66" s="411">
        <v>0</v>
      </c>
      <c r="G66" s="411">
        <v>0</v>
      </c>
      <c r="H66" s="411">
        <v>33829593</v>
      </c>
      <c r="I66" s="411">
        <v>7840407</v>
      </c>
      <c r="J66" s="411"/>
      <c r="K66" s="411"/>
      <c r="L66" s="411">
        <v>0</v>
      </c>
      <c r="M66" s="4004"/>
      <c r="N66" s="3993"/>
    </row>
    <row r="67" spans="1:76" s="264" customFormat="1" ht="27.75" customHeight="1">
      <c r="A67" s="3979" t="s">
        <v>58</v>
      </c>
      <c r="B67" s="415" t="s">
        <v>518</v>
      </c>
      <c r="C67" s="2232" t="s">
        <v>99</v>
      </c>
      <c r="D67" s="2235"/>
      <c r="E67" s="326"/>
      <c r="F67" s="326"/>
      <c r="G67" s="326"/>
      <c r="H67" s="326"/>
      <c r="I67" s="326"/>
      <c r="J67" s="326"/>
      <c r="K67" s="1109"/>
      <c r="L67" s="326"/>
      <c r="M67" s="424"/>
      <c r="N67" s="3991" t="s">
        <v>150</v>
      </c>
      <c r="BX67" s="414"/>
    </row>
    <row r="68" spans="1:76" s="264" customFormat="1" ht="13.5" customHeight="1">
      <c r="A68" s="3980"/>
      <c r="B68" s="381" t="s">
        <v>9</v>
      </c>
      <c r="C68" s="416"/>
      <c r="D68" s="405">
        <f>D69+D72</f>
        <v>621927</v>
      </c>
      <c r="E68" s="405">
        <f t="shared" ref="E68:I68" si="42">+E69+E72</f>
        <v>116</v>
      </c>
      <c r="F68" s="405">
        <f t="shared" si="42"/>
        <v>196713</v>
      </c>
      <c r="G68" s="405">
        <f t="shared" si="42"/>
        <v>203401</v>
      </c>
      <c r="H68" s="405">
        <f t="shared" si="42"/>
        <v>217007</v>
      </c>
      <c r="I68" s="405">
        <f t="shared" si="42"/>
        <v>4806</v>
      </c>
      <c r="J68" s="405"/>
      <c r="K68" s="405"/>
      <c r="L68" s="405">
        <f>+L69+L72</f>
        <v>0</v>
      </c>
      <c r="M68" s="408">
        <f>+M69</f>
        <v>63782</v>
      </c>
      <c r="N68" s="3992"/>
    </row>
    <row r="69" spans="1:76" s="264" customFormat="1" ht="13.5" customHeight="1">
      <c r="A69" s="3980"/>
      <c r="B69" s="409" t="s">
        <v>22</v>
      </c>
      <c r="C69" s="3975" t="s">
        <v>151</v>
      </c>
      <c r="D69" s="379">
        <f>D70+D71</f>
        <v>93191</v>
      </c>
      <c r="E69" s="379">
        <f t="shared" ref="E69" si="43">+E70+E71</f>
        <v>116</v>
      </c>
      <c r="F69" s="379">
        <f t="shared" ref="F69" si="44">+F70+F71</f>
        <v>29409</v>
      </c>
      <c r="G69" s="379">
        <f>+G70+G71</f>
        <v>30510</v>
      </c>
      <c r="H69" s="379">
        <f>+H70+H71</f>
        <v>32551</v>
      </c>
      <c r="I69" s="379">
        <f>+I70+I71</f>
        <v>721</v>
      </c>
      <c r="J69" s="379"/>
      <c r="K69" s="379"/>
      <c r="L69" s="379">
        <f>+L70+L71</f>
        <v>0</v>
      </c>
      <c r="M69" s="2305">
        <f>+M70</f>
        <v>63782</v>
      </c>
      <c r="N69" s="3992"/>
    </row>
    <row r="70" spans="1:76" s="264" customFormat="1" ht="13.5" customHeight="1">
      <c r="A70" s="3980"/>
      <c r="B70" s="2306" t="s">
        <v>111</v>
      </c>
      <c r="C70" s="3976"/>
      <c r="D70" s="378">
        <f>L70+F70+G70+H70+I70+J70+K70</f>
        <v>93191</v>
      </c>
      <c r="E70" s="376"/>
      <c r="F70" s="376">
        <v>29409</v>
      </c>
      <c r="G70" s="376">
        <v>30510</v>
      </c>
      <c r="H70" s="376">
        <v>32551</v>
      </c>
      <c r="I70" s="376">
        <v>721</v>
      </c>
      <c r="J70" s="376"/>
      <c r="K70" s="376"/>
      <c r="L70" s="376">
        <v>0</v>
      </c>
      <c r="M70" s="404">
        <f>SUM(G70:K70)</f>
        <v>63782</v>
      </c>
      <c r="N70" s="3992"/>
    </row>
    <row r="71" spans="1:76" s="264" customFormat="1" ht="13.5" customHeight="1">
      <c r="A71" s="3980"/>
      <c r="B71" s="2307" t="s">
        <v>30</v>
      </c>
      <c r="C71" s="3977" t="s">
        <v>21</v>
      </c>
      <c r="D71" s="378">
        <f>L71+F71+G71+H71+I71+J71+K71</f>
        <v>0</v>
      </c>
      <c r="E71" s="376">
        <v>116</v>
      </c>
      <c r="F71" s="376"/>
      <c r="G71" s="376"/>
      <c r="H71" s="376"/>
      <c r="I71" s="376"/>
      <c r="J71" s="376"/>
      <c r="K71" s="376"/>
      <c r="L71" s="376"/>
      <c r="M71" s="2267" t="s">
        <v>52</v>
      </c>
      <c r="N71" s="3992"/>
    </row>
    <row r="72" spans="1:76" s="264" customFormat="1" ht="13.5" customHeight="1">
      <c r="A72" s="3980"/>
      <c r="B72" s="412" t="s">
        <v>17</v>
      </c>
      <c r="C72" s="3985"/>
      <c r="D72" s="422">
        <f>D73</f>
        <v>528736</v>
      </c>
      <c r="E72" s="422">
        <v>0</v>
      </c>
      <c r="F72" s="422">
        <f t="shared" ref="F72:M72" si="45">+F73</f>
        <v>167304</v>
      </c>
      <c r="G72" s="422">
        <f t="shared" si="45"/>
        <v>172891</v>
      </c>
      <c r="H72" s="422">
        <f t="shared" si="45"/>
        <v>184456</v>
      </c>
      <c r="I72" s="422">
        <f t="shared" si="45"/>
        <v>4085</v>
      </c>
      <c r="J72" s="2308"/>
      <c r="K72" s="2308"/>
      <c r="L72" s="422">
        <f>+L73</f>
        <v>0</v>
      </c>
      <c r="M72" s="417" t="str">
        <f t="shared" si="45"/>
        <v>x</v>
      </c>
      <c r="N72" s="3992"/>
    </row>
    <row r="73" spans="1:76" s="264" customFormat="1" ht="13.5" customHeight="1">
      <c r="A73" s="3980"/>
      <c r="B73" s="2309" t="s">
        <v>33</v>
      </c>
      <c r="C73" s="3987"/>
      <c r="D73" s="378">
        <f>L73+F73+G73+H73+I73+J73+K73</f>
        <v>528736</v>
      </c>
      <c r="E73" s="376"/>
      <c r="F73" s="376">
        <v>167304</v>
      </c>
      <c r="G73" s="376">
        <v>172891</v>
      </c>
      <c r="H73" s="376">
        <v>184456</v>
      </c>
      <c r="I73" s="376">
        <v>4085</v>
      </c>
      <c r="J73" s="376"/>
      <c r="K73" s="376"/>
      <c r="L73" s="376">
        <v>0</v>
      </c>
      <c r="M73" s="421" t="s">
        <v>52</v>
      </c>
      <c r="N73" s="3992"/>
    </row>
    <row r="74" spans="1:76" s="264" customFormat="1" ht="13.5" customHeight="1">
      <c r="A74" s="3980"/>
      <c r="B74" s="381" t="s">
        <v>20</v>
      </c>
      <c r="C74" s="2310"/>
      <c r="D74" s="405">
        <f>D75+D77</f>
        <v>528736</v>
      </c>
      <c r="E74" s="405">
        <v>0</v>
      </c>
      <c r="F74" s="405">
        <f t="shared" ref="F74" si="46">+F75+F77</f>
        <v>167304</v>
      </c>
      <c r="G74" s="405">
        <f>+G75+G77</f>
        <v>172891</v>
      </c>
      <c r="H74" s="405">
        <f>+H75+H77</f>
        <v>184456</v>
      </c>
      <c r="I74" s="405">
        <f>+I75+I77</f>
        <v>4085</v>
      </c>
      <c r="J74" s="405"/>
      <c r="K74" s="405"/>
      <c r="L74" s="405">
        <f>+L75+L77</f>
        <v>0</v>
      </c>
      <c r="M74" s="3971" t="s">
        <v>52</v>
      </c>
      <c r="N74" s="3992"/>
    </row>
    <row r="75" spans="1:76" s="264" customFormat="1" ht="13.5" hidden="1" customHeight="1">
      <c r="A75" s="3980"/>
      <c r="B75" s="409" t="s">
        <v>22</v>
      </c>
      <c r="C75" s="3975" t="s">
        <v>151</v>
      </c>
      <c r="D75" s="422"/>
      <c r="E75" s="379">
        <v>0</v>
      </c>
      <c r="F75" s="379">
        <f t="shared" ref="F75:I75" si="47">+F76</f>
        <v>0</v>
      </c>
      <c r="G75" s="379">
        <f t="shared" si="47"/>
        <v>0</v>
      </c>
      <c r="H75" s="379">
        <f t="shared" si="47"/>
        <v>0</v>
      </c>
      <c r="I75" s="379">
        <f t="shared" si="47"/>
        <v>0</v>
      </c>
      <c r="J75" s="379"/>
      <c r="K75" s="379"/>
      <c r="L75" s="379">
        <f>+L76</f>
        <v>0</v>
      </c>
      <c r="M75" s="3700"/>
      <c r="N75" s="3992"/>
    </row>
    <row r="76" spans="1:76" s="264" customFormat="1" ht="13.5" hidden="1" customHeight="1">
      <c r="A76" s="3980"/>
      <c r="B76" s="2309" t="s">
        <v>128</v>
      </c>
      <c r="C76" s="3976"/>
      <c r="D76" s="378"/>
      <c r="E76" s="376"/>
      <c r="F76" s="376">
        <v>0</v>
      </c>
      <c r="G76" s="376">
        <v>0</v>
      </c>
      <c r="H76" s="376">
        <v>0</v>
      </c>
      <c r="I76" s="376">
        <v>0</v>
      </c>
      <c r="J76" s="376"/>
      <c r="K76" s="376"/>
      <c r="L76" s="376">
        <v>0</v>
      </c>
      <c r="M76" s="3700"/>
      <c r="N76" s="3992"/>
    </row>
    <row r="77" spans="1:76" s="264" customFormat="1" ht="13.5" customHeight="1">
      <c r="A77" s="3980"/>
      <c r="B77" s="2311" t="s">
        <v>17</v>
      </c>
      <c r="C77" s="3994" t="s">
        <v>21</v>
      </c>
      <c r="D77" s="422">
        <f>D78</f>
        <v>528736</v>
      </c>
      <c r="E77" s="422">
        <v>0</v>
      </c>
      <c r="F77" s="422">
        <f t="shared" ref="F77:I77" si="48">+F78</f>
        <v>167304</v>
      </c>
      <c r="G77" s="422">
        <f t="shared" si="48"/>
        <v>172891</v>
      </c>
      <c r="H77" s="422">
        <f t="shared" si="48"/>
        <v>184456</v>
      </c>
      <c r="I77" s="422">
        <f t="shared" si="48"/>
        <v>4085</v>
      </c>
      <c r="J77" s="422"/>
      <c r="K77" s="422"/>
      <c r="L77" s="422">
        <f>+L78</f>
        <v>0</v>
      </c>
      <c r="M77" s="3700"/>
      <c r="N77" s="3992"/>
    </row>
    <row r="78" spans="1:76" s="264" customFormat="1" ht="13.5" customHeight="1" thickBot="1">
      <c r="A78" s="3981"/>
      <c r="B78" s="2312" t="s">
        <v>33</v>
      </c>
      <c r="C78" s="3987"/>
      <c r="D78" s="378">
        <f>L78+F78+G78+H78+I78+J78+K78</f>
        <v>528736</v>
      </c>
      <c r="E78" s="376"/>
      <c r="F78" s="2313">
        <v>167304</v>
      </c>
      <c r="G78" s="2313">
        <v>172891</v>
      </c>
      <c r="H78" s="2313">
        <v>184456</v>
      </c>
      <c r="I78" s="2313">
        <v>4085</v>
      </c>
      <c r="J78" s="2313"/>
      <c r="K78" s="2313"/>
      <c r="L78" s="2313">
        <v>0</v>
      </c>
      <c r="M78" s="3701"/>
      <c r="N78" s="3993"/>
    </row>
    <row r="79" spans="1:76" s="264" customFormat="1" ht="27.75" customHeight="1">
      <c r="A79" s="3979" t="s">
        <v>105</v>
      </c>
      <c r="B79" s="415" t="s">
        <v>519</v>
      </c>
      <c r="C79" s="2232" t="s">
        <v>72</v>
      </c>
      <c r="D79" s="2235"/>
      <c r="E79" s="326"/>
      <c r="F79" s="326"/>
      <c r="G79" s="326"/>
      <c r="H79" s="326"/>
      <c r="I79" s="326"/>
      <c r="J79" s="326"/>
      <c r="K79" s="1109"/>
      <c r="L79" s="326"/>
      <c r="M79" s="424"/>
      <c r="N79" s="3991" t="s">
        <v>440</v>
      </c>
    </row>
    <row r="80" spans="1:76" s="264" customFormat="1" ht="13.5" customHeight="1">
      <c r="A80" s="3980"/>
      <c r="B80" s="381" t="s">
        <v>9</v>
      </c>
      <c r="C80" s="2310"/>
      <c r="D80" s="405">
        <f>D81+D84</f>
        <v>2392705</v>
      </c>
      <c r="E80" s="405">
        <v>0</v>
      </c>
      <c r="F80" s="405">
        <f>+F81+F84</f>
        <v>12887</v>
      </c>
      <c r="G80" s="405">
        <f>+G81+G84</f>
        <v>1348850</v>
      </c>
      <c r="H80" s="405">
        <f>+H81+H84</f>
        <v>1030968</v>
      </c>
      <c r="I80" s="405"/>
      <c r="J80" s="405"/>
      <c r="K80" s="405"/>
      <c r="L80" s="405">
        <f>+L81+L84</f>
        <v>0</v>
      </c>
      <c r="M80" s="408">
        <f>+M81</f>
        <v>356972</v>
      </c>
      <c r="N80" s="3992"/>
      <c r="P80" s="153"/>
    </row>
    <row r="81" spans="1:16" s="264" customFormat="1" ht="13.5" customHeight="1">
      <c r="A81" s="3980"/>
      <c r="B81" s="409" t="s">
        <v>22</v>
      </c>
      <c r="C81" s="3973" t="s">
        <v>151</v>
      </c>
      <c r="D81" s="379">
        <f>D82+D83</f>
        <v>358905</v>
      </c>
      <c r="E81" s="379">
        <v>0</v>
      </c>
      <c r="F81" s="379">
        <f>F83+F82</f>
        <v>1933</v>
      </c>
      <c r="G81" s="379">
        <f>G83+G82</f>
        <v>202327</v>
      </c>
      <c r="H81" s="379">
        <f>H83+H82</f>
        <v>154645</v>
      </c>
      <c r="I81" s="379"/>
      <c r="J81" s="379"/>
      <c r="K81" s="379"/>
      <c r="L81" s="379">
        <f>L83+L82</f>
        <v>0</v>
      </c>
      <c r="M81" s="410">
        <f>+M83</f>
        <v>356972</v>
      </c>
      <c r="N81" s="3992"/>
    </row>
    <row r="82" spans="1:16" s="264" customFormat="1" ht="13.5" hidden="1" customHeight="1">
      <c r="A82" s="3980"/>
      <c r="B82" s="2306" t="s">
        <v>30</v>
      </c>
      <c r="C82" s="3974"/>
      <c r="D82" s="378">
        <f>F82+G82+H82+I82+J82+K82</f>
        <v>0</v>
      </c>
      <c r="E82" s="376"/>
      <c r="F82" s="2314">
        <v>0</v>
      </c>
      <c r="G82" s="2314">
        <v>0</v>
      </c>
      <c r="H82" s="2314">
        <v>0</v>
      </c>
      <c r="I82" s="2314"/>
      <c r="J82" s="2314"/>
      <c r="K82" s="2314"/>
      <c r="L82" s="2314">
        <v>0</v>
      </c>
      <c r="M82" s="421" t="s">
        <v>52</v>
      </c>
      <c r="N82" s="3992"/>
    </row>
    <row r="83" spans="1:16" s="264" customFormat="1" ht="16.5" customHeight="1">
      <c r="A83" s="3980"/>
      <c r="B83" s="425" t="s">
        <v>111</v>
      </c>
      <c r="C83" s="3677"/>
      <c r="D83" s="378">
        <f>F83+G83+H83+I83+J83+K83</f>
        <v>358905</v>
      </c>
      <c r="E83" s="378">
        <v>0</v>
      </c>
      <c r="F83" s="2315">
        <v>1933</v>
      </c>
      <c r="G83" s="2315">
        <v>202327</v>
      </c>
      <c r="H83" s="2315">
        <v>154645</v>
      </c>
      <c r="I83" s="2315"/>
      <c r="J83" s="2315"/>
      <c r="K83" s="2315"/>
      <c r="L83" s="2315">
        <v>0</v>
      </c>
      <c r="M83" s="404">
        <f>SUM(G83:K83)</f>
        <v>356972</v>
      </c>
      <c r="N83" s="3992"/>
    </row>
    <row r="84" spans="1:16" s="264" customFormat="1" ht="15" customHeight="1">
      <c r="A84" s="3980"/>
      <c r="B84" s="2316" t="s">
        <v>17</v>
      </c>
      <c r="C84" s="3994" t="s">
        <v>21</v>
      </c>
      <c r="D84" s="2317">
        <f>D85</f>
        <v>2033800</v>
      </c>
      <c r="E84" s="2317">
        <v>0</v>
      </c>
      <c r="F84" s="2317">
        <f t="shared" ref="F84:M84" si="49">+F85</f>
        <v>10954</v>
      </c>
      <c r="G84" s="2317">
        <f t="shared" si="49"/>
        <v>1146523</v>
      </c>
      <c r="H84" s="2317">
        <f t="shared" si="49"/>
        <v>876323</v>
      </c>
      <c r="I84" s="413"/>
      <c r="J84" s="413"/>
      <c r="K84" s="413"/>
      <c r="L84" s="2317">
        <f>+L85</f>
        <v>0</v>
      </c>
      <c r="M84" s="417" t="str">
        <f t="shared" si="49"/>
        <v>x</v>
      </c>
      <c r="N84" s="3992"/>
    </row>
    <row r="85" spans="1:16" s="264" customFormat="1" ht="14.25" customHeight="1">
      <c r="A85" s="3980"/>
      <c r="B85" s="2318" t="s">
        <v>33</v>
      </c>
      <c r="C85" s="3987"/>
      <c r="D85" s="378">
        <f>F85+G85+H85+I85+J85+K85</f>
        <v>2033800</v>
      </c>
      <c r="E85" s="378"/>
      <c r="F85" s="2315">
        <v>10954</v>
      </c>
      <c r="G85" s="2315">
        <v>1146523</v>
      </c>
      <c r="H85" s="2315">
        <v>876323</v>
      </c>
      <c r="I85" s="2314"/>
      <c r="J85" s="2314"/>
      <c r="K85" s="2314"/>
      <c r="L85" s="2315">
        <v>0</v>
      </c>
      <c r="M85" s="2319" t="s">
        <v>52</v>
      </c>
      <c r="N85" s="4000"/>
    </row>
    <row r="86" spans="1:16" s="264" customFormat="1" ht="13.5" customHeight="1">
      <c r="A86" s="3980"/>
      <c r="B86" s="381" t="s">
        <v>20</v>
      </c>
      <c r="C86" s="2310"/>
      <c r="D86" s="405">
        <f>D87+D89</f>
        <v>2033800</v>
      </c>
      <c r="E86" s="405">
        <v>0</v>
      </c>
      <c r="F86" s="405">
        <f>+F87+F89</f>
        <v>10954</v>
      </c>
      <c r="G86" s="405">
        <f>+G87+G89</f>
        <v>1146523</v>
      </c>
      <c r="H86" s="405">
        <f>+H87+H89</f>
        <v>876323</v>
      </c>
      <c r="I86" s="405"/>
      <c r="J86" s="405"/>
      <c r="K86" s="405"/>
      <c r="L86" s="405">
        <f>+L87+L89</f>
        <v>0</v>
      </c>
      <c r="M86" s="3972" t="s">
        <v>52</v>
      </c>
      <c r="N86" s="3992"/>
    </row>
    <row r="87" spans="1:16" s="264" customFormat="1" ht="13.5" hidden="1" customHeight="1">
      <c r="A87" s="3980"/>
      <c r="B87" s="409" t="s">
        <v>22</v>
      </c>
      <c r="C87" s="3975" t="s">
        <v>151</v>
      </c>
      <c r="D87" s="2320"/>
      <c r="E87" s="2320">
        <v>0</v>
      </c>
      <c r="F87" s="2320">
        <f t="shared" ref="F87:H87" si="50">+F88</f>
        <v>0</v>
      </c>
      <c r="G87" s="2320">
        <f t="shared" si="50"/>
        <v>0</v>
      </c>
      <c r="H87" s="2320">
        <f t="shared" si="50"/>
        <v>0</v>
      </c>
      <c r="I87" s="2320"/>
      <c r="J87" s="2320"/>
      <c r="K87" s="2320"/>
      <c r="L87" s="2320">
        <f>+L88</f>
        <v>0</v>
      </c>
      <c r="M87" s="3691"/>
      <c r="N87" s="3992"/>
    </row>
    <row r="88" spans="1:16" s="264" customFormat="1" ht="13.5" hidden="1" customHeight="1">
      <c r="A88" s="3980"/>
      <c r="B88" s="2306" t="s">
        <v>128</v>
      </c>
      <c r="C88" s="3976"/>
      <c r="D88" s="378"/>
      <c r="E88" s="376"/>
      <c r="F88" s="2314">
        <v>0</v>
      </c>
      <c r="G88" s="2314">
        <v>0</v>
      </c>
      <c r="H88" s="2314">
        <v>0</v>
      </c>
      <c r="I88" s="2314"/>
      <c r="J88" s="2314"/>
      <c r="K88" s="2314"/>
      <c r="L88" s="2314">
        <v>0</v>
      </c>
      <c r="M88" s="3691"/>
      <c r="N88" s="3992"/>
      <c r="P88" s="153">
        <v>-1488145</v>
      </c>
    </row>
    <row r="89" spans="1:16" s="264" customFormat="1" ht="13.5" customHeight="1">
      <c r="A89" s="3980"/>
      <c r="B89" s="2321" t="s">
        <v>17</v>
      </c>
      <c r="C89" s="3977" t="s">
        <v>21</v>
      </c>
      <c r="D89" s="1151">
        <f>D90</f>
        <v>2033800</v>
      </c>
      <c r="E89" s="1151">
        <v>0</v>
      </c>
      <c r="F89" s="379">
        <f t="shared" ref="F89:H89" si="51">+F90</f>
        <v>10954</v>
      </c>
      <c r="G89" s="379">
        <f t="shared" si="51"/>
        <v>1146523</v>
      </c>
      <c r="H89" s="379">
        <f t="shared" si="51"/>
        <v>876323</v>
      </c>
      <c r="I89" s="379"/>
      <c r="J89" s="379"/>
      <c r="K89" s="379"/>
      <c r="L89" s="379">
        <f>+L90</f>
        <v>0</v>
      </c>
      <c r="M89" s="3691"/>
      <c r="N89" s="3992"/>
    </row>
    <row r="90" spans="1:16" s="264" customFormat="1" ht="15" customHeight="1" thickBot="1">
      <c r="A90" s="3887"/>
      <c r="B90" s="2322" t="s">
        <v>33</v>
      </c>
      <c r="C90" s="3978"/>
      <c r="D90" s="1258">
        <f>F90+G90+H90+I90+J90+K90</f>
        <v>2033800</v>
      </c>
      <c r="E90" s="1376">
        <v>0</v>
      </c>
      <c r="F90" s="411">
        <v>10954</v>
      </c>
      <c r="G90" s="411">
        <v>1146523</v>
      </c>
      <c r="H90" s="411">
        <v>876323</v>
      </c>
      <c r="I90" s="411"/>
      <c r="J90" s="411"/>
      <c r="K90" s="411"/>
      <c r="L90" s="411">
        <v>0</v>
      </c>
      <c r="M90" s="3692"/>
      <c r="N90" s="4001"/>
    </row>
    <row r="91" spans="1:16" s="264" customFormat="1" ht="30.75" customHeight="1">
      <c r="A91" s="4035" t="s">
        <v>78</v>
      </c>
      <c r="B91" s="415" t="s">
        <v>439</v>
      </c>
      <c r="C91" s="2232" t="s">
        <v>72</v>
      </c>
      <c r="D91" s="2233"/>
      <c r="E91" s="326"/>
      <c r="F91" s="326"/>
      <c r="G91" s="326"/>
      <c r="H91" s="326"/>
      <c r="I91" s="326"/>
      <c r="J91" s="326"/>
      <c r="K91" s="1109"/>
      <c r="L91" s="326"/>
      <c r="M91" s="424"/>
      <c r="N91" s="3991" t="s">
        <v>440</v>
      </c>
    </row>
    <row r="92" spans="1:16" s="264" customFormat="1" ht="13.5" customHeight="1">
      <c r="A92" s="4036"/>
      <c r="B92" s="1251" t="s">
        <v>9</v>
      </c>
      <c r="C92" s="1670"/>
      <c r="D92" s="1166">
        <f>+D93+D97</f>
        <v>647500</v>
      </c>
      <c r="E92" s="1166">
        <f t="shared" ref="E92:F92" si="52">+E93+E97</f>
        <v>0</v>
      </c>
      <c r="F92" s="1166">
        <f t="shared" si="52"/>
        <v>207500</v>
      </c>
      <c r="G92" s="1166">
        <f>+G93+G97</f>
        <v>440000</v>
      </c>
      <c r="H92" s="1166">
        <f>+H93+H97</f>
        <v>0</v>
      </c>
      <c r="I92" s="1166">
        <f t="shared" ref="I92:J92" si="53">+I93+I97</f>
        <v>0</v>
      </c>
      <c r="J92" s="1166">
        <f t="shared" si="53"/>
        <v>0</v>
      </c>
      <c r="K92" s="1166"/>
      <c r="L92" s="1166">
        <f>+L93+L97</f>
        <v>0</v>
      </c>
      <c r="M92" s="2164">
        <f>+M93</f>
        <v>200000</v>
      </c>
      <c r="N92" s="3992"/>
    </row>
    <row r="93" spans="1:16" s="264" customFormat="1" ht="13.5" customHeight="1">
      <c r="A93" s="4036"/>
      <c r="B93" s="1671" t="s">
        <v>22</v>
      </c>
      <c r="C93" s="2638"/>
      <c r="D93" s="1151">
        <f>D95+D94+D96</f>
        <v>647500</v>
      </c>
      <c r="E93" s="1151">
        <f t="shared" ref="E93:K93" si="54">E95+E94+E96</f>
        <v>0</v>
      </c>
      <c r="F93" s="1151">
        <f t="shared" si="54"/>
        <v>207500</v>
      </c>
      <c r="G93" s="1151">
        <f t="shared" si="54"/>
        <v>440000</v>
      </c>
      <c r="H93" s="1151">
        <f t="shared" si="54"/>
        <v>0</v>
      </c>
      <c r="I93" s="1151">
        <f t="shared" si="54"/>
        <v>0</v>
      </c>
      <c r="J93" s="1151">
        <f t="shared" si="54"/>
        <v>0</v>
      </c>
      <c r="K93" s="1151">
        <f t="shared" si="54"/>
        <v>0</v>
      </c>
      <c r="L93" s="1151">
        <f>L95+L94+L96</f>
        <v>0</v>
      </c>
      <c r="M93" s="2165">
        <f>+M95</f>
        <v>200000</v>
      </c>
      <c r="N93" s="3992"/>
    </row>
    <row r="94" spans="1:16" s="264" customFormat="1" ht="13.5" customHeight="1">
      <c r="A94" s="4036"/>
      <c r="B94" s="1672" t="s">
        <v>30</v>
      </c>
      <c r="C94" s="2695" t="s">
        <v>21</v>
      </c>
      <c r="D94" s="1113">
        <f>E94+L94+F94+G94+H94+I94+J94+K94</f>
        <v>47500</v>
      </c>
      <c r="E94" s="1134"/>
      <c r="F94" s="1673">
        <v>7500</v>
      </c>
      <c r="G94" s="1673">
        <v>40000</v>
      </c>
      <c r="H94" s="1673">
        <v>0</v>
      </c>
      <c r="I94" s="1653"/>
      <c r="J94" s="1653"/>
      <c r="K94" s="1653"/>
      <c r="L94" s="1673"/>
      <c r="M94" s="2044" t="s">
        <v>52</v>
      </c>
      <c r="N94" s="3992"/>
    </row>
    <row r="95" spans="1:16" s="264" customFormat="1" ht="13.5" customHeight="1">
      <c r="A95" s="4036"/>
      <c r="B95" s="1674" t="s">
        <v>111</v>
      </c>
      <c r="C95" s="2674" t="s">
        <v>151</v>
      </c>
      <c r="D95" s="1113">
        <f>E95+L95+F95+G95+H95+I95+J95+K95</f>
        <v>300000</v>
      </c>
      <c r="E95" s="1134"/>
      <c r="F95" s="1675">
        <v>100000</v>
      </c>
      <c r="G95" s="1675">
        <v>200000</v>
      </c>
      <c r="H95" s="1675"/>
      <c r="I95" s="1675"/>
      <c r="J95" s="1675"/>
      <c r="K95" s="1675"/>
      <c r="L95" s="1675"/>
      <c r="M95" s="404">
        <f>SUM(G95:K95)</f>
        <v>200000</v>
      </c>
      <c r="N95" s="3992"/>
    </row>
    <row r="96" spans="1:16" s="264" customFormat="1" ht="13.5" customHeight="1">
      <c r="A96" s="4036"/>
      <c r="B96" s="2212" t="s">
        <v>378</v>
      </c>
      <c r="C96" s="3977" t="s">
        <v>21</v>
      </c>
      <c r="D96" s="1113">
        <f>E96+L96+F96+G96+H96+I96+J96+K96</f>
        <v>300000</v>
      </c>
      <c r="E96" s="2843"/>
      <c r="F96" s="2175">
        <v>100000</v>
      </c>
      <c r="G96" s="2175">
        <v>200000</v>
      </c>
      <c r="H96" s="2175"/>
      <c r="I96" s="2175"/>
      <c r="J96" s="2175"/>
      <c r="K96" s="2176"/>
      <c r="L96" s="2175"/>
      <c r="M96" s="407"/>
      <c r="N96" s="3992"/>
    </row>
    <row r="97" spans="1:14" s="264" customFormat="1" ht="13.5" hidden="1" customHeight="1">
      <c r="A97" s="4036"/>
      <c r="B97" s="2213" t="s">
        <v>17</v>
      </c>
      <c r="C97" s="3986"/>
      <c r="D97" s="2177">
        <f>+D98</f>
        <v>0</v>
      </c>
      <c r="E97" s="2177">
        <f t="shared" ref="E97:M97" si="55">+E98</f>
        <v>0</v>
      </c>
      <c r="F97" s="2177">
        <f t="shared" si="55"/>
        <v>0</v>
      </c>
      <c r="G97" s="2177">
        <f t="shared" si="55"/>
        <v>0</v>
      </c>
      <c r="H97" s="2177">
        <f t="shared" si="55"/>
        <v>0</v>
      </c>
      <c r="I97" s="2177">
        <f t="shared" si="55"/>
        <v>0</v>
      </c>
      <c r="J97" s="2177">
        <f t="shared" si="55"/>
        <v>0</v>
      </c>
      <c r="K97" s="2177"/>
      <c r="L97" s="2177">
        <f>+L98</f>
        <v>0</v>
      </c>
      <c r="M97" s="2178" t="str">
        <f t="shared" si="55"/>
        <v>x</v>
      </c>
      <c r="N97" s="3992"/>
    </row>
    <row r="98" spans="1:14" s="264" customFormat="1" ht="13.5" hidden="1" customHeight="1">
      <c r="A98" s="4036"/>
      <c r="B98" s="1674" t="s">
        <v>33</v>
      </c>
      <c r="C98" s="3987"/>
      <c r="D98" s="1113">
        <f>E98+L98+F98+G98+H98+I98+J98+K98</f>
        <v>0</v>
      </c>
      <c r="E98" s="1134">
        <v>0</v>
      </c>
      <c r="F98" s="1254"/>
      <c r="G98" s="1254"/>
      <c r="H98" s="1254"/>
      <c r="I98" s="1660"/>
      <c r="J98" s="1660"/>
      <c r="K98" s="1660"/>
      <c r="L98" s="1254"/>
      <c r="M98" s="2045" t="s">
        <v>52</v>
      </c>
      <c r="N98" s="3992"/>
    </row>
    <row r="99" spans="1:14" s="264" customFormat="1" ht="13.5" customHeight="1">
      <c r="A99" s="4036"/>
      <c r="B99" s="2202" t="s">
        <v>20</v>
      </c>
      <c r="C99" s="1960"/>
      <c r="D99" s="1961">
        <f>D103+D100</f>
        <v>300000</v>
      </c>
      <c r="E99" s="1961">
        <f t="shared" ref="E99:F99" si="56">E103+E100</f>
        <v>0</v>
      </c>
      <c r="F99" s="1961">
        <f t="shared" si="56"/>
        <v>100000</v>
      </c>
      <c r="G99" s="1961">
        <f>G103+G100</f>
        <v>200000</v>
      </c>
      <c r="H99" s="1961">
        <f>H103+H100</f>
        <v>0</v>
      </c>
      <c r="I99" s="1961">
        <f t="shared" ref="I99:J99" si="57">I103+I100</f>
        <v>0</v>
      </c>
      <c r="J99" s="1961">
        <f t="shared" si="57"/>
        <v>0</v>
      </c>
      <c r="K99" s="1961"/>
      <c r="L99" s="1961">
        <f>L103+L100</f>
        <v>0</v>
      </c>
      <c r="M99" s="4041" t="s">
        <v>52</v>
      </c>
      <c r="N99" s="3992"/>
    </row>
    <row r="100" spans="1:14" s="264" customFormat="1" ht="13.5" customHeight="1">
      <c r="A100" s="4036"/>
      <c r="B100" s="1255" t="s">
        <v>22</v>
      </c>
      <c r="C100" s="4038" t="s">
        <v>52</v>
      </c>
      <c r="D100" s="1242">
        <f>+D101+D102</f>
        <v>300000</v>
      </c>
      <c r="E100" s="1242">
        <f t="shared" ref="E100:J100" si="58">+E101+E102</f>
        <v>0</v>
      </c>
      <c r="F100" s="1242">
        <f t="shared" si="58"/>
        <v>100000</v>
      </c>
      <c r="G100" s="1242">
        <f t="shared" si="58"/>
        <v>200000</v>
      </c>
      <c r="H100" s="1242">
        <f t="shared" si="58"/>
        <v>0</v>
      </c>
      <c r="I100" s="1242">
        <f t="shared" si="58"/>
        <v>0</v>
      </c>
      <c r="J100" s="1242">
        <f t="shared" si="58"/>
        <v>0</v>
      </c>
      <c r="K100" s="1242"/>
      <c r="L100" s="1242">
        <f>+L101+L102</f>
        <v>0</v>
      </c>
      <c r="M100" s="4042"/>
      <c r="N100" s="3992"/>
    </row>
    <row r="101" spans="1:14" s="264" customFormat="1" ht="13.5" hidden="1" customHeight="1">
      <c r="A101" s="4036"/>
      <c r="B101" s="2174" t="s">
        <v>136</v>
      </c>
      <c r="C101" s="4039"/>
      <c r="D101" s="1147">
        <f>E101+L101+F101+G101+H101+I101+J101+K101</f>
        <v>0</v>
      </c>
      <c r="E101" s="1134">
        <v>0</v>
      </c>
      <c r="F101" s="1675"/>
      <c r="G101" s="1675"/>
      <c r="H101" s="1675"/>
      <c r="I101" s="1675"/>
      <c r="J101" s="1675"/>
      <c r="K101" s="1675"/>
      <c r="L101" s="1675"/>
      <c r="M101" s="4042"/>
      <c r="N101" s="3992"/>
    </row>
    <row r="102" spans="1:14" s="264" customFormat="1" ht="13.5" customHeight="1" thickBot="1">
      <c r="A102" s="4036"/>
      <c r="B102" s="1256" t="s">
        <v>378</v>
      </c>
      <c r="C102" s="4039"/>
      <c r="D102" s="1405">
        <f>E102+L102+F102+G102+H102+I102+J102+K102</f>
        <v>300000</v>
      </c>
      <c r="E102" s="1376"/>
      <c r="F102" s="1707">
        <v>100000</v>
      </c>
      <c r="G102" s="1707">
        <v>200000</v>
      </c>
      <c r="H102" s="1707"/>
      <c r="I102" s="1707"/>
      <c r="J102" s="1707"/>
      <c r="K102" s="1707"/>
      <c r="L102" s="1707"/>
      <c r="M102" s="4042"/>
      <c r="N102" s="3992"/>
    </row>
    <row r="103" spans="1:14" s="264" customFormat="1" ht="13.5" hidden="1" customHeight="1" thickBot="1">
      <c r="A103" s="4037"/>
      <c r="B103" s="2119" t="s">
        <v>17</v>
      </c>
      <c r="C103" s="4040"/>
      <c r="D103" s="2127">
        <f>+D104</f>
        <v>0</v>
      </c>
      <c r="E103" s="2127">
        <f t="shared" ref="E103:J103" si="59">+E104</f>
        <v>0</v>
      </c>
      <c r="F103" s="2127">
        <f t="shared" si="59"/>
        <v>0</v>
      </c>
      <c r="G103" s="2127">
        <f t="shared" si="59"/>
        <v>0</v>
      </c>
      <c r="H103" s="2127">
        <f t="shared" si="59"/>
        <v>0</v>
      </c>
      <c r="I103" s="2127">
        <f t="shared" si="59"/>
        <v>0</v>
      </c>
      <c r="J103" s="2127">
        <f t="shared" si="59"/>
        <v>0</v>
      </c>
      <c r="K103" s="2127"/>
      <c r="L103" s="2127">
        <f>+L104</f>
        <v>0</v>
      </c>
      <c r="M103" s="4043"/>
      <c r="N103" s="3993"/>
    </row>
    <row r="104" spans="1:14" s="264" customFormat="1" ht="16.5" hidden="1" customHeight="1" thickBot="1">
      <c r="A104" s="2415"/>
      <c r="B104" s="2416" t="s">
        <v>33</v>
      </c>
      <c r="C104" s="2417"/>
      <c r="D104" s="2410">
        <f>E104+L104+F104+G104+H104+I104+J104+K104</f>
        <v>0</v>
      </c>
      <c r="E104" s="2844">
        <v>0</v>
      </c>
      <c r="F104" s="2411"/>
      <c r="G104" s="2411"/>
      <c r="H104" s="2411"/>
      <c r="I104" s="2411"/>
      <c r="J104" s="2411"/>
      <c r="K104" s="2411"/>
      <c r="L104" s="2411">
        <v>0</v>
      </c>
      <c r="M104" s="2419"/>
      <c r="N104" s="2418"/>
    </row>
    <row r="105" spans="1:14" s="264" customFormat="1" ht="29.25" customHeight="1" thickBot="1">
      <c r="A105" s="3988" t="s">
        <v>79</v>
      </c>
      <c r="B105" s="415" t="s">
        <v>407</v>
      </c>
      <c r="C105" s="2412" t="s">
        <v>72</v>
      </c>
      <c r="D105" s="2235"/>
      <c r="E105" s="326"/>
      <c r="F105" s="326"/>
      <c r="G105" s="326"/>
      <c r="H105" s="326"/>
      <c r="I105" s="326"/>
      <c r="J105" s="326"/>
      <c r="K105" s="1109"/>
      <c r="L105" s="326"/>
      <c r="M105" s="2413"/>
      <c r="N105" s="4044" t="s">
        <v>152</v>
      </c>
    </row>
    <row r="106" spans="1:14" s="313" customFormat="1" ht="16.5" customHeight="1">
      <c r="A106" s="3989"/>
      <c r="B106" s="1045" t="s">
        <v>9</v>
      </c>
      <c r="C106" s="2206"/>
      <c r="D106" s="1044">
        <f>D107+D110</f>
        <v>24869527</v>
      </c>
      <c r="E106" s="1044">
        <f>E107+E110</f>
        <v>669527</v>
      </c>
      <c r="F106" s="1044">
        <f t="shared" ref="F106" si="60">+F107+F110</f>
        <v>137268</v>
      </c>
      <c r="G106" s="1044">
        <f>+G107+G110</f>
        <v>9342732</v>
      </c>
      <c r="H106" s="1044">
        <f>+H107+H110</f>
        <v>14720000</v>
      </c>
      <c r="I106" s="1044"/>
      <c r="J106" s="1044"/>
      <c r="K106" s="1044"/>
      <c r="L106" s="1044">
        <f>+L107+L110</f>
        <v>0</v>
      </c>
      <c r="M106" s="2207">
        <f>+M107</f>
        <v>24062732</v>
      </c>
      <c r="N106" s="4045"/>
    </row>
    <row r="107" spans="1:14" s="264" customFormat="1" ht="13.5" customHeight="1">
      <c r="A107" s="3989"/>
      <c r="B107" s="2203" t="s">
        <v>22</v>
      </c>
      <c r="C107" s="2638"/>
      <c r="D107" s="1151">
        <f>D108+D109</f>
        <v>24344627</v>
      </c>
      <c r="E107" s="1151">
        <f t="shared" ref="E107" si="61">E108+E109</f>
        <v>144627</v>
      </c>
      <c r="F107" s="1151">
        <f t="shared" ref="F107:H107" si="62">F109</f>
        <v>137268</v>
      </c>
      <c r="G107" s="1151">
        <f t="shared" si="62"/>
        <v>9342732</v>
      </c>
      <c r="H107" s="1151">
        <f t="shared" si="62"/>
        <v>14720000</v>
      </c>
      <c r="I107" s="1151"/>
      <c r="J107" s="1151"/>
      <c r="K107" s="1151"/>
      <c r="L107" s="1151">
        <f>L108+L109</f>
        <v>0</v>
      </c>
      <c r="M107" s="2205">
        <f>+M109</f>
        <v>24062732</v>
      </c>
      <c r="N107" s="4045"/>
    </row>
    <row r="108" spans="1:14" s="264" customFormat="1" ht="13.5" customHeight="1" thickBot="1">
      <c r="A108" s="3990"/>
      <c r="B108" s="1666" t="s">
        <v>30</v>
      </c>
      <c r="C108" s="2695" t="s">
        <v>21</v>
      </c>
      <c r="D108" s="1660">
        <f>E108+L108+F108+G108+H108+I108+J108+K108</f>
        <v>23900</v>
      </c>
      <c r="E108" s="1667">
        <v>23900</v>
      </c>
      <c r="F108" s="413"/>
      <c r="G108" s="413"/>
      <c r="H108" s="413"/>
      <c r="I108" s="413"/>
      <c r="J108" s="413"/>
      <c r="K108" s="413"/>
      <c r="L108" s="1667"/>
      <c r="M108" s="2084">
        <v>0</v>
      </c>
      <c r="N108" s="4046"/>
    </row>
    <row r="109" spans="1:14" s="264" customFormat="1" ht="13.5" customHeight="1" thickBot="1">
      <c r="A109" s="3988"/>
      <c r="B109" s="2482" t="s">
        <v>111</v>
      </c>
      <c r="C109" s="2674" t="s">
        <v>286</v>
      </c>
      <c r="D109" s="1254">
        <f>E109+L109+F109+G109+H109+I109+J109+K109</f>
        <v>24320727</v>
      </c>
      <c r="E109" s="1134">
        <v>120727</v>
      </c>
      <c r="F109" s="1134">
        <f>1315000-1177732</f>
        <v>137268</v>
      </c>
      <c r="G109" s="1134">
        <f>8165000+1177732</f>
        <v>9342732</v>
      </c>
      <c r="H109" s="1134">
        <v>14720000</v>
      </c>
      <c r="I109" s="1134"/>
      <c r="J109" s="1134"/>
      <c r="K109" s="1134"/>
      <c r="L109" s="1134">
        <v>0</v>
      </c>
      <c r="M109" s="404">
        <f>SUM(G109:K109)</f>
        <v>24062732</v>
      </c>
      <c r="N109" s="4047"/>
    </row>
    <row r="110" spans="1:14" s="264" customFormat="1" ht="13.5" customHeight="1" thickBot="1">
      <c r="A110" s="3988"/>
      <c r="B110" s="2483" t="s">
        <v>17</v>
      </c>
      <c r="C110" s="4049" t="s">
        <v>21</v>
      </c>
      <c r="D110" s="1151">
        <f>D111</f>
        <v>524900</v>
      </c>
      <c r="E110" s="1151">
        <f>E111</f>
        <v>524900</v>
      </c>
      <c r="F110" s="1151">
        <f t="shared" ref="F110:M110" si="63">+F111</f>
        <v>0</v>
      </c>
      <c r="G110" s="1151">
        <f t="shared" si="63"/>
        <v>0</v>
      </c>
      <c r="H110" s="1151">
        <f t="shared" si="63"/>
        <v>0</v>
      </c>
      <c r="I110" s="413"/>
      <c r="J110" s="413"/>
      <c r="K110" s="413"/>
      <c r="L110" s="1151">
        <f>+L111</f>
        <v>0</v>
      </c>
      <c r="M110" s="417" t="str">
        <f t="shared" si="63"/>
        <v>x</v>
      </c>
      <c r="N110" s="4047"/>
    </row>
    <row r="111" spans="1:14" s="264" customFormat="1" ht="13.5" customHeight="1" thickBot="1">
      <c r="A111" s="3988"/>
      <c r="B111" s="2482" t="s">
        <v>33</v>
      </c>
      <c r="C111" s="4050"/>
      <c r="D111" s="1254">
        <f>E111+L111+F111+G111+I111+J111+K111</f>
        <v>524900</v>
      </c>
      <c r="E111" s="1134">
        <v>524900</v>
      </c>
      <c r="F111" s="1134">
        <v>0</v>
      </c>
      <c r="G111" s="1134">
        <v>0</v>
      </c>
      <c r="H111" s="1134">
        <v>0</v>
      </c>
      <c r="I111" s="1667"/>
      <c r="J111" s="1667"/>
      <c r="K111" s="1667"/>
      <c r="L111" s="1134">
        <v>0</v>
      </c>
      <c r="M111" s="417" t="s">
        <v>52</v>
      </c>
      <c r="N111" s="4047"/>
    </row>
    <row r="112" spans="1:14" s="313" customFormat="1" ht="16.5" customHeight="1" thickBot="1">
      <c r="A112" s="3988"/>
      <c r="B112" s="1251" t="s">
        <v>20</v>
      </c>
      <c r="C112" s="2201"/>
      <c r="D112" s="1161">
        <f>D113+D115</f>
        <v>1002816</v>
      </c>
      <c r="E112" s="1161">
        <f>E113+E115</f>
        <v>644420</v>
      </c>
      <c r="F112" s="1161">
        <f t="shared" ref="F112" si="64">F115+F113</f>
        <v>2033</v>
      </c>
      <c r="G112" s="1161">
        <f>G115+G113</f>
        <v>138363</v>
      </c>
      <c r="H112" s="1161">
        <f>H115+H113</f>
        <v>218000</v>
      </c>
      <c r="I112" s="1161"/>
      <c r="J112" s="1161"/>
      <c r="K112" s="1161"/>
      <c r="L112" s="1161">
        <f>L115+L113</f>
        <v>0</v>
      </c>
      <c r="M112" s="3690" t="s">
        <v>52</v>
      </c>
      <c r="N112" s="4047"/>
    </row>
    <row r="113" spans="1:16" s="264" customFormat="1" ht="13.5" customHeight="1" thickBot="1">
      <c r="A113" s="3988"/>
      <c r="B113" s="2203" t="s">
        <v>22</v>
      </c>
      <c r="C113" s="3825" t="s">
        <v>153</v>
      </c>
      <c r="D113" s="2414">
        <f>D114</f>
        <v>477916</v>
      </c>
      <c r="E113" s="2414">
        <f>E114</f>
        <v>119520</v>
      </c>
      <c r="F113" s="2414">
        <f t="shared" ref="F113:H113" si="65">+F114</f>
        <v>2033</v>
      </c>
      <c r="G113" s="2414">
        <f t="shared" si="65"/>
        <v>138363</v>
      </c>
      <c r="H113" s="2414">
        <f t="shared" si="65"/>
        <v>218000</v>
      </c>
      <c r="I113" s="2414"/>
      <c r="J113" s="2414"/>
      <c r="K113" s="2414"/>
      <c r="L113" s="2414">
        <f>+L114</f>
        <v>0</v>
      </c>
      <c r="M113" s="3700"/>
      <c r="N113" s="4047"/>
      <c r="P113" s="153">
        <v>-4922063</v>
      </c>
    </row>
    <row r="114" spans="1:16" s="264" customFormat="1" ht="13.5" customHeight="1" thickBot="1">
      <c r="A114" s="3988"/>
      <c r="B114" s="2482" t="s">
        <v>136</v>
      </c>
      <c r="C114" s="3773"/>
      <c r="D114" s="1254">
        <f>E114+L114+F114+G114+H114+I114+J114+K114</f>
        <v>477916</v>
      </c>
      <c r="E114" s="1134">
        <v>119520</v>
      </c>
      <c r="F114" s="1673">
        <f>19475-17442</f>
        <v>2033</v>
      </c>
      <c r="G114" s="1673">
        <f>120921+17442</f>
        <v>138363</v>
      </c>
      <c r="H114" s="1673">
        <v>218000</v>
      </c>
      <c r="I114" s="1673"/>
      <c r="J114" s="1673"/>
      <c r="K114" s="1673"/>
      <c r="L114" s="1673">
        <v>0</v>
      </c>
      <c r="M114" s="3700"/>
      <c r="N114" s="4047"/>
    </row>
    <row r="115" spans="1:16" s="264" customFormat="1" ht="13.5" customHeight="1" thickBot="1">
      <c r="A115" s="3988"/>
      <c r="B115" s="2483" t="s">
        <v>17</v>
      </c>
      <c r="C115" s="4049" t="s">
        <v>21</v>
      </c>
      <c r="D115" s="1151">
        <f>D116</f>
        <v>524900</v>
      </c>
      <c r="E115" s="1151">
        <f>E116</f>
        <v>524900</v>
      </c>
      <c r="F115" s="1151">
        <f t="shared" ref="F115:H115" si="66">+F116</f>
        <v>0</v>
      </c>
      <c r="G115" s="1151">
        <f t="shared" si="66"/>
        <v>0</v>
      </c>
      <c r="H115" s="1151">
        <f t="shared" si="66"/>
        <v>0</v>
      </c>
      <c r="I115" s="1151"/>
      <c r="J115" s="1151"/>
      <c r="K115" s="1151"/>
      <c r="L115" s="1151">
        <f>+L116</f>
        <v>0</v>
      </c>
      <c r="M115" s="3700"/>
      <c r="N115" s="4047"/>
    </row>
    <row r="116" spans="1:16" s="264" customFormat="1" ht="13.5" customHeight="1" thickBot="1">
      <c r="A116" s="3988"/>
      <c r="B116" s="2484" t="s">
        <v>33</v>
      </c>
      <c r="C116" s="4051"/>
      <c r="D116" s="1258">
        <f>E116+L116+F116+G116+H116+I116+J116+K116</f>
        <v>524900</v>
      </c>
      <c r="E116" s="1376">
        <v>524900</v>
      </c>
      <c r="F116" s="1376">
        <v>0</v>
      </c>
      <c r="G116" s="1376">
        <v>0</v>
      </c>
      <c r="H116" s="1376">
        <v>0</v>
      </c>
      <c r="I116" s="1376"/>
      <c r="J116" s="1376"/>
      <c r="K116" s="1376"/>
      <c r="L116" s="1376">
        <v>0</v>
      </c>
      <c r="M116" s="3701"/>
      <c r="N116" s="4048"/>
    </row>
    <row r="117" spans="1:16" s="264" customFormat="1" ht="29.25" customHeight="1">
      <c r="A117" s="3980" t="s">
        <v>80</v>
      </c>
      <c r="B117" s="2323" t="s">
        <v>442</v>
      </c>
      <c r="C117" s="2236" t="s">
        <v>72</v>
      </c>
      <c r="D117" s="2451"/>
      <c r="E117" s="1625"/>
      <c r="F117" s="1625"/>
      <c r="G117" s="1625"/>
      <c r="H117" s="1625"/>
      <c r="I117" s="1625"/>
      <c r="J117" s="1625"/>
      <c r="K117" s="2452"/>
      <c r="L117" s="1625"/>
      <c r="M117" s="407"/>
      <c r="N117" s="3992" t="s">
        <v>304</v>
      </c>
    </row>
    <row r="118" spans="1:16" s="264" customFormat="1" ht="13.5" customHeight="1">
      <c r="A118" s="3980"/>
      <c r="B118" s="1251" t="s">
        <v>9</v>
      </c>
      <c r="C118" s="1670"/>
      <c r="D118" s="1166">
        <f>+D119+D122</f>
        <v>4039797</v>
      </c>
      <c r="E118" s="1166">
        <f t="shared" ref="E118" si="67">+E119+E122</f>
        <v>18930</v>
      </c>
      <c r="F118" s="1166">
        <f t="shared" ref="F118" si="68">+F119+F122</f>
        <v>4020867</v>
      </c>
      <c r="G118" s="1166">
        <f>+G119+G122</f>
        <v>0</v>
      </c>
      <c r="H118" s="1166">
        <f>+H119+H122</f>
        <v>0</v>
      </c>
      <c r="I118" s="1166">
        <f t="shared" ref="I118:J118" si="69">+I119+I122</f>
        <v>0</v>
      </c>
      <c r="J118" s="1166">
        <f t="shared" si="69"/>
        <v>0</v>
      </c>
      <c r="K118" s="1166"/>
      <c r="L118" s="1166">
        <f>+L119+L122</f>
        <v>0</v>
      </c>
      <c r="M118" s="1252">
        <f>+M119</f>
        <v>0</v>
      </c>
      <c r="N118" s="3992"/>
    </row>
    <row r="119" spans="1:16" s="264" customFormat="1" ht="12" customHeight="1">
      <c r="A119" s="3980"/>
      <c r="B119" s="1671" t="s">
        <v>22</v>
      </c>
      <c r="C119" s="2638"/>
      <c r="D119" s="1151">
        <f>D121+D120</f>
        <v>1308937</v>
      </c>
      <c r="E119" s="1151">
        <f t="shared" ref="E119" si="70">E121+E120</f>
        <v>7548</v>
      </c>
      <c r="F119" s="1151">
        <f>F121+F120</f>
        <v>1301389</v>
      </c>
      <c r="G119" s="1151">
        <f t="shared" ref="G119:J119" si="71">G121+G120</f>
        <v>0</v>
      </c>
      <c r="H119" s="1151">
        <f t="shared" si="71"/>
        <v>0</v>
      </c>
      <c r="I119" s="1151">
        <f t="shared" si="71"/>
        <v>0</v>
      </c>
      <c r="J119" s="1151">
        <f t="shared" si="71"/>
        <v>0</v>
      </c>
      <c r="K119" s="1151"/>
      <c r="L119" s="1151">
        <f>L121+L120</f>
        <v>0</v>
      </c>
      <c r="M119" s="1123">
        <f>+M121</f>
        <v>0</v>
      </c>
      <c r="N119" s="3992"/>
    </row>
    <row r="120" spans="1:16" s="264" customFormat="1" ht="12">
      <c r="A120" s="3980"/>
      <c r="B120" s="1672" t="s">
        <v>30</v>
      </c>
      <c r="C120" s="2695" t="s">
        <v>21</v>
      </c>
      <c r="D120" s="1113">
        <f>E120+L120+F120+G120+H120+I120+J120+K120</f>
        <v>47672</v>
      </c>
      <c r="E120" s="1134">
        <f>4560+2988</f>
        <v>7548</v>
      </c>
      <c r="F120" s="1673">
        <f>17251+44906-22033</f>
        <v>40124</v>
      </c>
      <c r="G120" s="1673">
        <v>0</v>
      </c>
      <c r="H120" s="1673">
        <v>0</v>
      </c>
      <c r="I120" s="1653"/>
      <c r="J120" s="1653"/>
      <c r="K120" s="1653"/>
      <c r="L120" s="1673">
        <v>0</v>
      </c>
      <c r="M120" s="417" t="s">
        <v>52</v>
      </c>
      <c r="N120" s="3992"/>
    </row>
    <row r="121" spans="1:16" s="264" customFormat="1" ht="12">
      <c r="A121" s="3980"/>
      <c r="B121" s="1674" t="s">
        <v>111</v>
      </c>
      <c r="C121" s="2674" t="s">
        <v>303</v>
      </c>
      <c r="D121" s="1113">
        <f>E121+L121+F121+G121+H121+I121+J121+K121</f>
        <v>1261265</v>
      </c>
      <c r="E121" s="1134">
        <v>0</v>
      </c>
      <c r="F121" s="1675">
        <f>1469763-267251+58753</f>
        <v>1261265</v>
      </c>
      <c r="G121" s="1675"/>
      <c r="H121" s="1675"/>
      <c r="I121" s="1675"/>
      <c r="J121" s="1675"/>
      <c r="K121" s="1675"/>
      <c r="L121" s="1675">
        <f>62454-62454</f>
        <v>0</v>
      </c>
      <c r="M121" s="404">
        <f>SUM(G121:K121)</f>
        <v>0</v>
      </c>
      <c r="N121" s="3992"/>
    </row>
    <row r="122" spans="1:16" s="264" customFormat="1" ht="13.5" customHeight="1">
      <c r="A122" s="3980"/>
      <c r="B122" s="1676" t="s">
        <v>17</v>
      </c>
      <c r="C122" s="3977" t="s">
        <v>21</v>
      </c>
      <c r="D122" s="1236">
        <f>+D123</f>
        <v>2730860</v>
      </c>
      <c r="E122" s="1236">
        <f t="shared" ref="E122:M122" si="72">+E123</f>
        <v>11382</v>
      </c>
      <c r="F122" s="1236">
        <f t="shared" si="72"/>
        <v>2719478</v>
      </c>
      <c r="G122" s="1236">
        <f t="shared" si="72"/>
        <v>0</v>
      </c>
      <c r="H122" s="1236">
        <f t="shared" si="72"/>
        <v>0</v>
      </c>
      <c r="I122" s="1236">
        <f t="shared" si="72"/>
        <v>0</v>
      </c>
      <c r="J122" s="1236">
        <f t="shared" si="72"/>
        <v>0</v>
      </c>
      <c r="K122" s="1658"/>
      <c r="L122" s="1236">
        <f>+L123</f>
        <v>0</v>
      </c>
      <c r="M122" s="1659" t="str">
        <f t="shared" si="72"/>
        <v>x</v>
      </c>
      <c r="N122" s="3992"/>
    </row>
    <row r="123" spans="1:16" s="264" customFormat="1" ht="12">
      <c r="A123" s="3980"/>
      <c r="B123" s="1674" t="s">
        <v>33</v>
      </c>
      <c r="C123" s="3987"/>
      <c r="D123" s="1113">
        <f>E123+L123+F123+G123+H123+I123+J123+K123</f>
        <v>2730860</v>
      </c>
      <c r="E123" s="1254">
        <f>22355-10973</f>
        <v>11382</v>
      </c>
      <c r="F123" s="1254">
        <f>2718650+828</f>
        <v>2719478</v>
      </c>
      <c r="G123" s="1254"/>
      <c r="H123" s="1254"/>
      <c r="I123" s="1660"/>
      <c r="J123" s="1660"/>
      <c r="K123" s="1660"/>
      <c r="L123" s="1254">
        <v>0</v>
      </c>
      <c r="M123" s="1661" t="s">
        <v>52</v>
      </c>
      <c r="N123" s="3992"/>
    </row>
    <row r="124" spans="1:16" s="264" customFormat="1" ht="13.5" customHeight="1">
      <c r="A124" s="3980"/>
      <c r="B124" s="1251" t="s">
        <v>20</v>
      </c>
      <c r="C124" s="1677"/>
      <c r="D124" s="1161">
        <f>D127+D125</f>
        <v>2730860</v>
      </c>
      <c r="E124" s="1161">
        <f t="shared" ref="E124" si="73">E127+E125</f>
        <v>10200</v>
      </c>
      <c r="F124" s="1161">
        <f t="shared" ref="F124" si="74">F127+F125</f>
        <v>2720660</v>
      </c>
      <c r="G124" s="1161">
        <f>G127+G125</f>
        <v>0</v>
      </c>
      <c r="H124" s="1161">
        <f>H127+H125</f>
        <v>0</v>
      </c>
      <c r="I124" s="1161">
        <f t="shared" ref="I124:J124" si="75">I127+I125</f>
        <v>0</v>
      </c>
      <c r="J124" s="1161">
        <f t="shared" si="75"/>
        <v>0</v>
      </c>
      <c r="K124" s="1161"/>
      <c r="L124" s="1161">
        <f>L127+L125</f>
        <v>0</v>
      </c>
      <c r="M124" s="3999" t="s">
        <v>52</v>
      </c>
      <c r="N124" s="3992"/>
    </row>
    <row r="125" spans="1:16" s="264" customFormat="1" ht="13.5" hidden="1" customHeight="1">
      <c r="A125" s="3980"/>
      <c r="B125" s="1255" t="s">
        <v>22</v>
      </c>
      <c r="C125" s="3983" t="s">
        <v>303</v>
      </c>
      <c r="D125" s="1242">
        <f>+D126</f>
        <v>0</v>
      </c>
      <c r="E125" s="1242">
        <f t="shared" ref="E125:J125" si="76">+E126</f>
        <v>0</v>
      </c>
      <c r="F125" s="1242">
        <f t="shared" si="76"/>
        <v>0</v>
      </c>
      <c r="G125" s="1242">
        <f t="shared" si="76"/>
        <v>0</v>
      </c>
      <c r="H125" s="1242">
        <f t="shared" si="76"/>
        <v>0</v>
      </c>
      <c r="I125" s="1242">
        <f t="shared" si="76"/>
        <v>0</v>
      </c>
      <c r="J125" s="1242">
        <f t="shared" si="76"/>
        <v>0</v>
      </c>
      <c r="K125" s="1242"/>
      <c r="L125" s="1242">
        <f>+L126</f>
        <v>0</v>
      </c>
      <c r="M125" s="3996"/>
      <c r="N125" s="3992"/>
    </row>
    <row r="126" spans="1:16" s="264" customFormat="1" ht="12" hidden="1" customHeight="1">
      <c r="A126" s="3980"/>
      <c r="B126" s="1674" t="s">
        <v>128</v>
      </c>
      <c r="C126" s="3984"/>
      <c r="D126" s="1113">
        <f>E126+L126+F126+G126+H126+I126+J126+K126</f>
        <v>0</v>
      </c>
      <c r="E126" s="1675"/>
      <c r="F126" s="1675"/>
      <c r="G126" s="1675"/>
      <c r="H126" s="1675"/>
      <c r="I126" s="1675"/>
      <c r="J126" s="1675"/>
      <c r="K126" s="1675"/>
      <c r="L126" s="1675"/>
      <c r="M126" s="3996"/>
      <c r="N126" s="3992"/>
    </row>
    <row r="127" spans="1:16" s="264" customFormat="1" ht="13.5" customHeight="1">
      <c r="A127" s="3980"/>
      <c r="B127" s="1676" t="s">
        <v>17</v>
      </c>
      <c r="C127" s="3977" t="s">
        <v>21</v>
      </c>
      <c r="D127" s="1236">
        <f>+D128</f>
        <v>2730860</v>
      </c>
      <c r="E127" s="1236">
        <f t="shared" ref="E127:J127" si="77">+E128</f>
        <v>10200</v>
      </c>
      <c r="F127" s="1236">
        <f t="shared" si="77"/>
        <v>2720660</v>
      </c>
      <c r="G127" s="1236">
        <f t="shared" si="77"/>
        <v>0</v>
      </c>
      <c r="H127" s="1236">
        <f t="shared" si="77"/>
        <v>0</v>
      </c>
      <c r="I127" s="1236">
        <f t="shared" si="77"/>
        <v>0</v>
      </c>
      <c r="J127" s="1236">
        <f t="shared" si="77"/>
        <v>0</v>
      </c>
      <c r="K127" s="1236"/>
      <c r="L127" s="1236">
        <f>+L128</f>
        <v>0</v>
      </c>
      <c r="M127" s="3996"/>
      <c r="N127" s="3992"/>
    </row>
    <row r="128" spans="1:16" s="264" customFormat="1" ht="12.75" thickBot="1">
      <c r="A128" s="3981"/>
      <c r="B128" s="1256" t="s">
        <v>33</v>
      </c>
      <c r="C128" s="3978"/>
      <c r="D128" s="1679">
        <f>E128+L128+F128+G128+H128+I128+J128+K128</f>
        <v>2730860</v>
      </c>
      <c r="E128" s="1258">
        <f>22355-12155</f>
        <v>10200</v>
      </c>
      <c r="F128" s="1258">
        <f>2718650+2010</f>
        <v>2720660</v>
      </c>
      <c r="G128" s="1258"/>
      <c r="H128" s="1258"/>
      <c r="I128" s="1258"/>
      <c r="J128" s="1258"/>
      <c r="K128" s="1258"/>
      <c r="L128" s="1258">
        <v>0</v>
      </c>
      <c r="M128" s="3997"/>
      <c r="N128" s="3993"/>
    </row>
    <row r="129" spans="1:14" s="264" customFormat="1" ht="30" customHeight="1">
      <c r="A129" s="3979" t="s">
        <v>81</v>
      </c>
      <c r="B129" s="415" t="s">
        <v>347</v>
      </c>
      <c r="C129" s="2232" t="s">
        <v>72</v>
      </c>
      <c r="D129" s="2233"/>
      <c r="E129" s="326"/>
      <c r="F129" s="326"/>
      <c r="G129" s="326"/>
      <c r="H129" s="326"/>
      <c r="I129" s="326"/>
      <c r="J129" s="326"/>
      <c r="K129" s="1109"/>
      <c r="L129" s="326"/>
      <c r="M129" s="424"/>
      <c r="N129" s="3991" t="s">
        <v>304</v>
      </c>
    </row>
    <row r="130" spans="1:14" s="264" customFormat="1" ht="12">
      <c r="A130" s="3980"/>
      <c r="B130" s="1251" t="s">
        <v>9</v>
      </c>
      <c r="C130" s="1670"/>
      <c r="D130" s="1166">
        <f>+D131+D134</f>
        <v>300000</v>
      </c>
      <c r="E130" s="1166">
        <f t="shared" ref="E130" si="78">+E131+E134</f>
        <v>16000</v>
      </c>
      <c r="F130" s="1166">
        <f t="shared" ref="F130" si="79">+F131+F134</f>
        <v>284000</v>
      </c>
      <c r="G130" s="1166">
        <f>+G131+G134</f>
        <v>0</v>
      </c>
      <c r="H130" s="1166">
        <f>+H131+H134</f>
        <v>0</v>
      </c>
      <c r="I130" s="1166">
        <f t="shared" ref="I130:J130" si="80">+I131+I134</f>
        <v>0</v>
      </c>
      <c r="J130" s="1166">
        <f t="shared" si="80"/>
        <v>0</v>
      </c>
      <c r="K130" s="1166"/>
      <c r="L130" s="1166">
        <f>+L131+L134</f>
        <v>0</v>
      </c>
      <c r="M130" s="1252">
        <f>+M131</f>
        <v>0</v>
      </c>
      <c r="N130" s="3992"/>
    </row>
    <row r="131" spans="1:14" s="264" customFormat="1" ht="12">
      <c r="A131" s="3980"/>
      <c r="B131" s="1671" t="s">
        <v>22</v>
      </c>
      <c r="C131" s="3983" t="s">
        <v>303</v>
      </c>
      <c r="D131" s="1151">
        <f>D133+D132</f>
        <v>300000</v>
      </c>
      <c r="E131" s="1151">
        <f t="shared" ref="E131" si="81">E133+E132</f>
        <v>16000</v>
      </c>
      <c r="F131" s="1151">
        <f t="shared" ref="F131:J131" si="82">F133+F132</f>
        <v>284000</v>
      </c>
      <c r="G131" s="1151">
        <f t="shared" si="82"/>
        <v>0</v>
      </c>
      <c r="H131" s="1151">
        <f t="shared" si="82"/>
        <v>0</v>
      </c>
      <c r="I131" s="1151">
        <f t="shared" si="82"/>
        <v>0</v>
      </c>
      <c r="J131" s="1151">
        <f t="shared" si="82"/>
        <v>0</v>
      </c>
      <c r="K131" s="1151"/>
      <c r="L131" s="1151">
        <v>0</v>
      </c>
      <c r="M131" s="1123">
        <f>+M133</f>
        <v>0</v>
      </c>
      <c r="N131" s="3992"/>
    </row>
    <row r="132" spans="1:14" s="264" customFormat="1" ht="13.5" hidden="1" customHeight="1">
      <c r="A132" s="3980"/>
      <c r="B132" s="1672" t="s">
        <v>30</v>
      </c>
      <c r="C132" s="3984"/>
      <c r="D132" s="724">
        <f>E132+L132+F132+G132+H132+I132+J132+K132</f>
        <v>0</v>
      </c>
      <c r="E132" s="1673">
        <v>0</v>
      </c>
      <c r="F132" s="1673">
        <v>0</v>
      </c>
      <c r="G132" s="1673">
        <v>0</v>
      </c>
      <c r="H132" s="1673">
        <v>0</v>
      </c>
      <c r="I132" s="1653"/>
      <c r="J132" s="1653"/>
      <c r="K132" s="1653"/>
      <c r="L132" s="1673">
        <v>0</v>
      </c>
      <c r="M132" s="417" t="s">
        <v>52</v>
      </c>
      <c r="N132" s="3992"/>
    </row>
    <row r="133" spans="1:14" s="264" customFormat="1" ht="13.5" customHeight="1" thickBot="1">
      <c r="A133" s="3980"/>
      <c r="B133" s="1674" t="s">
        <v>111</v>
      </c>
      <c r="C133" s="4005"/>
      <c r="D133" s="724">
        <f>E133+L133+F133+G133+H133+I133+J133+K133</f>
        <v>300000</v>
      </c>
      <c r="E133" s="1707">
        <f>50000-34000</f>
        <v>16000</v>
      </c>
      <c r="F133" s="1707">
        <f>250000+34000</f>
        <v>284000</v>
      </c>
      <c r="G133" s="1707"/>
      <c r="H133" s="1707"/>
      <c r="I133" s="1707"/>
      <c r="J133" s="1707"/>
      <c r="K133" s="1707"/>
      <c r="L133" s="1707">
        <v>0</v>
      </c>
      <c r="M133" s="404">
        <f>SUM(G133:K133)</f>
        <v>0</v>
      </c>
      <c r="N133" s="3992"/>
    </row>
    <row r="134" spans="1:14" s="264" customFormat="1" ht="13.5" hidden="1" customHeight="1">
      <c r="A134" s="3980"/>
      <c r="B134" s="1676" t="s">
        <v>17</v>
      </c>
      <c r="C134" s="3977" t="s">
        <v>21</v>
      </c>
      <c r="D134" s="1236">
        <f>+D135</f>
        <v>0</v>
      </c>
      <c r="E134" s="2845">
        <f t="shared" ref="E134:M134" si="83">+E135</f>
        <v>0</v>
      </c>
      <c r="F134" s="1658">
        <f t="shared" si="83"/>
        <v>0</v>
      </c>
      <c r="G134" s="1658">
        <f t="shared" si="83"/>
        <v>0</v>
      </c>
      <c r="H134" s="1658">
        <f t="shared" si="83"/>
        <v>0</v>
      </c>
      <c r="I134" s="1658">
        <f t="shared" si="83"/>
        <v>0</v>
      </c>
      <c r="J134" s="1658">
        <f t="shared" si="83"/>
        <v>0</v>
      </c>
      <c r="K134" s="1658"/>
      <c r="L134" s="1658">
        <f>+L135</f>
        <v>0</v>
      </c>
      <c r="M134" s="1659" t="str">
        <f t="shared" si="83"/>
        <v>x</v>
      </c>
      <c r="N134" s="3992"/>
    </row>
    <row r="135" spans="1:14" s="264" customFormat="1" ht="13.5" hidden="1" customHeight="1">
      <c r="A135" s="3980"/>
      <c r="B135" s="1674" t="s">
        <v>33</v>
      </c>
      <c r="C135" s="3987"/>
      <c r="D135" s="724">
        <f>E135+L135+F135+G135+H135+I135+J135+K135</f>
        <v>0</v>
      </c>
      <c r="E135" s="1694"/>
      <c r="F135" s="1254">
        <v>0</v>
      </c>
      <c r="G135" s="1254"/>
      <c r="H135" s="1254"/>
      <c r="I135" s="1660"/>
      <c r="J135" s="1660"/>
      <c r="K135" s="1660"/>
      <c r="L135" s="1254">
        <v>0</v>
      </c>
      <c r="M135" s="1661" t="s">
        <v>52</v>
      </c>
      <c r="N135" s="3992"/>
    </row>
    <row r="136" spans="1:14" s="264" customFormat="1" ht="13.5" hidden="1" customHeight="1">
      <c r="A136" s="3980"/>
      <c r="B136" s="1251" t="s">
        <v>20</v>
      </c>
      <c r="C136" s="1677"/>
      <c r="D136" s="1161">
        <f>D139+D137</f>
        <v>0</v>
      </c>
      <c r="E136" s="1678">
        <f>E139+E137</f>
        <v>0</v>
      </c>
      <c r="F136" s="1161">
        <f t="shared" ref="F136" si="84">F139+F137</f>
        <v>0</v>
      </c>
      <c r="G136" s="1161">
        <f>G139+G137</f>
        <v>0</v>
      </c>
      <c r="H136" s="1161">
        <f>H139+H137</f>
        <v>0</v>
      </c>
      <c r="I136" s="1161">
        <f t="shared" ref="I136:J136" si="85">I139+I137</f>
        <v>0</v>
      </c>
      <c r="J136" s="1161">
        <f t="shared" si="85"/>
        <v>0</v>
      </c>
      <c r="K136" s="1161"/>
      <c r="L136" s="1161">
        <f>L139+L137</f>
        <v>0</v>
      </c>
      <c r="M136" s="3999" t="s">
        <v>52</v>
      </c>
      <c r="N136" s="3992"/>
    </row>
    <row r="137" spans="1:14" s="264" customFormat="1" ht="13.5" hidden="1" customHeight="1">
      <c r="A137" s="3980"/>
      <c r="B137" s="1255" t="s">
        <v>22</v>
      </c>
      <c r="C137" s="3983" t="s">
        <v>303</v>
      </c>
      <c r="D137" s="1242">
        <f>+D138</f>
        <v>0</v>
      </c>
      <c r="E137" s="1708">
        <f t="shared" ref="E137:J137" si="86">+E138</f>
        <v>0</v>
      </c>
      <c r="F137" s="1242">
        <f t="shared" si="86"/>
        <v>0</v>
      </c>
      <c r="G137" s="1242">
        <f t="shared" si="86"/>
        <v>0</v>
      </c>
      <c r="H137" s="1242">
        <f t="shared" si="86"/>
        <v>0</v>
      </c>
      <c r="I137" s="1242">
        <f t="shared" si="86"/>
        <v>0</v>
      </c>
      <c r="J137" s="1242">
        <f t="shared" si="86"/>
        <v>0</v>
      </c>
      <c r="K137" s="1242"/>
      <c r="L137" s="1242">
        <f>+L138</f>
        <v>0</v>
      </c>
      <c r="M137" s="3996"/>
      <c r="N137" s="3992"/>
    </row>
    <row r="138" spans="1:14" s="264" customFormat="1" ht="13.5" hidden="1" customHeight="1">
      <c r="A138" s="3980"/>
      <c r="B138" s="1674" t="s">
        <v>128</v>
      </c>
      <c r="C138" s="3984"/>
      <c r="D138" s="724">
        <f>E138+L138+F138+G138+H138+I138+J138+K138</f>
        <v>0</v>
      </c>
      <c r="E138" s="1694"/>
      <c r="F138" s="1675"/>
      <c r="G138" s="1675"/>
      <c r="H138" s="1675"/>
      <c r="I138" s="1675"/>
      <c r="J138" s="1675"/>
      <c r="K138" s="1675"/>
      <c r="L138" s="1675"/>
      <c r="M138" s="3996"/>
      <c r="N138" s="3992"/>
    </row>
    <row r="139" spans="1:14" s="264" customFormat="1" ht="13.5" hidden="1" customHeight="1">
      <c r="A139" s="3980"/>
      <c r="B139" s="1676" t="s">
        <v>17</v>
      </c>
      <c r="C139" s="3977" t="s">
        <v>21</v>
      </c>
      <c r="D139" s="1236">
        <f>+D140</f>
        <v>0</v>
      </c>
      <c r="E139" s="2845">
        <f t="shared" ref="E139:J139" si="87">+E140</f>
        <v>0</v>
      </c>
      <c r="F139" s="1236">
        <f t="shared" si="87"/>
        <v>0</v>
      </c>
      <c r="G139" s="1236">
        <f t="shared" si="87"/>
        <v>0</v>
      </c>
      <c r="H139" s="1236">
        <f t="shared" si="87"/>
        <v>0</v>
      </c>
      <c r="I139" s="1236">
        <f t="shared" si="87"/>
        <v>0</v>
      </c>
      <c r="J139" s="1236">
        <f t="shared" si="87"/>
        <v>0</v>
      </c>
      <c r="K139" s="1236"/>
      <c r="L139" s="1236">
        <f>+L140</f>
        <v>0</v>
      </c>
      <c r="M139" s="3996"/>
      <c r="N139" s="3992"/>
    </row>
    <row r="140" spans="1:14" s="264" customFormat="1" ht="13.5" hidden="1" customHeight="1" thickBot="1">
      <c r="A140" s="3981"/>
      <c r="B140" s="1256" t="s">
        <v>33</v>
      </c>
      <c r="C140" s="3978"/>
      <c r="D140" s="1679">
        <f>E140+L140+F140+G140+H140+I140+J140+K140</f>
        <v>0</v>
      </c>
      <c r="E140" s="1680"/>
      <c r="F140" s="1258">
        <v>0</v>
      </c>
      <c r="G140" s="1258"/>
      <c r="H140" s="1258"/>
      <c r="I140" s="1258"/>
      <c r="J140" s="1258"/>
      <c r="K140" s="1258"/>
      <c r="L140" s="1258">
        <v>0</v>
      </c>
      <c r="M140" s="3997"/>
      <c r="N140" s="3993"/>
    </row>
    <row r="141" spans="1:14" s="264" customFormat="1" ht="39.75" customHeight="1">
      <c r="A141" s="3979" t="s">
        <v>82</v>
      </c>
      <c r="B141" s="415" t="s">
        <v>418</v>
      </c>
      <c r="C141" s="2232" t="s">
        <v>72</v>
      </c>
      <c r="D141" s="2233"/>
      <c r="E141" s="326"/>
      <c r="F141" s="326"/>
      <c r="G141" s="326"/>
      <c r="H141" s="326"/>
      <c r="I141" s="326"/>
      <c r="J141" s="326"/>
      <c r="K141" s="1109"/>
      <c r="L141" s="326"/>
      <c r="M141" s="424"/>
      <c r="N141" s="3991" t="s">
        <v>381</v>
      </c>
    </row>
    <row r="142" spans="1:14" s="264" customFormat="1" ht="13.5" customHeight="1">
      <c r="A142" s="3980"/>
      <c r="B142" s="1251" t="s">
        <v>9</v>
      </c>
      <c r="C142" s="1670"/>
      <c r="D142" s="1166">
        <f>+D143+D147</f>
        <v>3503619</v>
      </c>
      <c r="E142" s="1166">
        <f t="shared" ref="E142" si="88">+E143+E147</f>
        <v>41820</v>
      </c>
      <c r="F142" s="1166">
        <f t="shared" ref="F142" si="89">+F143+F147</f>
        <v>343853</v>
      </c>
      <c r="G142" s="1166">
        <f>+G143+G147</f>
        <v>3117946</v>
      </c>
      <c r="H142" s="1166">
        <f>+H143+H147</f>
        <v>0</v>
      </c>
      <c r="I142" s="1166">
        <f t="shared" ref="I142:J142" si="90">+I143+I147</f>
        <v>0</v>
      </c>
      <c r="J142" s="1166">
        <f t="shared" si="90"/>
        <v>0</v>
      </c>
      <c r="K142" s="1166"/>
      <c r="L142" s="1166">
        <f>+L143+L147</f>
        <v>0</v>
      </c>
      <c r="M142" s="1252">
        <f>+M143</f>
        <v>564846</v>
      </c>
      <c r="N142" s="3992"/>
    </row>
    <row r="143" spans="1:14" s="264" customFormat="1" ht="13.5" customHeight="1">
      <c r="A143" s="3980"/>
      <c r="B143" s="1671" t="s">
        <v>22</v>
      </c>
      <c r="C143" s="2638"/>
      <c r="D143" s="1151">
        <f>D145+D144+D146</f>
        <v>1052313</v>
      </c>
      <c r="E143" s="1151">
        <f t="shared" ref="E143" si="91">E145+E144+E146</f>
        <v>17170</v>
      </c>
      <c r="F143" s="1151">
        <f t="shared" ref="F143:K143" si="92">F145+F144+F146</f>
        <v>87332</v>
      </c>
      <c r="G143" s="1151">
        <f t="shared" si="92"/>
        <v>947811</v>
      </c>
      <c r="H143" s="1151">
        <f t="shared" si="92"/>
        <v>0</v>
      </c>
      <c r="I143" s="1151">
        <f t="shared" si="92"/>
        <v>0</v>
      </c>
      <c r="J143" s="1151">
        <f t="shared" si="92"/>
        <v>0</v>
      </c>
      <c r="K143" s="1151">
        <f t="shared" si="92"/>
        <v>0</v>
      </c>
      <c r="L143" s="1151">
        <f>L145+L144+L146</f>
        <v>0</v>
      </c>
      <c r="M143" s="1123">
        <f>+M145</f>
        <v>564846</v>
      </c>
      <c r="N143" s="3992"/>
    </row>
    <row r="144" spans="1:14" s="264" customFormat="1" ht="12">
      <c r="A144" s="3980"/>
      <c r="B144" s="1672" t="s">
        <v>30</v>
      </c>
      <c r="C144" s="2695" t="s">
        <v>21</v>
      </c>
      <c r="D144" s="1113">
        <f>E144+L144+F144+G144+H144+I144+J144+K144</f>
        <v>12820</v>
      </c>
      <c r="E144" s="1673">
        <v>12820</v>
      </c>
      <c r="F144" s="1673">
        <v>0</v>
      </c>
      <c r="G144" s="1673">
        <v>0</v>
      </c>
      <c r="H144" s="1673">
        <v>0</v>
      </c>
      <c r="I144" s="1653"/>
      <c r="J144" s="1653"/>
      <c r="K144" s="1653"/>
      <c r="L144" s="1673"/>
      <c r="M144" s="417" t="s">
        <v>52</v>
      </c>
      <c r="N144" s="3992"/>
    </row>
    <row r="145" spans="1:75" s="264" customFormat="1" ht="12">
      <c r="A145" s="3980"/>
      <c r="B145" s="1674" t="s">
        <v>111</v>
      </c>
      <c r="C145" s="2674" t="s">
        <v>149</v>
      </c>
      <c r="D145" s="1113">
        <f>E145+L145+F145+G145+H145+I145+J145+K145</f>
        <v>606910</v>
      </c>
      <c r="E145" s="1675">
        <v>0</v>
      </c>
      <c r="F145" s="1675">
        <f>308599-92006-174529</f>
        <v>42064</v>
      </c>
      <c r="G145" s="1675">
        <f>298311+92006+174529</f>
        <v>564846</v>
      </c>
      <c r="H145" s="1675"/>
      <c r="I145" s="1675"/>
      <c r="J145" s="1675"/>
      <c r="K145" s="1675"/>
      <c r="L145" s="1675">
        <v>0</v>
      </c>
      <c r="M145" s="404">
        <f>SUM(G145:K145)</f>
        <v>564846</v>
      </c>
      <c r="N145" s="3992"/>
    </row>
    <row r="146" spans="1:75" s="264" customFormat="1" ht="12.75" customHeight="1">
      <c r="A146" s="3980"/>
      <c r="B146" s="1674" t="s">
        <v>378</v>
      </c>
      <c r="C146" s="3977" t="s">
        <v>21</v>
      </c>
      <c r="D146" s="1113">
        <f>E146+L146+F146+G146+H146+I146+J146+K146</f>
        <v>432583</v>
      </c>
      <c r="E146" s="1675">
        <v>4350</v>
      </c>
      <c r="F146" s="1675">
        <f>222704-64948-112488</f>
        <v>45268</v>
      </c>
      <c r="G146" s="1675">
        <f>205529+64948+112488</f>
        <v>382965</v>
      </c>
      <c r="H146" s="1675"/>
      <c r="I146" s="1675"/>
      <c r="J146" s="1675"/>
      <c r="K146" s="1681"/>
      <c r="L146" s="1675"/>
      <c r="M146" s="1682"/>
      <c r="N146" s="3992"/>
    </row>
    <row r="147" spans="1:75" s="264" customFormat="1" ht="13.5" customHeight="1">
      <c r="A147" s="3980"/>
      <c r="B147" s="1676" t="s">
        <v>17</v>
      </c>
      <c r="C147" s="3985"/>
      <c r="D147" s="1236">
        <f>+D148</f>
        <v>2451306</v>
      </c>
      <c r="E147" s="1236">
        <f t="shared" ref="E147:M147" si="93">+E148</f>
        <v>24650</v>
      </c>
      <c r="F147" s="1236">
        <f t="shared" si="93"/>
        <v>256521</v>
      </c>
      <c r="G147" s="1236">
        <f t="shared" si="93"/>
        <v>2170135</v>
      </c>
      <c r="H147" s="1236">
        <f t="shared" si="93"/>
        <v>0</v>
      </c>
      <c r="I147" s="1236">
        <f t="shared" si="93"/>
        <v>0</v>
      </c>
      <c r="J147" s="1236">
        <f t="shared" si="93"/>
        <v>0</v>
      </c>
      <c r="K147" s="1658"/>
      <c r="L147" s="1236">
        <f>+L148</f>
        <v>0</v>
      </c>
      <c r="M147" s="1659" t="str">
        <f t="shared" si="93"/>
        <v>x</v>
      </c>
      <c r="N147" s="3992"/>
    </row>
    <row r="148" spans="1:75" s="264" customFormat="1" ht="13.5" customHeight="1">
      <c r="A148" s="3980"/>
      <c r="B148" s="1674" t="s">
        <v>33</v>
      </c>
      <c r="C148" s="3987"/>
      <c r="D148" s="1113">
        <f>E148+L148+F148+G148+H148+I148+J148+K148</f>
        <v>2451306</v>
      </c>
      <c r="E148" s="1254">
        <v>24650</v>
      </c>
      <c r="F148" s="1254">
        <f>1261991-368039-637431</f>
        <v>256521</v>
      </c>
      <c r="G148" s="1254">
        <f>1164665+368039+637431</f>
        <v>2170135</v>
      </c>
      <c r="H148" s="1254"/>
      <c r="I148" s="1660"/>
      <c r="J148" s="1660"/>
      <c r="K148" s="1660"/>
      <c r="L148" s="1254"/>
      <c r="M148" s="1661" t="s">
        <v>52</v>
      </c>
      <c r="N148" s="3992"/>
    </row>
    <row r="149" spans="1:75" s="264" customFormat="1" ht="13.5" customHeight="1">
      <c r="A149" s="3980"/>
      <c r="B149" s="1251" t="s">
        <v>20</v>
      </c>
      <c r="C149" s="1677"/>
      <c r="D149" s="1161">
        <f>D153+D150</f>
        <v>3490799</v>
      </c>
      <c r="E149" s="1161">
        <f t="shared" ref="E149:F149" si="94">E153+E150</f>
        <v>0</v>
      </c>
      <c r="F149" s="1161">
        <f t="shared" si="94"/>
        <v>261593</v>
      </c>
      <c r="G149" s="1161">
        <f>G153+G150</f>
        <v>3229206</v>
      </c>
      <c r="H149" s="1161">
        <f>H153+H150</f>
        <v>0</v>
      </c>
      <c r="I149" s="1161">
        <f t="shared" ref="I149:J149" si="95">I153+I150</f>
        <v>0</v>
      </c>
      <c r="J149" s="1161">
        <f t="shared" si="95"/>
        <v>0</v>
      </c>
      <c r="K149" s="1161"/>
      <c r="L149" s="1161">
        <f>L153+L150</f>
        <v>0</v>
      </c>
      <c r="M149" s="3999" t="s">
        <v>52</v>
      </c>
      <c r="N149" s="3992"/>
    </row>
    <row r="150" spans="1:75" s="264" customFormat="1" ht="13.5" customHeight="1">
      <c r="A150" s="3980"/>
      <c r="B150" s="1255" t="s">
        <v>22</v>
      </c>
      <c r="C150" s="3983" t="s">
        <v>149</v>
      </c>
      <c r="D150" s="1242">
        <f>+D151+D152</f>
        <v>1039493</v>
      </c>
      <c r="E150" s="1242">
        <f t="shared" ref="E150:J150" si="96">+E151+E152</f>
        <v>0</v>
      </c>
      <c r="F150" s="1242">
        <f t="shared" si="96"/>
        <v>56012</v>
      </c>
      <c r="G150" s="1242">
        <f t="shared" si="96"/>
        <v>983481</v>
      </c>
      <c r="H150" s="1242">
        <f t="shared" si="96"/>
        <v>0</v>
      </c>
      <c r="I150" s="1242">
        <f t="shared" si="96"/>
        <v>0</v>
      </c>
      <c r="J150" s="1242">
        <f t="shared" si="96"/>
        <v>0</v>
      </c>
      <c r="K150" s="1242"/>
      <c r="L150" s="1242">
        <f>+L151+L152</f>
        <v>0</v>
      </c>
      <c r="M150" s="3996"/>
      <c r="N150" s="3992"/>
    </row>
    <row r="151" spans="1:75" s="264" customFormat="1" ht="12">
      <c r="A151" s="3980"/>
      <c r="B151" s="1674" t="s">
        <v>136</v>
      </c>
      <c r="C151" s="4005"/>
      <c r="D151" s="1113">
        <f>E151+L151+F151+G151+H151+I151+J151+K151</f>
        <v>606910</v>
      </c>
      <c r="E151" s="1134">
        <v>0</v>
      </c>
      <c r="F151" s="1675">
        <f>308599-173062-115804</f>
        <v>19733</v>
      </c>
      <c r="G151" s="1675">
        <f>298311+173062+115804</f>
        <v>587177</v>
      </c>
      <c r="H151" s="1675"/>
      <c r="I151" s="1675"/>
      <c r="J151" s="1675"/>
      <c r="K151" s="1675"/>
      <c r="L151" s="1675"/>
      <c r="M151" s="3996"/>
      <c r="N151" s="3992"/>
    </row>
    <row r="152" spans="1:75" s="264" customFormat="1" ht="12">
      <c r="A152" s="3980"/>
      <c r="B152" s="1674" t="s">
        <v>378</v>
      </c>
      <c r="C152" s="3985" t="s">
        <v>21</v>
      </c>
      <c r="D152" s="1113">
        <f>E152+L152+F152+G152+H152+I152+J152+K152</f>
        <v>432583</v>
      </c>
      <c r="E152" s="1134"/>
      <c r="F152" s="1675">
        <f>227054-70304-120471</f>
        <v>36279</v>
      </c>
      <c r="G152" s="1675">
        <f>205529+70304+120471</f>
        <v>396304</v>
      </c>
      <c r="H152" s="1675"/>
      <c r="I152" s="1675"/>
      <c r="J152" s="1675"/>
      <c r="K152" s="1675"/>
      <c r="L152" s="1675"/>
      <c r="M152" s="3996"/>
      <c r="N152" s="3992"/>
    </row>
    <row r="153" spans="1:75" ht="14.25" customHeight="1">
      <c r="A153" s="3980"/>
      <c r="B153" s="1676" t="s">
        <v>17</v>
      </c>
      <c r="C153" s="3985"/>
      <c r="D153" s="1236">
        <f>+D154</f>
        <v>2451306</v>
      </c>
      <c r="E153" s="1236">
        <f t="shared" ref="E153:J153" si="97">+E154</f>
        <v>0</v>
      </c>
      <c r="F153" s="1236">
        <f t="shared" si="97"/>
        <v>205581</v>
      </c>
      <c r="G153" s="1236">
        <f t="shared" si="97"/>
        <v>2245725</v>
      </c>
      <c r="H153" s="1236">
        <f t="shared" si="97"/>
        <v>0</v>
      </c>
      <c r="I153" s="1236">
        <f t="shared" si="97"/>
        <v>0</v>
      </c>
      <c r="J153" s="1236">
        <f t="shared" si="97"/>
        <v>0</v>
      </c>
      <c r="K153" s="1236"/>
      <c r="L153" s="1236">
        <f>+L154</f>
        <v>0</v>
      </c>
      <c r="M153" s="3996"/>
      <c r="N153" s="3992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  <c r="AH153" s="264"/>
      <c r="AI153" s="264"/>
      <c r="AJ153" s="264"/>
      <c r="AK153" s="264"/>
      <c r="AL153" s="264"/>
      <c r="AM153" s="264"/>
      <c r="AN153" s="264"/>
      <c r="AO153" s="264"/>
      <c r="AP153" s="264"/>
      <c r="AQ153" s="264"/>
      <c r="AR153" s="264"/>
      <c r="AS153" s="264"/>
      <c r="AT153" s="264"/>
      <c r="AU153" s="264"/>
      <c r="AV153" s="264"/>
      <c r="AW153" s="264"/>
      <c r="AX153" s="264"/>
      <c r="AY153" s="264"/>
      <c r="AZ153" s="264"/>
      <c r="BA153" s="264"/>
      <c r="BB153" s="264"/>
      <c r="BC153" s="264"/>
      <c r="BD153" s="264"/>
      <c r="BE153" s="264"/>
      <c r="BF153" s="264"/>
      <c r="BG153" s="264"/>
      <c r="BH153" s="264"/>
      <c r="BI153" s="264"/>
      <c r="BJ153" s="264"/>
      <c r="BK153" s="264"/>
      <c r="BL153" s="264"/>
      <c r="BM153" s="264"/>
      <c r="BN153" s="264"/>
      <c r="BO153" s="264"/>
      <c r="BP153" s="264"/>
      <c r="BQ153" s="264"/>
      <c r="BR153" s="264"/>
      <c r="BS153" s="264"/>
      <c r="BT153" s="264"/>
      <c r="BU153" s="264"/>
      <c r="BV153" s="264"/>
      <c r="BW153" s="264"/>
    </row>
    <row r="154" spans="1:75" ht="13.5" customHeight="1" thickBot="1">
      <c r="A154" s="3981"/>
      <c r="B154" s="1256" t="s">
        <v>33</v>
      </c>
      <c r="C154" s="3978"/>
      <c r="D154" s="1405">
        <f>E154+L154+F154+G154+H154+I154+J154+K154</f>
        <v>2451306</v>
      </c>
      <c r="E154" s="1376">
        <v>0</v>
      </c>
      <c r="F154" s="1258">
        <f>1286641-398390-682670</f>
        <v>205581</v>
      </c>
      <c r="G154" s="1258">
        <f>1164665+398390+682670</f>
        <v>2245725</v>
      </c>
      <c r="H154" s="1258"/>
      <c r="I154" s="1258"/>
      <c r="J154" s="1258"/>
      <c r="K154" s="1258"/>
      <c r="L154" s="1258">
        <v>0</v>
      </c>
      <c r="M154" s="3997"/>
      <c r="N154" s="3993"/>
    </row>
    <row r="155" spans="1:75" ht="28.5" customHeight="1">
      <c r="A155" s="3979" t="s">
        <v>83</v>
      </c>
      <c r="B155" s="415" t="s">
        <v>466</v>
      </c>
      <c r="C155" s="2232" t="s">
        <v>99</v>
      </c>
      <c r="D155" s="2233"/>
      <c r="E155" s="326"/>
      <c r="F155" s="326"/>
      <c r="G155" s="326"/>
      <c r="H155" s="326"/>
      <c r="I155" s="326"/>
      <c r="J155" s="326"/>
      <c r="K155" s="1109"/>
      <c r="L155" s="326"/>
      <c r="M155" s="407"/>
      <c r="N155" s="3991" t="s">
        <v>148</v>
      </c>
    </row>
    <row r="156" spans="1:75" ht="14.25" customHeight="1">
      <c r="A156" s="3980"/>
      <c r="B156" s="1251" t="s">
        <v>9</v>
      </c>
      <c r="C156" s="1670"/>
      <c r="D156" s="1166">
        <f>+D157+D160</f>
        <v>5273902</v>
      </c>
      <c r="E156" s="1166">
        <f t="shared" ref="E156:F156" si="98">+E157+E160</f>
        <v>7255</v>
      </c>
      <c r="F156" s="1166">
        <f t="shared" si="98"/>
        <v>1388715</v>
      </c>
      <c r="G156" s="1166">
        <f>+G157+G160</f>
        <v>2671444</v>
      </c>
      <c r="H156" s="1166">
        <f>+H157+H160</f>
        <v>1206488</v>
      </c>
      <c r="I156" s="1166">
        <f t="shared" ref="I156:J156" si="99">+I157+I160</f>
        <v>0</v>
      </c>
      <c r="J156" s="1166">
        <f t="shared" si="99"/>
        <v>0</v>
      </c>
      <c r="K156" s="1166"/>
      <c r="L156" s="1166">
        <f>+L157+L160</f>
        <v>0</v>
      </c>
      <c r="M156" s="1252">
        <f>+M157</f>
        <v>1102528</v>
      </c>
      <c r="N156" s="3992"/>
    </row>
    <row r="157" spans="1:75" ht="12" customHeight="1">
      <c r="A157" s="3980"/>
      <c r="B157" s="1671" t="s">
        <v>22</v>
      </c>
      <c r="C157" s="2638"/>
      <c r="D157" s="1151">
        <f>D159+D158</f>
        <v>1480405</v>
      </c>
      <c r="E157" s="1151">
        <f t="shared" ref="E157:J157" si="100">E159+E158</f>
        <v>7255</v>
      </c>
      <c r="F157" s="1151">
        <f t="shared" si="100"/>
        <v>370622</v>
      </c>
      <c r="G157" s="1151">
        <f t="shared" si="100"/>
        <v>778267</v>
      </c>
      <c r="H157" s="1151">
        <f t="shared" si="100"/>
        <v>324261</v>
      </c>
      <c r="I157" s="1151">
        <f t="shared" si="100"/>
        <v>0</v>
      </c>
      <c r="J157" s="1151">
        <f t="shared" si="100"/>
        <v>0</v>
      </c>
      <c r="K157" s="1151"/>
      <c r="L157" s="1151">
        <f>L159+L158</f>
        <v>0</v>
      </c>
      <c r="M157" s="1123">
        <f>+M159</f>
        <v>1102528</v>
      </c>
      <c r="N157" s="3992"/>
    </row>
    <row r="158" spans="1:75" ht="12" customHeight="1">
      <c r="A158" s="3980"/>
      <c r="B158" s="1672" t="s">
        <v>30</v>
      </c>
      <c r="C158" s="2696" t="s">
        <v>21</v>
      </c>
      <c r="D158" s="1113">
        <f>E158+L158+F158+G158+H158+I158+J158+K158</f>
        <v>7255</v>
      </c>
      <c r="E158" s="1134">
        <f>2279+3776+1200</f>
        <v>7255</v>
      </c>
      <c r="F158" s="1673">
        <v>0</v>
      </c>
      <c r="G158" s="1673">
        <v>0</v>
      </c>
      <c r="H158" s="1673">
        <v>0</v>
      </c>
      <c r="I158" s="1653"/>
      <c r="J158" s="1653"/>
      <c r="K158" s="1653"/>
      <c r="L158" s="1673">
        <v>0</v>
      </c>
      <c r="M158" s="417" t="s">
        <v>52</v>
      </c>
      <c r="N158" s="3992"/>
    </row>
    <row r="159" spans="1:75" ht="14.25" customHeight="1">
      <c r="A159" s="3980"/>
      <c r="B159" s="1674" t="s">
        <v>111</v>
      </c>
      <c r="C159" s="2639" t="s">
        <v>149</v>
      </c>
      <c r="D159" s="1113">
        <f>E159+L159+F159+G159+H159+I159+J159+K159</f>
        <v>1473150</v>
      </c>
      <c r="E159" s="1134"/>
      <c r="F159" s="1675">
        <f>453927-83305</f>
        <v>370622</v>
      </c>
      <c r="G159" s="1675">
        <f>614097+164170</f>
        <v>778267</v>
      </c>
      <c r="H159" s="1675">
        <f>278912+45349</f>
        <v>324261</v>
      </c>
      <c r="I159" s="1675"/>
      <c r="J159" s="1675"/>
      <c r="K159" s="1675"/>
      <c r="L159" s="1675">
        <v>0</v>
      </c>
      <c r="M159" s="404">
        <f>SUM(G159:K159)</f>
        <v>1102528</v>
      </c>
      <c r="N159" s="3992"/>
    </row>
    <row r="160" spans="1:75" ht="12">
      <c r="A160" s="3980"/>
      <c r="B160" s="1676" t="s">
        <v>17</v>
      </c>
      <c r="C160" s="3977" t="s">
        <v>21</v>
      </c>
      <c r="D160" s="1236">
        <f>+D161</f>
        <v>3793497</v>
      </c>
      <c r="E160" s="1236">
        <f t="shared" ref="E160:M160" si="101">+E161</f>
        <v>0</v>
      </c>
      <c r="F160" s="1236">
        <f t="shared" si="101"/>
        <v>1018093</v>
      </c>
      <c r="G160" s="1236">
        <f t="shared" si="101"/>
        <v>1893177</v>
      </c>
      <c r="H160" s="1236">
        <f t="shared" si="101"/>
        <v>882227</v>
      </c>
      <c r="I160" s="1236">
        <f t="shared" si="101"/>
        <v>0</v>
      </c>
      <c r="J160" s="1236">
        <f t="shared" si="101"/>
        <v>0</v>
      </c>
      <c r="K160" s="1658"/>
      <c r="L160" s="1236">
        <f>+L161</f>
        <v>0</v>
      </c>
      <c r="M160" s="1659" t="str">
        <f t="shared" si="101"/>
        <v>x</v>
      </c>
      <c r="N160" s="3992"/>
    </row>
    <row r="161" spans="1:14" ht="12">
      <c r="A161" s="3980"/>
      <c r="B161" s="1674" t="s">
        <v>33</v>
      </c>
      <c r="C161" s="3987"/>
      <c r="D161" s="1113">
        <f>E161+L161+F161+G161+H161+I161+J161+K161</f>
        <v>3793497</v>
      </c>
      <c r="E161" s="1134">
        <v>0</v>
      </c>
      <c r="F161" s="1254">
        <f>1197070-178977</f>
        <v>1018093</v>
      </c>
      <c r="G161" s="1254">
        <f>1496559+396618</f>
        <v>1893177</v>
      </c>
      <c r="H161" s="1254">
        <f>729656+152571</f>
        <v>882227</v>
      </c>
      <c r="I161" s="1660"/>
      <c r="J161" s="1660"/>
      <c r="K161" s="1660"/>
      <c r="L161" s="1254">
        <v>0</v>
      </c>
      <c r="M161" s="1661" t="s">
        <v>52</v>
      </c>
      <c r="N161" s="3992"/>
    </row>
    <row r="162" spans="1:14" ht="13.5" customHeight="1">
      <c r="A162" s="3980"/>
      <c r="B162" s="1251" t="s">
        <v>20</v>
      </c>
      <c r="C162" s="1677"/>
      <c r="D162" s="1161">
        <f>D165+D163</f>
        <v>4604546</v>
      </c>
      <c r="E162" s="1161">
        <f t="shared" ref="E162:F162" si="102">E165+E163</f>
        <v>0</v>
      </c>
      <c r="F162" s="1161">
        <f t="shared" si="102"/>
        <v>1021307</v>
      </c>
      <c r="G162" s="1161">
        <f>G165+G163</f>
        <v>2197354</v>
      </c>
      <c r="H162" s="1161">
        <f>H165+H163</f>
        <v>1385885</v>
      </c>
      <c r="I162" s="1161">
        <f t="shared" ref="I162:J162" si="103">I165+I163</f>
        <v>0</v>
      </c>
      <c r="J162" s="1161">
        <f t="shared" si="103"/>
        <v>0</v>
      </c>
      <c r="K162" s="1161"/>
      <c r="L162" s="1161">
        <f>L165+L163</f>
        <v>0</v>
      </c>
      <c r="M162" s="3999" t="s">
        <v>52</v>
      </c>
      <c r="N162" s="3992"/>
    </row>
    <row r="163" spans="1:14" ht="12">
      <c r="A163" s="3980"/>
      <c r="B163" s="1255" t="s">
        <v>22</v>
      </c>
      <c r="C163" s="3983" t="s">
        <v>149</v>
      </c>
      <c r="D163" s="1242">
        <f>+D164</f>
        <v>811049</v>
      </c>
      <c r="E163" s="1242">
        <f t="shared" ref="E163:J163" si="104">+E164</f>
        <v>0</v>
      </c>
      <c r="F163" s="1242">
        <f t="shared" si="104"/>
        <v>153214</v>
      </c>
      <c r="G163" s="1242">
        <f t="shared" si="104"/>
        <v>424177</v>
      </c>
      <c r="H163" s="1242">
        <f t="shared" si="104"/>
        <v>233658</v>
      </c>
      <c r="I163" s="1242">
        <f t="shared" si="104"/>
        <v>0</v>
      </c>
      <c r="J163" s="1242">
        <f t="shared" si="104"/>
        <v>0</v>
      </c>
      <c r="K163" s="1242"/>
      <c r="L163" s="1242">
        <f>+L164</f>
        <v>0</v>
      </c>
      <c r="M163" s="3996"/>
      <c r="N163" s="3992"/>
    </row>
    <row r="164" spans="1:14" ht="12">
      <c r="A164" s="3980"/>
      <c r="B164" s="1674" t="s">
        <v>136</v>
      </c>
      <c r="C164" s="3984"/>
      <c r="D164" s="1113">
        <f>E164+L164+F164+G164+H164+I164+J164+K164</f>
        <v>811049</v>
      </c>
      <c r="E164" s="1134">
        <v>0</v>
      </c>
      <c r="F164" s="1675">
        <f>253104-99890</f>
        <v>153214</v>
      </c>
      <c r="G164" s="1675">
        <f>349998+74179</f>
        <v>424177</v>
      </c>
      <c r="H164" s="1675">
        <f>147063+86595</f>
        <v>233658</v>
      </c>
      <c r="I164" s="1675"/>
      <c r="J164" s="1675"/>
      <c r="K164" s="1675"/>
      <c r="L164" s="1675"/>
      <c r="M164" s="3996"/>
      <c r="N164" s="3992"/>
    </row>
    <row r="165" spans="1:14" ht="12">
      <c r="A165" s="3980"/>
      <c r="B165" s="1676" t="s">
        <v>17</v>
      </c>
      <c r="C165" s="3977" t="s">
        <v>21</v>
      </c>
      <c r="D165" s="1236">
        <f>+D166</f>
        <v>3793497</v>
      </c>
      <c r="E165" s="1236">
        <f t="shared" ref="E165:J165" si="105">+E166</f>
        <v>0</v>
      </c>
      <c r="F165" s="1236">
        <f t="shared" si="105"/>
        <v>868093</v>
      </c>
      <c r="G165" s="1236">
        <f t="shared" si="105"/>
        <v>1773177</v>
      </c>
      <c r="H165" s="1236">
        <f t="shared" si="105"/>
        <v>1152227</v>
      </c>
      <c r="I165" s="1236">
        <f t="shared" si="105"/>
        <v>0</v>
      </c>
      <c r="J165" s="1236">
        <f t="shared" si="105"/>
        <v>0</v>
      </c>
      <c r="K165" s="1236"/>
      <c r="L165" s="1236">
        <f>+L166</f>
        <v>0</v>
      </c>
      <c r="M165" s="3996"/>
      <c r="N165" s="3992"/>
    </row>
    <row r="166" spans="1:14" ht="12.75" thickBot="1">
      <c r="A166" s="3981"/>
      <c r="B166" s="1256" t="s">
        <v>33</v>
      </c>
      <c r="C166" s="3978"/>
      <c r="D166" s="1257">
        <f>E166+L166+F166+G166+H166+I166+J166+K166</f>
        <v>3793497</v>
      </c>
      <c r="E166" s="1376">
        <v>0</v>
      </c>
      <c r="F166" s="1258">
        <f>1197070-328977</f>
        <v>868093</v>
      </c>
      <c r="G166" s="1258">
        <f>1496559+276618</f>
        <v>1773177</v>
      </c>
      <c r="H166" s="1258">
        <f>729656+422571</f>
        <v>1152227</v>
      </c>
      <c r="I166" s="1258"/>
      <c r="J166" s="1258"/>
      <c r="K166" s="1258"/>
      <c r="L166" s="1258">
        <v>0</v>
      </c>
      <c r="M166" s="3997"/>
      <c r="N166" s="3993"/>
    </row>
    <row r="167" spans="1:14" ht="29.25" customHeight="1">
      <c r="A167" s="3979" t="s">
        <v>84</v>
      </c>
      <c r="B167" s="415" t="s">
        <v>467</v>
      </c>
      <c r="C167" s="2232" t="s">
        <v>72</v>
      </c>
      <c r="D167" s="2233"/>
      <c r="E167" s="326"/>
      <c r="F167" s="326"/>
      <c r="G167" s="326"/>
      <c r="H167" s="326"/>
      <c r="I167" s="326"/>
      <c r="J167" s="326"/>
      <c r="K167" s="1109"/>
      <c r="L167" s="326"/>
      <c r="M167" s="407"/>
      <c r="N167" s="3991" t="s">
        <v>381</v>
      </c>
    </row>
    <row r="168" spans="1:14" ht="14.25" customHeight="1">
      <c r="A168" s="3980"/>
      <c r="B168" s="381" t="s">
        <v>9</v>
      </c>
      <c r="C168" s="416"/>
      <c r="D168" s="405">
        <f>+D169+D172</f>
        <v>2223195</v>
      </c>
      <c r="E168" s="405">
        <f t="shared" ref="E168" si="106">+E169+E172</f>
        <v>6118</v>
      </c>
      <c r="F168" s="405">
        <f>+F169+F172</f>
        <v>281943</v>
      </c>
      <c r="G168" s="405">
        <f>+G169+G172</f>
        <v>1935134</v>
      </c>
      <c r="H168" s="405">
        <f>+H169+H172</f>
        <v>0</v>
      </c>
      <c r="I168" s="405">
        <f t="shared" ref="I168:J168" si="107">+I169+I172</f>
        <v>0</v>
      </c>
      <c r="J168" s="405">
        <f t="shared" si="107"/>
        <v>0</v>
      </c>
      <c r="K168" s="405"/>
      <c r="L168" s="405">
        <f>+L169+L172</f>
        <v>0</v>
      </c>
      <c r="M168" s="408">
        <f>+M169</f>
        <v>703057</v>
      </c>
      <c r="N168" s="3992"/>
    </row>
    <row r="169" spans="1:14" ht="12" customHeight="1">
      <c r="A169" s="3980"/>
      <c r="B169" s="2324" t="s">
        <v>22</v>
      </c>
      <c r="C169" s="2638"/>
      <c r="D169" s="379">
        <f>D171+D170</f>
        <v>785715</v>
      </c>
      <c r="E169" s="379">
        <f t="shared" ref="E169:J169" si="108">E171+E170</f>
        <v>6118</v>
      </c>
      <c r="F169" s="379">
        <f t="shared" si="108"/>
        <v>76540</v>
      </c>
      <c r="G169" s="379">
        <f t="shared" si="108"/>
        <v>703057</v>
      </c>
      <c r="H169" s="379">
        <f t="shared" si="108"/>
        <v>0</v>
      </c>
      <c r="I169" s="379">
        <f t="shared" si="108"/>
        <v>0</v>
      </c>
      <c r="J169" s="379">
        <f t="shared" si="108"/>
        <v>0</v>
      </c>
      <c r="K169" s="379"/>
      <c r="L169" s="379">
        <f>L171+L170</f>
        <v>0</v>
      </c>
      <c r="M169" s="410">
        <f>+M171</f>
        <v>703057</v>
      </c>
      <c r="N169" s="3992"/>
    </row>
    <row r="170" spans="1:14" ht="12">
      <c r="A170" s="3980"/>
      <c r="B170" s="2307" t="s">
        <v>30</v>
      </c>
      <c r="C170" s="2696" t="s">
        <v>21</v>
      </c>
      <c r="D170" s="211">
        <f>E170+L170+F170+G170+H170+I170+J170+K170</f>
        <v>6118</v>
      </c>
      <c r="E170" s="376">
        <v>6118</v>
      </c>
      <c r="F170" s="2314">
        <v>0</v>
      </c>
      <c r="G170" s="2314">
        <v>0</v>
      </c>
      <c r="H170" s="2314">
        <v>0</v>
      </c>
      <c r="I170" s="1653"/>
      <c r="J170" s="1653"/>
      <c r="K170" s="1653"/>
      <c r="L170" s="2314">
        <v>0</v>
      </c>
      <c r="M170" s="417" t="s">
        <v>52</v>
      </c>
      <c r="N170" s="3992"/>
    </row>
    <row r="171" spans="1:14" ht="13.5" customHeight="1">
      <c r="A171" s="3980"/>
      <c r="B171" s="1643" t="s">
        <v>111</v>
      </c>
      <c r="C171" s="2639" t="s">
        <v>149</v>
      </c>
      <c r="D171" s="211">
        <f>E171+L171+F171+G171+H171+I171+J171+K171</f>
        <v>779597</v>
      </c>
      <c r="E171" s="376"/>
      <c r="F171" s="2315">
        <f>198520-121980</f>
        <v>76540</v>
      </c>
      <c r="G171" s="2315">
        <f>594337-43525+152245</f>
        <v>703057</v>
      </c>
      <c r="H171" s="2315"/>
      <c r="I171" s="2315"/>
      <c r="J171" s="2315"/>
      <c r="K171" s="2315"/>
      <c r="L171" s="2315"/>
      <c r="M171" s="404">
        <f>SUM(G171:K171)</f>
        <v>703057</v>
      </c>
      <c r="N171" s="3992"/>
    </row>
    <row r="172" spans="1:14" ht="12">
      <c r="A172" s="3980"/>
      <c r="B172" s="2325" t="s">
        <v>17</v>
      </c>
      <c r="C172" s="3994" t="s">
        <v>21</v>
      </c>
      <c r="D172" s="2317">
        <f>+D173</f>
        <v>1437480</v>
      </c>
      <c r="E172" s="2317">
        <f t="shared" ref="E172:M172" si="109">+E173</f>
        <v>0</v>
      </c>
      <c r="F172" s="2317">
        <f t="shared" si="109"/>
        <v>205403</v>
      </c>
      <c r="G172" s="2317">
        <f t="shared" si="109"/>
        <v>1232077</v>
      </c>
      <c r="H172" s="2317">
        <f t="shared" si="109"/>
        <v>0</v>
      </c>
      <c r="I172" s="2317">
        <f t="shared" si="109"/>
        <v>0</v>
      </c>
      <c r="J172" s="2317">
        <f t="shared" si="109"/>
        <v>0</v>
      </c>
      <c r="K172" s="1658"/>
      <c r="L172" s="2317">
        <f>+L173</f>
        <v>0</v>
      </c>
      <c r="M172" s="1659" t="str">
        <f t="shared" si="109"/>
        <v>x</v>
      </c>
      <c r="N172" s="3992"/>
    </row>
    <row r="173" spans="1:14" ht="12">
      <c r="A173" s="3980"/>
      <c r="B173" s="1643" t="s">
        <v>33</v>
      </c>
      <c r="C173" s="3987"/>
      <c r="D173" s="211">
        <f>E173+L173+F173+G173+H173+I173+J173+K173</f>
        <v>1437480</v>
      </c>
      <c r="E173" s="376">
        <v>0</v>
      </c>
      <c r="F173" s="378">
        <f>478253-272850</f>
        <v>205403</v>
      </c>
      <c r="G173" s="378">
        <f>1329439-97362</f>
        <v>1232077</v>
      </c>
      <c r="H173" s="378"/>
      <c r="I173" s="1660"/>
      <c r="J173" s="1660"/>
      <c r="K173" s="1660"/>
      <c r="L173" s="378">
        <v>0</v>
      </c>
      <c r="M173" s="1661" t="s">
        <v>52</v>
      </c>
      <c r="N173" s="3992"/>
    </row>
    <row r="174" spans="1:14" ht="13.5" customHeight="1">
      <c r="A174" s="3980"/>
      <c r="B174" s="381" t="s">
        <v>20</v>
      </c>
      <c r="C174" s="2326"/>
      <c r="D174" s="2327">
        <f>D177+D175</f>
        <v>1845661</v>
      </c>
      <c r="E174" s="2327">
        <f t="shared" ref="E174:F174" si="110">E177+E175</f>
        <v>0</v>
      </c>
      <c r="F174" s="2327">
        <f t="shared" si="110"/>
        <v>126730</v>
      </c>
      <c r="G174" s="2327">
        <f>G177+G175</f>
        <v>1328931</v>
      </c>
      <c r="H174" s="2327">
        <f>H177+H175</f>
        <v>390000</v>
      </c>
      <c r="I174" s="2327">
        <f t="shared" ref="I174:J174" si="111">I177+I175</f>
        <v>0</v>
      </c>
      <c r="J174" s="2327">
        <f t="shared" si="111"/>
        <v>0</v>
      </c>
      <c r="K174" s="2327"/>
      <c r="L174" s="2327">
        <f>L177+L175</f>
        <v>0</v>
      </c>
      <c r="M174" s="3995" t="s">
        <v>52</v>
      </c>
      <c r="N174" s="3992"/>
    </row>
    <row r="175" spans="1:14" ht="12" customHeight="1">
      <c r="A175" s="3980"/>
      <c r="B175" s="1642" t="s">
        <v>22</v>
      </c>
      <c r="C175" s="3998" t="s">
        <v>149</v>
      </c>
      <c r="D175" s="2328">
        <f>+D176</f>
        <v>408181</v>
      </c>
      <c r="E175" s="2328">
        <f t="shared" ref="E175:J175" si="112">+E176</f>
        <v>0</v>
      </c>
      <c r="F175" s="2328">
        <f t="shared" si="112"/>
        <v>26327</v>
      </c>
      <c r="G175" s="2328">
        <f t="shared" si="112"/>
        <v>341854</v>
      </c>
      <c r="H175" s="2328">
        <f t="shared" si="112"/>
        <v>40000</v>
      </c>
      <c r="I175" s="2328">
        <f t="shared" si="112"/>
        <v>0</v>
      </c>
      <c r="J175" s="2328">
        <f t="shared" si="112"/>
        <v>0</v>
      </c>
      <c r="K175" s="2328"/>
      <c r="L175" s="2328">
        <f>+L176</f>
        <v>0</v>
      </c>
      <c r="M175" s="3996"/>
      <c r="N175" s="3992"/>
    </row>
    <row r="176" spans="1:14" ht="12">
      <c r="A176" s="3980"/>
      <c r="B176" s="1643" t="s">
        <v>136</v>
      </c>
      <c r="C176" s="3984"/>
      <c r="D176" s="211">
        <f>E176+L176+F176+G176+H176+I176+J176+K176</f>
        <v>408181</v>
      </c>
      <c r="E176" s="376">
        <v>0</v>
      </c>
      <c r="F176" s="2315">
        <f>120157-93830</f>
        <v>26327</v>
      </c>
      <c r="G176" s="2315">
        <f>359731-46345+28468</f>
        <v>341854</v>
      </c>
      <c r="H176" s="2315">
        <v>40000</v>
      </c>
      <c r="I176" s="2315"/>
      <c r="J176" s="2315"/>
      <c r="K176" s="2315"/>
      <c r="L176" s="2315"/>
      <c r="M176" s="3996"/>
      <c r="N176" s="3992"/>
    </row>
    <row r="177" spans="1:14" ht="12.75" thickBot="1">
      <c r="A177" s="3981"/>
      <c r="B177" s="2325" t="s">
        <v>17</v>
      </c>
      <c r="C177" s="3994" t="s">
        <v>21</v>
      </c>
      <c r="D177" s="2317">
        <f>+D178</f>
        <v>1437480</v>
      </c>
      <c r="E177" s="2317">
        <f t="shared" ref="E177:J177" si="113">+E178</f>
        <v>0</v>
      </c>
      <c r="F177" s="2317">
        <f t="shared" si="113"/>
        <v>100403</v>
      </c>
      <c r="G177" s="2317">
        <f t="shared" si="113"/>
        <v>987077</v>
      </c>
      <c r="H177" s="2317">
        <f t="shared" si="113"/>
        <v>350000</v>
      </c>
      <c r="I177" s="2317">
        <f t="shared" si="113"/>
        <v>0</v>
      </c>
      <c r="J177" s="2317">
        <f t="shared" si="113"/>
        <v>0</v>
      </c>
      <c r="K177" s="2317"/>
      <c r="L177" s="2317">
        <f>+L178</f>
        <v>0</v>
      </c>
      <c r="M177" s="3996"/>
      <c r="N177" s="3992"/>
    </row>
    <row r="178" spans="1:14" ht="12.75" thickBot="1">
      <c r="A178" s="3982"/>
      <c r="B178" s="1594" t="s">
        <v>33</v>
      </c>
      <c r="C178" s="3978"/>
      <c r="D178" s="1405">
        <f>E178+L178+F178+G178+H178+I178+J178+K178</f>
        <v>1437480</v>
      </c>
      <c r="E178" s="411">
        <v>0</v>
      </c>
      <c r="F178" s="420">
        <f>478253-342850-35000</f>
        <v>100403</v>
      </c>
      <c r="G178" s="420">
        <f>1329439-377362+35000</f>
        <v>987077</v>
      </c>
      <c r="H178" s="420">
        <v>350000</v>
      </c>
      <c r="I178" s="420"/>
      <c r="J178" s="420"/>
      <c r="K178" s="420"/>
      <c r="L178" s="420">
        <v>0</v>
      </c>
      <c r="M178" s="3997"/>
      <c r="N178" s="3993"/>
    </row>
    <row r="179" spans="1:14" ht="12" thickBot="1">
      <c r="A179" s="2017"/>
      <c r="N179" s="2697"/>
    </row>
    <row r="180" spans="1:14" ht="12" thickBot="1">
      <c r="A180" s="2017"/>
      <c r="N180" s="2697"/>
    </row>
    <row r="181" spans="1:14" ht="12" hidden="1" thickBot="1">
      <c r="A181" s="2017"/>
      <c r="N181" s="2697"/>
    </row>
    <row r="182" spans="1:14" ht="12" hidden="1" thickBot="1">
      <c r="A182" s="2017" t="s">
        <v>379</v>
      </c>
      <c r="N182" s="2697"/>
    </row>
    <row r="183" spans="1:14" ht="12" hidden="1" thickBot="1">
      <c r="A183" s="2017"/>
      <c r="N183" s="2697"/>
    </row>
    <row r="184" spans="1:14" ht="12" hidden="1" thickBot="1">
      <c r="A184" s="2017"/>
      <c r="D184" s="385"/>
      <c r="F184" s="385">
        <f>F168+F156+F142+F130+F118+F44+F33+F24</f>
        <v>19876150</v>
      </c>
      <c r="N184" s="2697"/>
    </row>
    <row r="185" spans="1:14" ht="12" hidden="1" thickBot="1">
      <c r="A185" s="2017"/>
      <c r="F185" s="385">
        <f>F184-F10</f>
        <v>-1274768</v>
      </c>
      <c r="N185" s="2697"/>
    </row>
    <row r="186" spans="1:14" ht="12" hidden="1" thickBot="1">
      <c r="A186" s="2017"/>
      <c r="N186" s="2697"/>
    </row>
    <row r="187" spans="1:14" ht="12" hidden="1" thickBot="1">
      <c r="A187" s="2017"/>
      <c r="D187" s="385">
        <f>D171+D159+D145+D133+D121+D47+D35+D26</f>
        <v>44671388</v>
      </c>
      <c r="N187" s="2697"/>
    </row>
    <row r="188" spans="1:14" ht="12" hidden="1" thickBot="1">
      <c r="A188" s="2017"/>
      <c r="B188" s="434"/>
      <c r="D188" s="385">
        <f>D7-D187</f>
        <v>88473770</v>
      </c>
      <c r="N188" s="2697"/>
    </row>
    <row r="189" spans="1:14" ht="12" hidden="1" thickBot="1">
      <c r="A189" s="2017"/>
      <c r="B189" s="428"/>
      <c r="N189" s="2697"/>
    </row>
    <row r="190" spans="1:14" ht="12" hidden="1" thickBot="1">
      <c r="A190" s="2017"/>
      <c r="N190" s="2697"/>
    </row>
    <row r="191" spans="1:14" ht="12" hidden="1" thickBot="1">
      <c r="A191" s="2017"/>
      <c r="N191" s="2697"/>
    </row>
    <row r="192" spans="1:14" ht="12" hidden="1" thickBot="1">
      <c r="A192" s="2017"/>
      <c r="N192" s="2697"/>
    </row>
    <row r="193" spans="1:14" ht="12" hidden="1" thickBot="1">
      <c r="A193" s="2017"/>
      <c r="N193" s="2697"/>
    </row>
    <row r="194" spans="1:14" ht="12" hidden="1" thickBot="1">
      <c r="A194" s="2017"/>
      <c r="N194" s="2697"/>
    </row>
    <row r="195" spans="1:14" ht="12" hidden="1" thickBot="1">
      <c r="A195" s="2017"/>
      <c r="N195" s="2697"/>
    </row>
    <row r="196" spans="1:14" ht="12" hidden="1" thickBot="1">
      <c r="A196" s="2017"/>
      <c r="N196" s="2697"/>
    </row>
    <row r="197" spans="1:14" ht="12" hidden="1" thickBot="1">
      <c r="A197" s="2017"/>
      <c r="N197" s="2697"/>
    </row>
    <row r="198" spans="1:14" ht="12" hidden="1" thickBot="1">
      <c r="A198" s="2017"/>
      <c r="N198" s="2697"/>
    </row>
    <row r="199" spans="1:14" ht="12" hidden="1" thickBot="1">
      <c r="A199" s="2017"/>
      <c r="N199" s="2697"/>
    </row>
    <row r="200" spans="1:14" ht="12" hidden="1" thickBot="1">
      <c r="A200" s="2017"/>
      <c r="N200" s="2697"/>
    </row>
    <row r="201" spans="1:14" ht="12" hidden="1" thickBot="1">
      <c r="A201" s="2017"/>
      <c r="N201" s="2697"/>
    </row>
    <row r="202" spans="1:14" ht="12" hidden="1" thickBot="1">
      <c r="A202" s="2017"/>
      <c r="M202" s="434"/>
      <c r="N202" s="1988"/>
    </row>
    <row r="203" spans="1:14" ht="12" hidden="1" thickBot="1">
      <c r="A203" s="2017"/>
      <c r="C203" s="434"/>
      <c r="M203" s="2002"/>
      <c r="N203" s="1989"/>
    </row>
    <row r="204" spans="1:14" ht="12" hidden="1" thickBot="1">
      <c r="A204" s="2017"/>
      <c r="C204" s="2002"/>
      <c r="M204" s="2002"/>
      <c r="N204" s="1989"/>
    </row>
    <row r="205" spans="1:14" ht="12" hidden="1" thickBot="1">
      <c r="A205" s="2017"/>
      <c r="C205" s="2002"/>
      <c r="M205" s="2002"/>
      <c r="N205" s="1989"/>
    </row>
    <row r="206" spans="1:14" ht="12" hidden="1" thickBot="1">
      <c r="A206" s="2018"/>
      <c r="C206" s="2002"/>
      <c r="D206" s="434"/>
      <c r="E206" s="434"/>
      <c r="F206" s="434"/>
      <c r="G206" s="434"/>
      <c r="H206" s="434"/>
      <c r="I206" s="434"/>
      <c r="J206" s="434"/>
      <c r="K206" s="434"/>
      <c r="L206" s="434"/>
      <c r="M206" s="2002"/>
      <c r="N206" s="1989"/>
    </row>
    <row r="207" spans="1:14" ht="12" hidden="1" thickBot="1">
      <c r="C207" s="428"/>
      <c r="D207" s="428"/>
      <c r="E207" s="428"/>
      <c r="F207" s="428"/>
      <c r="G207" s="428"/>
      <c r="H207" s="428"/>
      <c r="I207" s="428"/>
      <c r="J207" s="428"/>
      <c r="K207" s="428"/>
      <c r="L207" s="428"/>
      <c r="M207" s="428"/>
      <c r="N207" s="1989"/>
    </row>
    <row r="208" spans="1:14" ht="12" hidden="1" thickBot="1">
      <c r="N208" s="1989"/>
    </row>
    <row r="209" spans="14:14" ht="12" hidden="1" thickBot="1">
      <c r="N209" s="1989"/>
    </row>
    <row r="210" spans="14:14" ht="12" hidden="1" thickBot="1">
      <c r="N210" s="1989"/>
    </row>
    <row r="211" spans="14:14" ht="12" hidden="1" thickBot="1">
      <c r="N211" s="1989"/>
    </row>
    <row r="212" spans="14:14" ht="12" hidden="1" thickBot="1">
      <c r="N212" s="1989"/>
    </row>
    <row r="213" spans="14:14" ht="12" hidden="1" thickBot="1">
      <c r="N213" s="1989"/>
    </row>
    <row r="214" spans="14:14" ht="12" hidden="1" thickBot="1">
      <c r="N214" s="1989"/>
    </row>
    <row r="215" spans="14:14" ht="12" hidden="1" thickBot="1">
      <c r="N215" s="1989"/>
    </row>
    <row r="216" spans="14:14" hidden="1">
      <c r="N216" s="1990"/>
    </row>
    <row r="217" spans="14:14" hidden="1">
      <c r="N217" s="2697"/>
    </row>
    <row r="218" spans="14:14" hidden="1">
      <c r="N218" s="2697"/>
    </row>
    <row r="219" spans="14:14" hidden="1">
      <c r="N219" s="2697"/>
    </row>
    <row r="220" spans="14:14" hidden="1">
      <c r="N220" s="2697"/>
    </row>
    <row r="221" spans="14:14" hidden="1">
      <c r="N221" s="2697"/>
    </row>
    <row r="222" spans="14:14" hidden="1">
      <c r="N222" s="2697"/>
    </row>
    <row r="223" spans="14:14" hidden="1">
      <c r="N223" s="2697"/>
    </row>
    <row r="224" spans="14:14" hidden="1">
      <c r="N224" s="2697"/>
    </row>
    <row r="225" spans="14:14" hidden="1">
      <c r="N225" s="2697"/>
    </row>
    <row r="226" spans="14:14" hidden="1">
      <c r="N226" s="2697"/>
    </row>
    <row r="227" spans="14:14" hidden="1">
      <c r="N227" s="2697"/>
    </row>
    <row r="228" spans="14:14" hidden="1">
      <c r="N228" s="2697"/>
    </row>
    <row r="229" spans="14:14">
      <c r="N229" s="2697"/>
    </row>
    <row r="230" spans="14:14">
      <c r="N230" s="2697"/>
    </row>
    <row r="231" spans="14:14">
      <c r="N231" s="2697"/>
    </row>
    <row r="232" spans="14:14">
      <c r="N232" s="2697"/>
    </row>
    <row r="233" spans="14:14">
      <c r="N233" s="2697"/>
    </row>
    <row r="234" spans="14:14">
      <c r="N234" s="2697"/>
    </row>
    <row r="235" spans="14:14">
      <c r="N235" s="2697"/>
    </row>
    <row r="236" spans="14:14">
      <c r="N236" s="2697"/>
    </row>
    <row r="237" spans="14:14">
      <c r="N237" s="2697"/>
    </row>
    <row r="238" spans="14:14">
      <c r="N238" s="2697"/>
    </row>
    <row r="239" spans="14:14">
      <c r="N239" s="2697"/>
    </row>
    <row r="240" spans="14:14">
      <c r="N240" s="2697"/>
    </row>
    <row r="241" spans="14:14">
      <c r="N241" s="2697"/>
    </row>
    <row r="242" spans="14:14">
      <c r="N242" s="2697"/>
    </row>
    <row r="243" spans="14:14">
      <c r="N243" s="2697"/>
    </row>
    <row r="244" spans="14:14">
      <c r="N244" s="2697"/>
    </row>
    <row r="245" spans="14:14">
      <c r="N245" s="2697"/>
    </row>
    <row r="246" spans="14:14">
      <c r="N246" s="2697"/>
    </row>
    <row r="247" spans="14:14">
      <c r="N247" s="2697"/>
    </row>
    <row r="248" spans="14:14">
      <c r="N248" s="2697"/>
    </row>
    <row r="249" spans="14:14">
      <c r="N249" s="2697"/>
    </row>
    <row r="250" spans="14:14" ht="12" thickBot="1">
      <c r="N250" s="1988"/>
    </row>
    <row r="251" spans="14:14" ht="12" thickBot="1">
      <c r="N251" s="1989"/>
    </row>
    <row r="252" spans="14:14" ht="12" thickBot="1">
      <c r="N252" s="1989"/>
    </row>
    <row r="253" spans="14:14" ht="12" thickBot="1">
      <c r="N253" s="1989"/>
    </row>
    <row r="254" spans="14:14" ht="12" thickBot="1">
      <c r="N254" s="1989"/>
    </row>
    <row r="255" spans="14:14" ht="12" thickBot="1">
      <c r="N255" s="1989"/>
    </row>
    <row r="256" spans="14:14" ht="12" thickBot="1">
      <c r="N256" s="1989"/>
    </row>
    <row r="257" spans="14:14" ht="12" thickBot="1">
      <c r="N257" s="1989"/>
    </row>
    <row r="258" spans="14:14" ht="12" thickBot="1">
      <c r="N258" s="1989"/>
    </row>
    <row r="259" spans="14:14" ht="12" thickBot="1">
      <c r="N259" s="1989"/>
    </row>
    <row r="260" spans="14:14" ht="12" thickBot="1">
      <c r="N260" s="1989"/>
    </row>
    <row r="261" spans="14:14" ht="12" thickBot="1">
      <c r="N261" s="1989"/>
    </row>
    <row r="262" spans="14:14" ht="12" thickBot="1">
      <c r="N262" s="1989"/>
    </row>
    <row r="263" spans="14:14" ht="12" thickBot="1">
      <c r="N263" s="1989"/>
    </row>
    <row r="264" spans="14:14">
      <c r="N264" s="1990"/>
    </row>
    <row r="265" spans="14:14">
      <c r="N265" s="2697"/>
    </row>
    <row r="266" spans="14:14">
      <c r="N266" s="2697"/>
    </row>
    <row r="267" spans="14:14">
      <c r="N267" s="2697"/>
    </row>
    <row r="268" spans="14:14">
      <c r="N268" s="2697"/>
    </row>
    <row r="269" spans="14:14">
      <c r="N269" s="2697"/>
    </row>
    <row r="270" spans="14:14">
      <c r="N270" s="2697"/>
    </row>
    <row r="271" spans="14:14">
      <c r="N271" s="2697"/>
    </row>
    <row r="272" spans="14:14">
      <c r="N272" s="2697"/>
    </row>
    <row r="273" spans="14:14">
      <c r="N273" s="2697"/>
    </row>
    <row r="274" spans="14:14">
      <c r="N274" s="2697"/>
    </row>
    <row r="275" spans="14:14">
      <c r="N275" s="2697"/>
    </row>
    <row r="276" spans="14:14">
      <c r="N276" s="2697"/>
    </row>
    <row r="277" spans="14:14">
      <c r="N277" s="2697"/>
    </row>
    <row r="278" spans="14:14">
      <c r="N278" s="2697"/>
    </row>
    <row r="279" spans="14:14">
      <c r="N279" s="2697"/>
    </row>
    <row r="280" spans="14:14">
      <c r="N280" s="2697"/>
    </row>
    <row r="281" spans="14:14">
      <c r="N281" s="2697"/>
    </row>
    <row r="282" spans="14:14">
      <c r="N282" s="2697"/>
    </row>
    <row r="283" spans="14:14">
      <c r="N283" s="2697"/>
    </row>
    <row r="284" spans="14:14">
      <c r="N284" s="2697"/>
    </row>
    <row r="285" spans="14:14">
      <c r="N285" s="2697"/>
    </row>
    <row r="286" spans="14:14">
      <c r="N286" s="2697"/>
    </row>
    <row r="287" spans="14:14">
      <c r="N287" s="2697"/>
    </row>
    <row r="288" spans="14:14">
      <c r="N288" s="2697"/>
    </row>
    <row r="289" spans="14:14">
      <c r="N289" s="2697"/>
    </row>
    <row r="290" spans="14:14">
      <c r="N290" s="2697"/>
    </row>
    <row r="291" spans="14:14">
      <c r="N291" s="2697"/>
    </row>
    <row r="292" spans="14:14">
      <c r="N292" s="2697"/>
    </row>
    <row r="293" spans="14:14">
      <c r="N293" s="2697"/>
    </row>
    <row r="294" spans="14:14">
      <c r="N294" s="2697"/>
    </row>
    <row r="295" spans="14:14">
      <c r="N295" s="2697"/>
    </row>
    <row r="296" spans="14:14">
      <c r="N296" s="2697"/>
    </row>
    <row r="297" spans="14:14">
      <c r="N297" s="2697"/>
    </row>
    <row r="298" spans="14:14">
      <c r="N298" s="2697"/>
    </row>
    <row r="299" spans="14:14">
      <c r="N299" s="2697"/>
    </row>
    <row r="300" spans="14:14">
      <c r="N300" s="2697"/>
    </row>
    <row r="301" spans="14:14">
      <c r="N301" s="2697"/>
    </row>
    <row r="302" spans="14:14">
      <c r="N302" s="2697"/>
    </row>
    <row r="303" spans="14:14">
      <c r="N303" s="2697"/>
    </row>
    <row r="304" spans="14:14">
      <c r="N304" s="2697"/>
    </row>
    <row r="403" spans="1:14" ht="12" thickBot="1">
      <c r="A403" s="2016"/>
    </row>
    <row r="404" spans="1:14" ht="12" thickBot="1">
      <c r="A404" s="2017"/>
    </row>
    <row r="405" spans="1:14" ht="12" thickBot="1">
      <c r="A405" s="2017"/>
    </row>
    <row r="406" spans="1:14" ht="12" thickBot="1">
      <c r="A406" s="2017"/>
    </row>
    <row r="407" spans="1:14" ht="12" thickBot="1">
      <c r="A407" s="2017"/>
    </row>
    <row r="408" spans="1:14" ht="12" thickBot="1">
      <c r="A408" s="2017"/>
    </row>
    <row r="409" spans="1:14" ht="12" thickBot="1">
      <c r="A409" s="2017"/>
      <c r="M409" s="434"/>
      <c r="N409" s="1727"/>
    </row>
    <row r="410" spans="1:14" ht="12" thickBot="1">
      <c r="A410" s="2017"/>
      <c r="C410" s="434"/>
      <c r="M410" s="2002"/>
      <c r="N410" s="1986"/>
    </row>
    <row r="411" spans="1:14" ht="12" thickBot="1">
      <c r="A411" s="2017"/>
      <c r="C411" s="2002"/>
      <c r="D411" s="434"/>
      <c r="E411" s="434"/>
      <c r="F411" s="434"/>
      <c r="G411" s="434"/>
      <c r="H411" s="434"/>
      <c r="I411" s="434"/>
      <c r="J411" s="434"/>
      <c r="K411" s="434"/>
      <c r="L411" s="434"/>
      <c r="M411" s="2002"/>
      <c r="N411" s="1986"/>
    </row>
    <row r="412" spans="1:14" ht="12" thickBot="1">
      <c r="A412" s="2017"/>
      <c r="C412" s="428"/>
      <c r="D412" s="428"/>
      <c r="E412" s="428"/>
      <c r="F412" s="428"/>
      <c r="G412" s="428"/>
      <c r="H412" s="428"/>
      <c r="I412" s="428"/>
      <c r="J412" s="428"/>
      <c r="K412" s="428"/>
      <c r="L412" s="428"/>
      <c r="M412" s="428"/>
      <c r="N412" s="1986"/>
    </row>
    <row r="413" spans="1:14" ht="12" thickBot="1">
      <c r="A413" s="2017"/>
      <c r="N413" s="1986"/>
    </row>
    <row r="414" spans="1:14" ht="12" thickBot="1">
      <c r="A414" s="2017"/>
      <c r="N414" s="1986"/>
    </row>
    <row r="415" spans="1:14" ht="12" thickBot="1">
      <c r="A415" s="2017"/>
      <c r="N415" s="1986"/>
    </row>
    <row r="416" spans="1:14" ht="12" thickBot="1">
      <c r="A416" s="2017"/>
      <c r="N416" s="1986"/>
    </row>
    <row r="417" spans="1:14" ht="12" thickBot="1">
      <c r="A417" s="2017"/>
      <c r="N417" s="1987"/>
    </row>
    <row r="418" spans="1:14" ht="12" thickBot="1">
      <c r="A418" s="2017"/>
    </row>
    <row r="419" spans="1:14" ht="12" thickBot="1">
      <c r="A419" s="2017"/>
    </row>
    <row r="420" spans="1:14">
      <c r="A420" s="2018"/>
    </row>
    <row r="509" spans="1:14" ht="12" thickBot="1"/>
    <row r="510" spans="1:14" ht="33.75">
      <c r="A510" s="427"/>
      <c r="B510" s="323" t="s">
        <v>60</v>
      </c>
      <c r="C510" s="323"/>
      <c r="D510" s="428"/>
      <c r="E510" s="429"/>
      <c r="F510" s="429"/>
      <c r="G510" s="429"/>
      <c r="H510" s="429"/>
      <c r="I510" s="429"/>
      <c r="J510" s="429"/>
      <c r="K510" s="429"/>
      <c r="L510" s="429"/>
      <c r="M510" s="429"/>
      <c r="N510" s="430"/>
    </row>
    <row r="511" spans="1:14">
      <c r="A511" s="431"/>
      <c r="E511" s="390"/>
      <c r="F511" s="390"/>
      <c r="G511" s="390"/>
      <c r="H511" s="390"/>
      <c r="I511" s="390"/>
      <c r="J511" s="390"/>
      <c r="K511" s="390"/>
      <c r="L511" s="390"/>
      <c r="M511" s="390"/>
      <c r="N511" s="432"/>
    </row>
    <row r="512" spans="1:14">
      <c r="A512" s="431"/>
      <c r="E512" s="390"/>
      <c r="F512" s="390"/>
      <c r="G512" s="390"/>
      <c r="H512" s="390"/>
      <c r="I512" s="390"/>
      <c r="J512" s="390"/>
      <c r="K512" s="390"/>
      <c r="L512" s="390"/>
      <c r="M512" s="390"/>
      <c r="N512" s="432"/>
    </row>
    <row r="513" spans="1:14">
      <c r="A513" s="431"/>
      <c r="E513" s="390"/>
      <c r="F513" s="390"/>
      <c r="G513" s="390"/>
      <c r="H513" s="390"/>
      <c r="I513" s="390"/>
      <c r="J513" s="390"/>
      <c r="K513" s="390"/>
      <c r="L513" s="390"/>
      <c r="M513" s="390"/>
      <c r="N513" s="432"/>
    </row>
    <row r="514" spans="1:14">
      <c r="A514" s="431"/>
      <c r="E514" s="390"/>
      <c r="F514" s="390"/>
      <c r="G514" s="390"/>
      <c r="H514" s="390"/>
      <c r="I514" s="390"/>
      <c r="J514" s="390"/>
      <c r="K514" s="390"/>
      <c r="L514" s="390"/>
      <c r="M514" s="390"/>
      <c r="N514" s="432"/>
    </row>
    <row r="515" spans="1:14">
      <c r="A515" s="431"/>
      <c r="E515" s="390"/>
      <c r="F515" s="390"/>
      <c r="G515" s="390"/>
      <c r="H515" s="390"/>
      <c r="I515" s="390"/>
      <c r="J515" s="390"/>
      <c r="K515" s="390"/>
      <c r="L515" s="390"/>
      <c r="M515" s="390"/>
      <c r="N515" s="432"/>
    </row>
    <row r="516" spans="1:14">
      <c r="A516" s="431"/>
      <c r="E516" s="390"/>
      <c r="F516" s="390"/>
      <c r="G516" s="390"/>
      <c r="H516" s="390"/>
      <c r="I516" s="390"/>
      <c r="J516" s="390"/>
      <c r="K516" s="390"/>
      <c r="L516" s="390"/>
      <c r="M516" s="390"/>
      <c r="N516" s="432"/>
    </row>
    <row r="517" spans="1:14">
      <c r="A517" s="431"/>
      <c r="E517" s="390"/>
      <c r="F517" s="390"/>
      <c r="G517" s="390"/>
      <c r="H517" s="390"/>
      <c r="I517" s="390"/>
      <c r="J517" s="390"/>
      <c r="K517" s="390"/>
      <c r="L517" s="390"/>
      <c r="M517" s="390"/>
      <c r="N517" s="432"/>
    </row>
    <row r="518" spans="1:14" ht="12" thickBot="1">
      <c r="A518" s="431"/>
      <c r="E518" s="390"/>
      <c r="F518" s="390"/>
      <c r="G518" s="390"/>
      <c r="H518" s="390"/>
      <c r="I518" s="390"/>
      <c r="J518" s="390"/>
      <c r="K518" s="390"/>
      <c r="L518" s="390"/>
      <c r="M518" s="390"/>
      <c r="N518" s="436"/>
    </row>
    <row r="519" spans="1:14" ht="12" thickBot="1">
      <c r="A519" s="431"/>
      <c r="E519" s="390"/>
      <c r="F519" s="390"/>
      <c r="G519" s="390"/>
      <c r="H519" s="390"/>
      <c r="I519" s="390"/>
      <c r="J519" s="390"/>
      <c r="K519" s="390"/>
      <c r="L519" s="390"/>
      <c r="M519" s="390"/>
      <c r="N519" s="2025"/>
    </row>
    <row r="520" spans="1:14" ht="12" thickBot="1">
      <c r="A520" s="431"/>
      <c r="E520" s="390"/>
      <c r="F520" s="390"/>
      <c r="G520" s="390"/>
      <c r="H520" s="390"/>
      <c r="I520" s="390"/>
      <c r="J520" s="390"/>
      <c r="K520" s="390"/>
      <c r="L520" s="390"/>
      <c r="M520" s="390"/>
      <c r="N520" s="2025"/>
    </row>
    <row r="521" spans="1:14" ht="12" thickBot="1">
      <c r="A521" s="433"/>
      <c r="B521" s="434"/>
      <c r="C521" s="434"/>
      <c r="D521" s="434"/>
      <c r="E521" s="435"/>
      <c r="F521" s="435"/>
      <c r="G521" s="435"/>
      <c r="H521" s="435"/>
      <c r="I521" s="435"/>
      <c r="J521" s="435"/>
      <c r="K521" s="435"/>
      <c r="L521" s="435"/>
      <c r="M521" s="435"/>
      <c r="N521" s="2025"/>
    </row>
    <row r="522" spans="1:14" ht="12" thickBot="1">
      <c r="M522" s="434"/>
      <c r="N522" s="1986"/>
    </row>
    <row r="523" spans="1:14" ht="12" thickBot="1">
      <c r="M523" s="2002"/>
      <c r="N523" s="1986"/>
    </row>
    <row r="524" spans="1:14" ht="12" thickBot="1">
      <c r="M524" s="2002"/>
      <c r="N524" s="1986"/>
    </row>
    <row r="525" spans="1:14" ht="12" thickBot="1">
      <c r="M525" s="2002"/>
      <c r="N525" s="1986"/>
    </row>
    <row r="526" spans="1:14" ht="12" thickBot="1">
      <c r="M526" s="2002"/>
      <c r="N526" s="1986"/>
    </row>
    <row r="527" spans="1:14" ht="12" thickBot="1">
      <c r="A527" s="2016"/>
      <c r="B527" s="434"/>
      <c r="C527" s="434"/>
      <c r="D527" s="434"/>
      <c r="E527" s="434"/>
      <c r="F527" s="434"/>
      <c r="G527" s="434"/>
      <c r="H527" s="434"/>
      <c r="I527" s="434"/>
      <c r="J527" s="434"/>
      <c r="K527" s="434"/>
      <c r="L527" s="434"/>
      <c r="M527" s="2002"/>
      <c r="N527" s="1986"/>
    </row>
    <row r="528" spans="1:14" ht="12" thickBot="1">
      <c r="A528" s="2017"/>
      <c r="B528" s="428"/>
      <c r="C528" s="428"/>
      <c r="D528" s="428"/>
      <c r="E528" s="428"/>
      <c r="F528" s="428"/>
      <c r="G528" s="428"/>
      <c r="H528" s="428"/>
      <c r="I528" s="428"/>
      <c r="J528" s="428"/>
      <c r="K528" s="428"/>
      <c r="L528" s="428"/>
      <c r="M528" s="428"/>
      <c r="N528" s="1986"/>
    </row>
    <row r="529" spans="1:14" ht="12" thickBot="1">
      <c r="A529" s="2017"/>
      <c r="N529" s="1986"/>
    </row>
    <row r="530" spans="1:14" ht="12" thickBot="1">
      <c r="A530" s="2017"/>
      <c r="N530" s="1986"/>
    </row>
    <row r="531" spans="1:14" ht="12" thickBot="1">
      <c r="A531" s="2017"/>
      <c r="N531" s="1986"/>
    </row>
    <row r="532" spans="1:14" ht="12" thickBot="1">
      <c r="A532" s="2017"/>
      <c r="N532" s="1986"/>
    </row>
    <row r="533" spans="1:14" ht="12" thickBot="1">
      <c r="A533" s="2017"/>
      <c r="N533" s="1986"/>
    </row>
    <row r="534" spans="1:14" ht="12" thickBot="1">
      <c r="A534" s="2017"/>
      <c r="N534" s="1986"/>
    </row>
    <row r="535" spans="1:14">
      <c r="A535" s="2018"/>
      <c r="N535" s="1987"/>
    </row>
  </sheetData>
  <mergeCells count="87">
    <mergeCell ref="N117:N128"/>
    <mergeCell ref="C122:C123"/>
    <mergeCell ref="M124:M128"/>
    <mergeCell ref="A91:A103"/>
    <mergeCell ref="C100:C103"/>
    <mergeCell ref="M99:M103"/>
    <mergeCell ref="N91:N103"/>
    <mergeCell ref="N105:N116"/>
    <mergeCell ref="C110:C111"/>
    <mergeCell ref="C113:C114"/>
    <mergeCell ref="C115:C116"/>
    <mergeCell ref="M112:M116"/>
    <mergeCell ref="C127:C128"/>
    <mergeCell ref="C45:C49"/>
    <mergeCell ref="C51:C54"/>
    <mergeCell ref="N23:N31"/>
    <mergeCell ref="A43:A54"/>
    <mergeCell ref="N43:N54"/>
    <mergeCell ref="M50:M54"/>
    <mergeCell ref="A23:A31"/>
    <mergeCell ref="M29:M31"/>
    <mergeCell ref="C25:C31"/>
    <mergeCell ref="N32:N40"/>
    <mergeCell ref="A32:A42"/>
    <mergeCell ref="C34:C42"/>
    <mergeCell ref="A55:A66"/>
    <mergeCell ref="N55:N66"/>
    <mergeCell ref="C57:C58"/>
    <mergeCell ref="C71:C73"/>
    <mergeCell ref="B4:B5"/>
    <mergeCell ref="C4:C5"/>
    <mergeCell ref="D4:D5"/>
    <mergeCell ref="N4:N5"/>
    <mergeCell ref="N10:N22"/>
    <mergeCell ref="C11:C16"/>
    <mergeCell ref="C18:C22"/>
    <mergeCell ref="M4:M5"/>
    <mergeCell ref="M17:M22"/>
    <mergeCell ref="L4:L5"/>
    <mergeCell ref="G4:K4"/>
    <mergeCell ref="M38:M40"/>
    <mergeCell ref="A67:A78"/>
    <mergeCell ref="N67:N78"/>
    <mergeCell ref="C69:C70"/>
    <mergeCell ref="C75:C76"/>
    <mergeCell ref="C77:C78"/>
    <mergeCell ref="M74:M78"/>
    <mergeCell ref="N79:N90"/>
    <mergeCell ref="C84:C85"/>
    <mergeCell ref="C146:C148"/>
    <mergeCell ref="C59:C61"/>
    <mergeCell ref="C63:C64"/>
    <mergeCell ref="C65:C66"/>
    <mergeCell ref="M62:M66"/>
    <mergeCell ref="N129:N140"/>
    <mergeCell ref="C131:C133"/>
    <mergeCell ref="C134:C135"/>
    <mergeCell ref="M136:M140"/>
    <mergeCell ref="C137:C138"/>
    <mergeCell ref="C139:C140"/>
    <mergeCell ref="N141:N154"/>
    <mergeCell ref="M149:M154"/>
    <mergeCell ref="C150:C151"/>
    <mergeCell ref="N155:N166"/>
    <mergeCell ref="C160:C161"/>
    <mergeCell ref="M162:M166"/>
    <mergeCell ref="C163:C164"/>
    <mergeCell ref="C165:C166"/>
    <mergeCell ref="N167:N178"/>
    <mergeCell ref="C172:C173"/>
    <mergeCell ref="M174:M178"/>
    <mergeCell ref="C175:C176"/>
    <mergeCell ref="C177:C178"/>
    <mergeCell ref="C81:C83"/>
    <mergeCell ref="C87:C88"/>
    <mergeCell ref="C89:C90"/>
    <mergeCell ref="M86:M90"/>
    <mergeCell ref="A167:A178"/>
    <mergeCell ref="A155:A166"/>
    <mergeCell ref="C125:C126"/>
    <mergeCell ref="A79:A90"/>
    <mergeCell ref="A141:A154"/>
    <mergeCell ref="C152:C154"/>
    <mergeCell ref="A129:A140"/>
    <mergeCell ref="C96:C98"/>
    <mergeCell ref="A105:A116"/>
    <mergeCell ref="A117:A128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5" firstPageNumber="48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______________________________________________________________________________________________________________________________________</oddHeader>
    <oddFooter>&amp;C&amp;8&amp;P</oddFooter>
  </headerFooter>
  <rowBreaks count="2" manualBreakCount="2">
    <brk id="42" max="13" man="1"/>
    <brk id="140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BM533"/>
  <sheetViews>
    <sheetView showGridLines="0" view="pageBreakPreview" zoomScaleSheetLayoutView="100" workbookViewId="0">
      <pane xSplit="3" ySplit="7" topLeftCell="D8" activePane="bottomRight" state="frozen"/>
      <selection activeCell="A4" sqref="A1:XFD1048576"/>
      <selection pane="topRight" activeCell="A4" sqref="A1:XFD1048576"/>
      <selection pane="bottomLeft" activeCell="A4" sqref="A1:XFD1048576"/>
      <selection pane="bottomRight" activeCell="B1" sqref="B1"/>
    </sheetView>
  </sheetViews>
  <sheetFormatPr defaultColWidth="9.140625" defaultRowHeight="12" outlineLevelRow="1"/>
  <cols>
    <col min="1" max="1" width="3.7109375" style="384" customWidth="1"/>
    <col min="2" max="2" width="59" style="265" customWidth="1"/>
    <col min="3" max="3" width="11.42578125" style="265" customWidth="1"/>
    <col min="4" max="4" width="14.5703125" style="265" customWidth="1"/>
    <col min="5" max="5" width="12.5703125" style="265" customWidth="1"/>
    <col min="6" max="10" width="10.85546875" style="265" customWidth="1"/>
    <col min="11" max="11" width="10.5703125" style="265" customWidth="1"/>
    <col min="12" max="12" width="10.85546875" style="265" hidden="1" customWidth="1"/>
    <col min="13" max="13" width="11.42578125" style="265" customWidth="1"/>
    <col min="14" max="14" width="16.85546875" style="388" customWidth="1"/>
    <col min="15" max="15" width="15.140625" style="265" hidden="1" customWidth="1"/>
    <col min="16" max="16" width="11.7109375" style="265" hidden="1" customWidth="1"/>
    <col min="17" max="17" width="0" style="265" hidden="1" customWidth="1"/>
    <col min="18" max="16384" width="9.140625" style="265"/>
  </cols>
  <sheetData>
    <row r="1" spans="1:65" ht="16.5" customHeight="1">
      <c r="F1" s="2697"/>
      <c r="G1" s="261" t="s">
        <v>371</v>
      </c>
      <c r="H1" s="257"/>
      <c r="I1" s="257"/>
      <c r="J1" s="257"/>
      <c r="K1" s="257"/>
      <c r="L1" s="257"/>
      <c r="M1" s="3"/>
      <c r="N1" s="4"/>
    </row>
    <row r="2" spans="1:65" ht="15" hidden="1" customHeight="1">
      <c r="F2" s="260"/>
      <c r="G2" s="260"/>
      <c r="H2" s="260"/>
      <c r="I2" s="260"/>
      <c r="J2" s="260"/>
      <c r="K2" s="260"/>
      <c r="L2" s="260"/>
      <c r="M2" s="3"/>
      <c r="N2" s="4"/>
    </row>
    <row r="3" spans="1:65" ht="9" customHeight="1">
      <c r="D3" s="385"/>
      <c r="F3" s="262"/>
      <c r="G3" s="262"/>
      <c r="H3" s="262"/>
      <c r="I3" s="262"/>
      <c r="J3" s="262"/>
      <c r="K3" s="262"/>
      <c r="L3" s="262"/>
      <c r="M3" s="3"/>
      <c r="N3" s="4"/>
    </row>
    <row r="4" spans="1:65" s="387" customFormat="1" ht="40.5" customHeight="1" thickBot="1">
      <c r="A4" s="4063" t="s">
        <v>188</v>
      </c>
      <c r="B4" s="4063"/>
      <c r="C4" s="4063"/>
      <c r="D4" s="4063"/>
      <c r="E4" s="4063"/>
      <c r="F4" s="4063"/>
      <c r="G4" s="4063"/>
      <c r="H4" s="4063"/>
      <c r="I4" s="4063"/>
      <c r="J4" s="4063"/>
      <c r="K4" s="4063"/>
      <c r="L4" s="4063"/>
      <c r="M4" s="4063"/>
      <c r="N4" s="4063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</row>
    <row r="5" spans="1:65" ht="72" customHeight="1">
      <c r="A5" s="1813"/>
      <c r="B5" s="4064" t="s">
        <v>66</v>
      </c>
      <c r="C5" s="4066" t="s">
        <v>62</v>
      </c>
      <c r="D5" s="4068" t="s">
        <v>63</v>
      </c>
      <c r="E5" s="2693" t="s">
        <v>216</v>
      </c>
      <c r="F5" s="2691" t="s">
        <v>542</v>
      </c>
      <c r="G5" s="3521" t="s">
        <v>544</v>
      </c>
      <c r="H5" s="3522"/>
      <c r="I5" s="3522"/>
      <c r="J5" s="3522"/>
      <c r="K5" s="3523"/>
      <c r="L5" s="3658">
        <v>2024</v>
      </c>
      <c r="M5" s="3819" t="s">
        <v>563</v>
      </c>
      <c r="N5" s="3817" t="s">
        <v>64</v>
      </c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</row>
    <row r="6" spans="1:65" ht="21" customHeight="1">
      <c r="A6" s="1814"/>
      <c r="B6" s="4065"/>
      <c r="C6" s="4067"/>
      <c r="D6" s="4069"/>
      <c r="E6" s="1108" t="s">
        <v>541</v>
      </c>
      <c r="F6" s="2678" t="s">
        <v>5</v>
      </c>
      <c r="G6" s="2678" t="s">
        <v>169</v>
      </c>
      <c r="H6" s="2678" t="s">
        <v>170</v>
      </c>
      <c r="I6" s="2678" t="s">
        <v>210</v>
      </c>
      <c r="J6" s="2678" t="s">
        <v>211</v>
      </c>
      <c r="K6" s="2678" t="s">
        <v>209</v>
      </c>
      <c r="L6" s="3659"/>
      <c r="M6" s="4070"/>
      <c r="N6" s="3929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</row>
    <row r="7" spans="1:65" ht="11.25">
      <c r="A7" s="1815">
        <v>1</v>
      </c>
      <c r="B7" s="1816">
        <v>2</v>
      </c>
      <c r="C7" s="1817" t="s">
        <v>108</v>
      </c>
      <c r="D7" s="1817" t="s">
        <v>109</v>
      </c>
      <c r="E7" s="1817">
        <v>5</v>
      </c>
      <c r="F7" s="1112">
        <v>6</v>
      </c>
      <c r="G7" s="1112">
        <v>7</v>
      </c>
      <c r="H7" s="1112">
        <v>8</v>
      </c>
      <c r="I7" s="1112">
        <v>9</v>
      </c>
      <c r="J7" s="1112">
        <v>10</v>
      </c>
      <c r="K7" s="1112">
        <v>11</v>
      </c>
      <c r="L7" s="1112"/>
      <c r="M7" s="1818">
        <v>12</v>
      </c>
      <c r="N7" s="1819">
        <v>13</v>
      </c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</row>
    <row r="8" spans="1:65" s="1200" customFormat="1" ht="16.5" customHeight="1">
      <c r="A8" s="976"/>
      <c r="B8" s="531" t="s">
        <v>67</v>
      </c>
      <c r="C8" s="2687"/>
      <c r="D8" s="193">
        <f>+D9+D10</f>
        <v>43479650</v>
      </c>
      <c r="E8" s="193">
        <f t="shared" ref="E8:K8" si="0">+E9+E10</f>
        <v>12376618</v>
      </c>
      <c r="F8" s="193">
        <f t="shared" si="0"/>
        <v>6770610</v>
      </c>
      <c r="G8" s="193">
        <f t="shared" si="0"/>
        <v>8678868</v>
      </c>
      <c r="H8" s="193">
        <f t="shared" si="0"/>
        <v>8469761</v>
      </c>
      <c r="I8" s="193">
        <f t="shared" si="0"/>
        <v>2668770</v>
      </c>
      <c r="J8" s="193">
        <f t="shared" si="0"/>
        <v>2602467</v>
      </c>
      <c r="K8" s="193">
        <f t="shared" si="0"/>
        <v>1912556</v>
      </c>
      <c r="L8" s="193">
        <f>+L9+L10</f>
        <v>0</v>
      </c>
      <c r="M8" s="124">
        <f t="shared" ref="M8" si="1">+M9+M10</f>
        <v>24332422</v>
      </c>
      <c r="N8" s="13"/>
      <c r="O8" s="266">
        <f>+L8+F8+G8+H8+I8+J8+K8</f>
        <v>31103032</v>
      </c>
    </row>
    <row r="9" spans="1:65" s="1200" customFormat="1" ht="13.5" customHeight="1">
      <c r="A9" s="535"/>
      <c r="B9" s="531" t="s">
        <v>68</v>
      </c>
      <c r="C9" s="2687"/>
      <c r="D9" s="193">
        <f t="shared" ref="D9:K9" si="2">+D44+D78+D87+D58+D96</f>
        <v>42463630</v>
      </c>
      <c r="E9" s="193">
        <f t="shared" si="2"/>
        <v>12327518</v>
      </c>
      <c r="F9" s="193">
        <f t="shared" si="2"/>
        <v>6547080</v>
      </c>
      <c r="G9" s="193">
        <f t="shared" si="2"/>
        <v>8113878</v>
      </c>
      <c r="H9" s="193">
        <f t="shared" si="2"/>
        <v>8291361</v>
      </c>
      <c r="I9" s="193">
        <f t="shared" si="2"/>
        <v>2668770</v>
      </c>
      <c r="J9" s="193">
        <f t="shared" si="2"/>
        <v>2602467</v>
      </c>
      <c r="K9" s="193">
        <f t="shared" si="2"/>
        <v>1912556</v>
      </c>
      <c r="L9" s="193">
        <f>+L44+L78+L87+L58+L96</f>
        <v>0</v>
      </c>
      <c r="M9" s="124">
        <f>SUM(G9:K9)</f>
        <v>23589032</v>
      </c>
      <c r="N9" s="13"/>
      <c r="O9" s="266"/>
    </row>
    <row r="10" spans="1:65" s="1200" customFormat="1" ht="13.5" customHeight="1" thickBot="1">
      <c r="A10" s="535"/>
      <c r="B10" s="197" t="s">
        <v>8</v>
      </c>
      <c r="C10" s="489"/>
      <c r="D10" s="195">
        <f t="shared" ref="D10:K10" si="3">+D33+D69</f>
        <v>1016020</v>
      </c>
      <c r="E10" s="195">
        <f t="shared" si="3"/>
        <v>49100</v>
      </c>
      <c r="F10" s="195">
        <f t="shared" si="3"/>
        <v>223530</v>
      </c>
      <c r="G10" s="195">
        <f t="shared" si="3"/>
        <v>564990</v>
      </c>
      <c r="H10" s="195">
        <f t="shared" si="3"/>
        <v>178400</v>
      </c>
      <c r="I10" s="195">
        <f t="shared" si="3"/>
        <v>0</v>
      </c>
      <c r="J10" s="195">
        <f t="shared" si="3"/>
        <v>0</v>
      </c>
      <c r="K10" s="195">
        <f t="shared" si="3"/>
        <v>0</v>
      </c>
      <c r="L10" s="195">
        <f>+L33+L69</f>
        <v>0</v>
      </c>
      <c r="M10" s="126">
        <f>SUM(G10:K10)</f>
        <v>743390</v>
      </c>
      <c r="N10" s="980"/>
    </row>
    <row r="11" spans="1:65" s="1012" customFormat="1" ht="14.25" customHeight="1">
      <c r="A11" s="1820"/>
      <c r="B11" s="68" t="s">
        <v>9</v>
      </c>
      <c r="C11" s="162"/>
      <c r="D11" s="82">
        <f t="shared" ref="D11:K11" si="4">+D12+D16</f>
        <v>43479650</v>
      </c>
      <c r="E11" s="82">
        <f t="shared" si="4"/>
        <v>12376618</v>
      </c>
      <c r="F11" s="82">
        <f t="shared" si="4"/>
        <v>6770610</v>
      </c>
      <c r="G11" s="82">
        <f t="shared" si="4"/>
        <v>8678868</v>
      </c>
      <c r="H11" s="82">
        <f t="shared" si="4"/>
        <v>8469761</v>
      </c>
      <c r="I11" s="82">
        <f t="shared" si="4"/>
        <v>2668770</v>
      </c>
      <c r="J11" s="82">
        <f t="shared" si="4"/>
        <v>2602467</v>
      </c>
      <c r="K11" s="82">
        <f t="shared" si="4"/>
        <v>1912556</v>
      </c>
      <c r="L11" s="82">
        <f>+L12+L16</f>
        <v>0</v>
      </c>
      <c r="M11" s="1009">
        <f>+M12+M16</f>
        <v>18488323</v>
      </c>
      <c r="N11" s="2688"/>
      <c r="O11" s="1010"/>
      <c r="P11" s="2852"/>
      <c r="Q11" s="1011"/>
      <c r="R11" s="1011"/>
      <c r="S11" s="1011"/>
      <c r="T11" s="1011"/>
      <c r="U11" s="1011"/>
      <c r="V11" s="1011"/>
      <c r="W11" s="1011"/>
      <c r="X11" s="1011"/>
      <c r="Y11" s="1011"/>
      <c r="Z11" s="1011"/>
      <c r="AA11" s="1011"/>
      <c r="AB11" s="1011"/>
      <c r="AC11" s="1011"/>
      <c r="AD11" s="1011"/>
      <c r="AE11" s="1011"/>
      <c r="AF11" s="1011"/>
      <c r="AG11" s="1011"/>
      <c r="AH11" s="1011"/>
      <c r="AI11" s="1011"/>
      <c r="AJ11" s="1011"/>
      <c r="AK11" s="1011"/>
      <c r="AL11" s="1011"/>
      <c r="AM11" s="1011"/>
      <c r="AN11" s="1011"/>
      <c r="AO11" s="1011"/>
      <c r="AP11" s="1011"/>
      <c r="AQ11" s="1011"/>
      <c r="AR11" s="1011"/>
      <c r="AS11" s="1011"/>
      <c r="AT11" s="1011"/>
      <c r="AU11" s="1011"/>
      <c r="AV11" s="1011"/>
      <c r="AW11" s="1011"/>
      <c r="AX11" s="1011"/>
      <c r="AY11" s="1011"/>
      <c r="AZ11" s="1011"/>
      <c r="BA11" s="1011"/>
      <c r="BB11" s="1011"/>
      <c r="BC11" s="1011"/>
      <c r="BD11" s="1011"/>
      <c r="BE11" s="1011"/>
      <c r="BF11" s="1011"/>
      <c r="BG11" s="1011"/>
      <c r="BH11" s="1011"/>
      <c r="BI11" s="1011"/>
      <c r="BJ11" s="1011"/>
      <c r="BK11" s="1011"/>
      <c r="BL11" s="1011"/>
      <c r="BM11" s="1011"/>
    </row>
    <row r="12" spans="1:65" s="2874" customFormat="1" ht="14.25" customHeight="1">
      <c r="A12" s="978"/>
      <c r="B12" s="1761" t="s">
        <v>10</v>
      </c>
      <c r="C12" s="1013"/>
      <c r="D12" s="1762">
        <f t="shared" ref="D12:M12" si="5">SUM(D13:D15)</f>
        <v>14131859</v>
      </c>
      <c r="E12" s="1762">
        <f t="shared" si="5"/>
        <v>4211163</v>
      </c>
      <c r="F12" s="1762">
        <f t="shared" si="5"/>
        <v>2253852</v>
      </c>
      <c r="G12" s="1762">
        <f t="shared" si="5"/>
        <v>2810831</v>
      </c>
      <c r="H12" s="1762">
        <f t="shared" si="5"/>
        <v>2646464</v>
      </c>
      <c r="I12" s="1762">
        <f t="shared" si="5"/>
        <v>808164</v>
      </c>
      <c r="J12" s="1762">
        <f t="shared" si="5"/>
        <v>739309</v>
      </c>
      <c r="K12" s="1762">
        <f t="shared" si="5"/>
        <v>662076</v>
      </c>
      <c r="L12" s="1762">
        <f>SUM(L13:L15)</f>
        <v>0</v>
      </c>
      <c r="M12" s="1821">
        <f t="shared" si="5"/>
        <v>6564050</v>
      </c>
      <c r="N12" s="2689"/>
      <c r="P12" s="1200"/>
    </row>
    <row r="13" spans="1:65" s="2874" customFormat="1" ht="14.25" customHeight="1">
      <c r="A13" s="977"/>
      <c r="B13" s="1765" t="s">
        <v>11</v>
      </c>
      <c r="C13" s="1014"/>
      <c r="D13" s="1764">
        <f t="shared" ref="D13:K13" si="6">+D46+D71+D80+D89+D98</f>
        <v>740904</v>
      </c>
      <c r="E13" s="1764">
        <f t="shared" si="6"/>
        <v>29465</v>
      </c>
      <c r="F13" s="1764">
        <f t="shared" si="6"/>
        <v>61592</v>
      </c>
      <c r="G13" s="1764">
        <f>+G46+G71+G80+G89+G98</f>
        <v>146831</v>
      </c>
      <c r="H13" s="1764">
        <f t="shared" si="6"/>
        <v>229464</v>
      </c>
      <c r="I13" s="1764">
        <f t="shared" si="6"/>
        <v>110329</v>
      </c>
      <c r="J13" s="1764">
        <f t="shared" si="6"/>
        <v>141733</v>
      </c>
      <c r="K13" s="1764">
        <f t="shared" si="6"/>
        <v>21490</v>
      </c>
      <c r="L13" s="1764">
        <f>+L46+L71+L80+L89+L98</f>
        <v>0</v>
      </c>
      <c r="M13" s="1822">
        <f>+M46+M71+M80</f>
        <v>112499</v>
      </c>
      <c r="N13" s="2689"/>
      <c r="O13" s="1015"/>
      <c r="P13" s="2875"/>
    </row>
    <row r="14" spans="1:65" s="2874" customFormat="1" ht="13.5" customHeight="1" outlineLevel="1">
      <c r="A14" s="977"/>
      <c r="B14" s="1763" t="s">
        <v>12</v>
      </c>
      <c r="C14" s="1014"/>
      <c r="D14" s="1764">
        <f>+D47+D60</f>
        <v>13390955</v>
      </c>
      <c r="E14" s="1764">
        <f t="shared" ref="E14:K14" si="7">+E47+E60</f>
        <v>4181698</v>
      </c>
      <c r="F14" s="1764">
        <f t="shared" si="7"/>
        <v>2192260</v>
      </c>
      <c r="G14" s="1764">
        <f t="shared" si="7"/>
        <v>2664000</v>
      </c>
      <c r="H14" s="1764">
        <f t="shared" si="7"/>
        <v>2417000</v>
      </c>
      <c r="I14" s="1764">
        <f t="shared" si="7"/>
        <v>697835</v>
      </c>
      <c r="J14" s="1764">
        <f t="shared" si="7"/>
        <v>597576</v>
      </c>
      <c r="K14" s="1764">
        <f t="shared" si="7"/>
        <v>640586</v>
      </c>
      <c r="L14" s="1764">
        <f>+L47+L60</f>
        <v>0</v>
      </c>
      <c r="M14" s="1822">
        <f>+M47</f>
        <v>6451551</v>
      </c>
      <c r="N14" s="2689"/>
      <c r="O14" s="1015">
        <f>D14-D23</f>
        <v>0</v>
      </c>
      <c r="P14" s="2875"/>
    </row>
    <row r="15" spans="1:65" s="2874" customFormat="1" ht="14.25" hidden="1" customHeight="1" outlineLevel="1">
      <c r="A15" s="977"/>
      <c r="B15" s="1765" t="s">
        <v>15</v>
      </c>
      <c r="C15" s="1453"/>
      <c r="D15" s="1764">
        <f>+D35</f>
        <v>0</v>
      </c>
      <c r="E15" s="1764">
        <f t="shared" ref="E15:K15" si="8">+E35</f>
        <v>0</v>
      </c>
      <c r="F15" s="1764">
        <f t="shared" si="8"/>
        <v>0</v>
      </c>
      <c r="G15" s="1764">
        <f t="shared" si="8"/>
        <v>0</v>
      </c>
      <c r="H15" s="1764">
        <f t="shared" si="8"/>
        <v>0</v>
      </c>
      <c r="I15" s="1764">
        <f t="shared" si="8"/>
        <v>0</v>
      </c>
      <c r="J15" s="1764">
        <f t="shared" si="8"/>
        <v>0</v>
      </c>
      <c r="K15" s="1764">
        <f t="shared" si="8"/>
        <v>0</v>
      </c>
      <c r="L15" s="1764">
        <f>+L35</f>
        <v>0</v>
      </c>
      <c r="M15" s="1822">
        <f>+M35</f>
        <v>0</v>
      </c>
      <c r="N15" s="2689"/>
      <c r="O15" s="1015">
        <f>D15-D25</f>
        <v>0</v>
      </c>
      <c r="P15" s="2875"/>
    </row>
    <row r="16" spans="1:65" s="2874" customFormat="1" ht="14.25" customHeight="1" outlineLevel="1">
      <c r="A16" s="978"/>
      <c r="B16" s="1016" t="s">
        <v>17</v>
      </c>
      <c r="C16" s="1017"/>
      <c r="D16" s="1018">
        <f>+D18+D19+D20+D17</f>
        <v>29347791</v>
      </c>
      <c r="E16" s="1018">
        <f t="shared" ref="E16:K16" si="9">+E18+E19+E20+E17</f>
        <v>8165455</v>
      </c>
      <c r="F16" s="1018">
        <f t="shared" si="9"/>
        <v>4516758</v>
      </c>
      <c r="G16" s="1018">
        <f t="shared" si="9"/>
        <v>5868037</v>
      </c>
      <c r="H16" s="1018">
        <f t="shared" si="9"/>
        <v>5823297</v>
      </c>
      <c r="I16" s="1018">
        <f t="shared" si="9"/>
        <v>1860606</v>
      </c>
      <c r="J16" s="1018">
        <f t="shared" si="9"/>
        <v>1863158</v>
      </c>
      <c r="K16" s="1018">
        <f t="shared" si="9"/>
        <v>1250480</v>
      </c>
      <c r="L16" s="1018">
        <f>+L18+L19+L20+L17</f>
        <v>0</v>
      </c>
      <c r="M16" s="1019">
        <f>+M18+M19+M20+M17</f>
        <v>11924273</v>
      </c>
      <c r="N16" s="2689"/>
      <c r="O16" s="2875">
        <f>D18-D29</f>
        <v>0</v>
      </c>
      <c r="P16" s="2875"/>
    </row>
    <row r="17" spans="1:16" s="2874" customFormat="1" ht="14.25" hidden="1" customHeight="1" outlineLevel="1">
      <c r="A17" s="978"/>
      <c r="B17" s="1765" t="s">
        <v>11</v>
      </c>
      <c r="C17" s="1013"/>
      <c r="D17" s="1764"/>
      <c r="E17" s="1764"/>
      <c r="F17" s="1764"/>
      <c r="G17" s="1764"/>
      <c r="H17" s="1764"/>
      <c r="I17" s="1764"/>
      <c r="J17" s="1764"/>
      <c r="K17" s="1764"/>
      <c r="L17" s="1764"/>
      <c r="M17" s="1822"/>
      <c r="N17" s="2689"/>
      <c r="O17" s="2875"/>
      <c r="P17" s="2875"/>
    </row>
    <row r="18" spans="1:16" s="2874" customFormat="1" ht="14.25" customHeight="1" outlineLevel="1">
      <c r="A18" s="978"/>
      <c r="B18" s="1763" t="s">
        <v>19</v>
      </c>
      <c r="C18" s="1014"/>
      <c r="D18" s="1764">
        <f t="shared" ref="D18:K18" si="10">+D49+D73+D82+D62+D91+D100</f>
        <v>29347791</v>
      </c>
      <c r="E18" s="1764">
        <f t="shared" si="10"/>
        <v>8165455</v>
      </c>
      <c r="F18" s="1764">
        <f t="shared" si="10"/>
        <v>4516758</v>
      </c>
      <c r="G18" s="1764">
        <f t="shared" si="10"/>
        <v>5868037</v>
      </c>
      <c r="H18" s="1764">
        <f t="shared" si="10"/>
        <v>5823297</v>
      </c>
      <c r="I18" s="1764">
        <f t="shared" si="10"/>
        <v>1860606</v>
      </c>
      <c r="J18" s="1764">
        <f t="shared" si="10"/>
        <v>1863158</v>
      </c>
      <c r="K18" s="1764">
        <f t="shared" si="10"/>
        <v>1250480</v>
      </c>
      <c r="L18" s="1764">
        <f>+L49+L73+L82+L62+L91+L100</f>
        <v>0</v>
      </c>
      <c r="M18" s="1822">
        <f>+M49+M73+M82</f>
        <v>11924273</v>
      </c>
      <c r="N18" s="2689"/>
      <c r="O18" s="1015"/>
      <c r="P18" s="2875"/>
    </row>
    <row r="19" spans="1:16" s="2874" customFormat="1" ht="14.25" hidden="1" customHeight="1" outlineLevel="1">
      <c r="A19" s="978"/>
      <c r="B19" s="1765" t="s">
        <v>13</v>
      </c>
      <c r="C19" s="1020"/>
      <c r="D19" s="1764"/>
      <c r="E19" s="1764"/>
      <c r="F19" s="1764"/>
      <c r="G19" s="1764"/>
      <c r="H19" s="1764"/>
      <c r="I19" s="1764"/>
      <c r="J19" s="1764"/>
      <c r="K19" s="1764"/>
      <c r="L19" s="1764"/>
      <c r="M19" s="1822"/>
      <c r="N19" s="2689"/>
      <c r="O19" s="1015"/>
      <c r="P19" s="2875"/>
    </row>
    <row r="20" spans="1:16" s="2874" customFormat="1" ht="14.25" hidden="1" customHeight="1" outlineLevel="1">
      <c r="A20" s="978"/>
      <c r="B20" s="1763" t="s">
        <v>18</v>
      </c>
      <c r="C20" s="1020"/>
      <c r="D20" s="1764">
        <f>+D37</f>
        <v>0</v>
      </c>
      <c r="E20" s="1764">
        <f t="shared" ref="E20:K20" si="11">+E37</f>
        <v>0</v>
      </c>
      <c r="F20" s="1764">
        <f t="shared" si="11"/>
        <v>0</v>
      </c>
      <c r="G20" s="1764">
        <f t="shared" si="11"/>
        <v>0</v>
      </c>
      <c r="H20" s="1764">
        <f t="shared" si="11"/>
        <v>0</v>
      </c>
      <c r="I20" s="1764">
        <f t="shared" si="11"/>
        <v>0</v>
      </c>
      <c r="J20" s="1764">
        <f t="shared" si="11"/>
        <v>0</v>
      </c>
      <c r="K20" s="1764">
        <f t="shared" si="11"/>
        <v>0</v>
      </c>
      <c r="L20" s="1764">
        <f>+L37</f>
        <v>0</v>
      </c>
      <c r="M20" s="1822">
        <f>+M37</f>
        <v>0</v>
      </c>
      <c r="N20" s="2690"/>
      <c r="O20" s="1015"/>
      <c r="P20" s="2875"/>
    </row>
    <row r="21" spans="1:16" s="2874" customFormat="1" ht="14.25" customHeight="1" outlineLevel="1">
      <c r="A21" s="535"/>
      <c r="B21" s="68" t="s">
        <v>20</v>
      </c>
      <c r="C21" s="75"/>
      <c r="D21" s="1021">
        <f>+D22+D28</f>
        <v>42738746</v>
      </c>
      <c r="E21" s="1021">
        <f t="shared" ref="E21:K21" si="12">+E22+E28</f>
        <v>12327518</v>
      </c>
      <c r="F21" s="1021">
        <f t="shared" si="12"/>
        <v>6728653</v>
      </c>
      <c r="G21" s="1021">
        <f t="shared" si="12"/>
        <v>8532037</v>
      </c>
      <c r="H21" s="1021">
        <f t="shared" si="12"/>
        <v>8240297</v>
      </c>
      <c r="I21" s="1021">
        <f t="shared" si="12"/>
        <v>2558441</v>
      </c>
      <c r="J21" s="1021">
        <f t="shared" si="12"/>
        <v>2460734</v>
      </c>
      <c r="K21" s="1021">
        <f t="shared" si="12"/>
        <v>1891066</v>
      </c>
      <c r="L21" s="1021">
        <f>+L22+L28</f>
        <v>0</v>
      </c>
      <c r="M21" s="4057" t="s">
        <v>52</v>
      </c>
      <c r="N21" s="1823"/>
      <c r="O21" s="2875">
        <f>D31-D20-D17</f>
        <v>0</v>
      </c>
    </row>
    <row r="22" spans="1:16" s="2874" customFormat="1" ht="14.25" customHeight="1" outlineLevel="1">
      <c r="A22" s="978"/>
      <c r="B22" s="1761" t="s">
        <v>10</v>
      </c>
      <c r="C22" s="1013"/>
      <c r="D22" s="1762">
        <f t="shared" ref="D22:K22" si="13">SUM(D23:D27)</f>
        <v>13390955</v>
      </c>
      <c r="E22" s="1762">
        <f t="shared" si="13"/>
        <v>4181698</v>
      </c>
      <c r="F22" s="1762">
        <f t="shared" si="13"/>
        <v>2192260</v>
      </c>
      <c r="G22" s="1762">
        <f t="shared" si="13"/>
        <v>2664000</v>
      </c>
      <c r="H22" s="1762">
        <f t="shared" si="13"/>
        <v>2417000</v>
      </c>
      <c r="I22" s="1762">
        <f t="shared" si="13"/>
        <v>697835</v>
      </c>
      <c r="J22" s="1762">
        <f t="shared" si="13"/>
        <v>597576</v>
      </c>
      <c r="K22" s="1762">
        <f t="shared" si="13"/>
        <v>640586</v>
      </c>
      <c r="L22" s="1762">
        <f>SUM(L23:L27)</f>
        <v>0</v>
      </c>
      <c r="M22" s="4058"/>
      <c r="N22" s="2689"/>
      <c r="O22" s="2875"/>
    </row>
    <row r="23" spans="1:16" s="2874" customFormat="1" ht="14.25" customHeight="1" outlineLevel="1">
      <c r="A23" s="977"/>
      <c r="B23" s="1763" t="s">
        <v>12</v>
      </c>
      <c r="C23" s="1453"/>
      <c r="D23" s="1764">
        <f>+D52+D65</f>
        <v>13390955</v>
      </c>
      <c r="E23" s="1764">
        <f t="shared" ref="E23:K23" si="14">+E52+E65</f>
        <v>4181698</v>
      </c>
      <c r="F23" s="1764">
        <f t="shared" si="14"/>
        <v>2192260</v>
      </c>
      <c r="G23" s="1764">
        <f t="shared" si="14"/>
        <v>2664000</v>
      </c>
      <c r="H23" s="1764">
        <f t="shared" si="14"/>
        <v>2417000</v>
      </c>
      <c r="I23" s="1764">
        <f t="shared" si="14"/>
        <v>697835</v>
      </c>
      <c r="J23" s="1764">
        <f t="shared" si="14"/>
        <v>597576</v>
      </c>
      <c r="K23" s="1764">
        <f t="shared" si="14"/>
        <v>640586</v>
      </c>
      <c r="L23" s="1764">
        <f>+L52+L65</f>
        <v>0</v>
      </c>
      <c r="M23" s="4058"/>
      <c r="N23" s="2689"/>
      <c r="O23" s="2875">
        <f>D23-D14</f>
        <v>0</v>
      </c>
    </row>
    <row r="24" spans="1:16" s="2874" customFormat="1" ht="14.25" hidden="1" customHeight="1" outlineLevel="1">
      <c r="A24" s="977"/>
      <c r="B24" s="1765" t="s">
        <v>13</v>
      </c>
      <c r="C24" s="1014"/>
      <c r="D24" s="1764"/>
      <c r="E24" s="1764"/>
      <c r="F24" s="1764"/>
      <c r="G24" s="1764"/>
      <c r="H24" s="1764"/>
      <c r="I24" s="1764"/>
      <c r="J24" s="1764"/>
      <c r="K24" s="1764"/>
      <c r="L24" s="1764"/>
      <c r="M24" s="4058"/>
      <c r="N24" s="2689"/>
      <c r="O24" s="2875" t="e">
        <f>D24-#REF!</f>
        <v>#REF!</v>
      </c>
    </row>
    <row r="25" spans="1:16" s="2874" customFormat="1" ht="14.25" hidden="1" customHeight="1" outlineLevel="1">
      <c r="A25" s="977"/>
      <c r="B25" s="1765" t="s">
        <v>53</v>
      </c>
      <c r="C25" s="1014"/>
      <c r="D25" s="1764">
        <f>+D40</f>
        <v>0</v>
      </c>
      <c r="E25" s="1764">
        <f t="shared" ref="E25:K25" si="15">+E40</f>
        <v>0</v>
      </c>
      <c r="F25" s="1764">
        <f t="shared" si="15"/>
        <v>0</v>
      </c>
      <c r="G25" s="1764">
        <f t="shared" si="15"/>
        <v>0</v>
      </c>
      <c r="H25" s="1764">
        <f t="shared" si="15"/>
        <v>0</v>
      </c>
      <c r="I25" s="1764">
        <f t="shared" si="15"/>
        <v>0</v>
      </c>
      <c r="J25" s="1764">
        <f t="shared" si="15"/>
        <v>0</v>
      </c>
      <c r="K25" s="1764">
        <f t="shared" si="15"/>
        <v>0</v>
      </c>
      <c r="L25" s="1764">
        <f>+L40</f>
        <v>0</v>
      </c>
      <c r="M25" s="4058"/>
      <c r="N25" s="2689"/>
      <c r="O25" s="2875">
        <f>D25-D15</f>
        <v>0</v>
      </c>
    </row>
    <row r="26" spans="1:16" s="2874" customFormat="1" ht="14.25" hidden="1" customHeight="1" outlineLevel="1">
      <c r="A26" s="977"/>
      <c r="B26" s="1765" t="s">
        <v>23</v>
      </c>
      <c r="C26" s="1014"/>
      <c r="D26" s="1764"/>
      <c r="E26" s="1764"/>
      <c r="F26" s="1764"/>
      <c r="G26" s="1764"/>
      <c r="H26" s="1764"/>
      <c r="I26" s="1764"/>
      <c r="J26" s="1764"/>
      <c r="K26" s="1764"/>
      <c r="L26" s="1764"/>
      <c r="M26" s="4058"/>
      <c r="N26" s="2689"/>
    </row>
    <row r="27" spans="1:16" s="2874" customFormat="1" ht="12.75" hidden="1" customHeight="1" outlineLevel="1">
      <c r="A27" s="977"/>
      <c r="B27" s="535" t="s">
        <v>11</v>
      </c>
      <c r="C27" s="1022"/>
      <c r="D27" s="1023"/>
      <c r="E27" s="1023"/>
      <c r="F27" s="1023"/>
      <c r="G27" s="1023"/>
      <c r="H27" s="1023"/>
      <c r="I27" s="1023"/>
      <c r="J27" s="1023"/>
      <c r="K27" s="1023"/>
      <c r="L27" s="1023"/>
      <c r="M27" s="4058"/>
      <c r="N27" s="2689"/>
    </row>
    <row r="28" spans="1:16" s="2874" customFormat="1" ht="14.25" customHeight="1" outlineLevel="1">
      <c r="A28" s="978"/>
      <c r="B28" s="1016" t="s">
        <v>17</v>
      </c>
      <c r="C28" s="1024"/>
      <c r="D28" s="1018">
        <f>+D29+D31+D30</f>
        <v>29347791</v>
      </c>
      <c r="E28" s="1018">
        <f t="shared" ref="E28:K28" si="16">+E29+E31+E30</f>
        <v>8145820</v>
      </c>
      <c r="F28" s="1018">
        <f t="shared" si="16"/>
        <v>4536393</v>
      </c>
      <c r="G28" s="1018">
        <f t="shared" si="16"/>
        <v>5868037</v>
      </c>
      <c r="H28" s="1018">
        <f t="shared" si="16"/>
        <v>5823297</v>
      </c>
      <c r="I28" s="1018">
        <f t="shared" si="16"/>
        <v>1860606</v>
      </c>
      <c r="J28" s="1018">
        <f t="shared" si="16"/>
        <v>1863158</v>
      </c>
      <c r="K28" s="1018">
        <f t="shared" si="16"/>
        <v>1250480</v>
      </c>
      <c r="L28" s="1018">
        <f>+L29+L31+L30</f>
        <v>0</v>
      </c>
      <c r="M28" s="4058"/>
      <c r="N28" s="2689"/>
    </row>
    <row r="29" spans="1:16" s="2874" customFormat="1" ht="14.25" customHeight="1" outlineLevel="1" thickBot="1">
      <c r="A29" s="977"/>
      <c r="B29" s="1763" t="s">
        <v>19</v>
      </c>
      <c r="C29" s="1025"/>
      <c r="D29" s="1764">
        <f t="shared" ref="D29:K29" si="17">D55+D67+D76+D85+D94+D103</f>
        <v>29347791</v>
      </c>
      <c r="E29" s="1764">
        <f t="shared" si="17"/>
        <v>8145820</v>
      </c>
      <c r="F29" s="1764">
        <f>F55+F67+F76+F85+F94+F103</f>
        <v>4536393</v>
      </c>
      <c r="G29" s="1764">
        <f t="shared" si="17"/>
        <v>5868037</v>
      </c>
      <c r="H29" s="1764">
        <f t="shared" si="17"/>
        <v>5823297</v>
      </c>
      <c r="I29" s="1764">
        <f t="shared" si="17"/>
        <v>1860606</v>
      </c>
      <c r="J29" s="1764">
        <f>J55+J67+J76+J85+J94+J103</f>
        <v>1863158</v>
      </c>
      <c r="K29" s="1764">
        <f t="shared" si="17"/>
        <v>1250480</v>
      </c>
      <c r="L29" s="1764">
        <f>L55+L67+L76+L85+L94+L103</f>
        <v>0</v>
      </c>
      <c r="M29" s="4058"/>
      <c r="N29" s="2689"/>
      <c r="O29" s="2875">
        <f>D29-D18</f>
        <v>0</v>
      </c>
    </row>
    <row r="30" spans="1:16" s="2874" customFormat="1" ht="14.25" hidden="1" customHeight="1" outlineLevel="1">
      <c r="A30" s="977"/>
      <c r="B30" s="1765" t="s">
        <v>13</v>
      </c>
      <c r="C30" s="1025"/>
      <c r="D30" s="1764"/>
      <c r="E30" s="1764"/>
      <c r="F30" s="1764"/>
      <c r="G30" s="1764"/>
      <c r="H30" s="1764"/>
      <c r="I30" s="1764"/>
      <c r="J30" s="1764"/>
      <c r="K30" s="1764"/>
      <c r="L30" s="1764"/>
      <c r="M30" s="4058"/>
      <c r="N30" s="2689"/>
      <c r="O30" s="2875">
        <f>D30-D19</f>
        <v>0</v>
      </c>
      <c r="P30" s="2875"/>
    </row>
    <row r="31" spans="1:16" s="2874" customFormat="1" ht="14.25" hidden="1" customHeight="1" collapsed="1" thickBot="1">
      <c r="A31" s="979"/>
      <c r="B31" s="1026" t="s">
        <v>18</v>
      </c>
      <c r="C31" s="1766"/>
      <c r="D31" s="1767">
        <f>+D42</f>
        <v>0</v>
      </c>
      <c r="E31" s="1767">
        <f t="shared" ref="E31:K31" si="18">+E42</f>
        <v>0</v>
      </c>
      <c r="F31" s="1767">
        <f t="shared" si="18"/>
        <v>0</v>
      </c>
      <c r="G31" s="1767">
        <f t="shared" si="18"/>
        <v>0</v>
      </c>
      <c r="H31" s="1767">
        <f t="shared" si="18"/>
        <v>0</v>
      </c>
      <c r="I31" s="1767">
        <f t="shared" si="18"/>
        <v>0</v>
      </c>
      <c r="J31" s="1767">
        <f t="shared" si="18"/>
        <v>0</v>
      </c>
      <c r="K31" s="1767">
        <f t="shared" si="18"/>
        <v>0</v>
      </c>
      <c r="L31" s="1767">
        <f>+L42</f>
        <v>0</v>
      </c>
      <c r="M31" s="4059"/>
      <c r="N31" s="2692"/>
      <c r="O31" s="2875">
        <f>D31-D20-D17</f>
        <v>0</v>
      </c>
    </row>
    <row r="32" spans="1:16" s="547" customFormat="1" ht="12.75" hidden="1" thickBot="1">
      <c r="A32" s="3549"/>
      <c r="B32" s="1683"/>
      <c r="C32" s="941" t="s">
        <v>72</v>
      </c>
      <c r="D32" s="941"/>
      <c r="E32" s="51"/>
      <c r="F32" s="942"/>
      <c r="G32" s="942"/>
      <c r="H32" s="942"/>
      <c r="I32" s="942"/>
      <c r="J32" s="942"/>
      <c r="K32" s="942"/>
      <c r="L32" s="942"/>
      <c r="M32" s="943"/>
      <c r="N32" s="3405" t="s">
        <v>370</v>
      </c>
    </row>
    <row r="33" spans="1:14" s="547" customFormat="1" ht="14.25" hidden="1" customHeight="1">
      <c r="A33" s="3550"/>
      <c r="B33" s="1768" t="s">
        <v>9</v>
      </c>
      <c r="C33" s="1824"/>
      <c r="D33" s="548">
        <f t="shared" ref="D33" si="19">+D34+D36</f>
        <v>0</v>
      </c>
      <c r="E33" s="1825">
        <f t="shared" ref="E33" si="20">+E34+E36</f>
        <v>0</v>
      </c>
      <c r="F33" s="1566">
        <f>+F34+F36</f>
        <v>0</v>
      </c>
      <c r="G33" s="1566">
        <f>+G34+G36</f>
        <v>0</v>
      </c>
      <c r="H33" s="1573"/>
      <c r="I33" s="1573"/>
      <c r="J33" s="1573"/>
      <c r="K33" s="1573"/>
      <c r="L33" s="1566">
        <f>+L34+L36</f>
        <v>0</v>
      </c>
      <c r="M33" s="1826">
        <f>+M34+M36</f>
        <v>0</v>
      </c>
      <c r="N33" s="3406"/>
    </row>
    <row r="34" spans="1:14" s="547" customFormat="1" ht="14.25" hidden="1" customHeight="1">
      <c r="A34" s="3550"/>
      <c r="B34" s="1770" t="s">
        <v>10</v>
      </c>
      <c r="C34" s="4052" t="s">
        <v>155</v>
      </c>
      <c r="D34" s="1771">
        <f>D35</f>
        <v>0</v>
      </c>
      <c r="E34" s="1827">
        <f t="shared" ref="E34" si="21">E35</f>
        <v>0</v>
      </c>
      <c r="F34" s="1559">
        <f>F35</f>
        <v>0</v>
      </c>
      <c r="G34" s="1559">
        <f>G35</f>
        <v>0</v>
      </c>
      <c r="H34" s="1771"/>
      <c r="I34" s="1771"/>
      <c r="J34" s="1771"/>
      <c r="K34" s="1771"/>
      <c r="L34" s="1559">
        <f>L35</f>
        <v>0</v>
      </c>
      <c r="M34" s="1828">
        <f>M35</f>
        <v>0</v>
      </c>
      <c r="N34" s="3406"/>
    </row>
    <row r="35" spans="1:14" s="550" customFormat="1" ht="12.75" hidden="1" thickBot="1">
      <c r="A35" s="3550"/>
      <c r="B35" s="1829" t="s">
        <v>53</v>
      </c>
      <c r="C35" s="4053"/>
      <c r="D35" s="724">
        <f>E35+L35+F35+G35+H35+I35+J35+K35</f>
        <v>0</v>
      </c>
      <c r="E35" s="1830"/>
      <c r="F35" s="1831"/>
      <c r="G35" s="1831"/>
      <c r="H35" s="1774"/>
      <c r="I35" s="1774"/>
      <c r="J35" s="1774"/>
      <c r="K35" s="1774"/>
      <c r="L35" s="1831"/>
      <c r="M35" s="1776">
        <f>SUM(F35:K35)</f>
        <v>0</v>
      </c>
      <c r="N35" s="3406"/>
    </row>
    <row r="36" spans="1:14" s="547" customFormat="1" ht="14.25" hidden="1" customHeight="1">
      <c r="A36" s="3550"/>
      <c r="B36" s="1778" t="s">
        <v>17</v>
      </c>
      <c r="C36" s="4053"/>
      <c r="D36" s="539">
        <f>D37</f>
        <v>0</v>
      </c>
      <c r="E36" s="1832">
        <f t="shared" ref="E36:G36" si="22">E37</f>
        <v>0</v>
      </c>
      <c r="F36" s="551">
        <f t="shared" si="22"/>
        <v>0</v>
      </c>
      <c r="G36" s="551">
        <f t="shared" si="22"/>
        <v>0</v>
      </c>
      <c r="H36" s="539"/>
      <c r="I36" s="539"/>
      <c r="J36" s="539"/>
      <c r="K36" s="539"/>
      <c r="L36" s="1559">
        <f>L37</f>
        <v>0</v>
      </c>
      <c r="M36" s="1828">
        <f>M37</f>
        <v>0</v>
      </c>
      <c r="N36" s="3406"/>
    </row>
    <row r="37" spans="1:14" s="547" customFormat="1" ht="12.75" hidden="1" thickBot="1">
      <c r="A37" s="3550"/>
      <c r="B37" s="1773" t="s">
        <v>18</v>
      </c>
      <c r="C37" s="4053"/>
      <c r="D37" s="724">
        <f>E37+L37+F37+G37+H37+I37+J37+K37</f>
        <v>0</v>
      </c>
      <c r="E37" s="1830"/>
      <c r="F37" s="1833"/>
      <c r="G37" s="1833"/>
      <c r="H37" s="1834"/>
      <c r="I37" s="1834"/>
      <c r="J37" s="1834"/>
      <c r="K37" s="1834"/>
      <c r="L37" s="2876"/>
      <c r="M37" s="1776">
        <f>SUM(F37:K37)</f>
        <v>0</v>
      </c>
      <c r="N37" s="3406"/>
    </row>
    <row r="38" spans="1:14" s="552" customFormat="1" ht="14.25" hidden="1" customHeight="1">
      <c r="A38" s="3550"/>
      <c r="B38" s="1768" t="s">
        <v>20</v>
      </c>
      <c r="C38" s="1824"/>
      <c r="D38" s="536">
        <f t="shared" ref="D38" si="23">+D39+D42</f>
        <v>0</v>
      </c>
      <c r="E38" s="1835">
        <f t="shared" ref="E38" si="24">+E39+E42</f>
        <v>0</v>
      </c>
      <c r="F38" s="1566">
        <f>+F39+F42</f>
        <v>0</v>
      </c>
      <c r="G38" s="1573">
        <f>+G39+G42</f>
        <v>0</v>
      </c>
      <c r="H38" s="1573"/>
      <c r="I38" s="1573"/>
      <c r="J38" s="1573"/>
      <c r="K38" s="1573"/>
      <c r="L38" s="1566">
        <f>+L39+L42</f>
        <v>0</v>
      </c>
      <c r="M38" s="4055" t="s">
        <v>52</v>
      </c>
      <c r="N38" s="3406"/>
    </row>
    <row r="39" spans="1:14" s="547" customFormat="1" ht="14.25" hidden="1" customHeight="1">
      <c r="A39" s="3550"/>
      <c r="B39" s="1770" t="s">
        <v>10</v>
      </c>
      <c r="C39" s="4052" t="s">
        <v>155</v>
      </c>
      <c r="D39" s="1771">
        <f>D40</f>
        <v>0</v>
      </c>
      <c r="E39" s="1827">
        <f t="shared" ref="E39:G39" si="25">E40</f>
        <v>0</v>
      </c>
      <c r="F39" s="1559">
        <f t="shared" si="25"/>
        <v>0</v>
      </c>
      <c r="G39" s="1771">
        <f t="shared" si="25"/>
        <v>0</v>
      </c>
      <c r="H39" s="1771"/>
      <c r="I39" s="1771"/>
      <c r="J39" s="1771"/>
      <c r="K39" s="1771"/>
      <c r="L39" s="1559">
        <f>L40</f>
        <v>0</v>
      </c>
      <c r="M39" s="4055"/>
      <c r="N39" s="3406"/>
    </row>
    <row r="40" spans="1:14" s="547" customFormat="1" ht="12.75" hidden="1" customHeight="1">
      <c r="A40" s="3550"/>
      <c r="B40" s="1773" t="s">
        <v>15</v>
      </c>
      <c r="C40" s="4053"/>
      <c r="D40" s="724">
        <f>E40+L40+F40+G40+H40+I40+J40+K40</f>
        <v>0</v>
      </c>
      <c r="E40" s="1831"/>
      <c r="F40" s="1831"/>
      <c r="G40" s="1774"/>
      <c r="H40" s="1774"/>
      <c r="I40" s="1774"/>
      <c r="J40" s="1774"/>
      <c r="K40" s="1774"/>
      <c r="L40" s="1831"/>
      <c r="M40" s="4055"/>
      <c r="N40" s="3406"/>
    </row>
    <row r="41" spans="1:14" s="547" customFormat="1" ht="14.25" hidden="1" customHeight="1">
      <c r="A41" s="3550"/>
      <c r="B41" s="1778" t="s">
        <v>17</v>
      </c>
      <c r="C41" s="4053"/>
      <c r="D41" s="1771">
        <f>D42</f>
        <v>0</v>
      </c>
      <c r="E41" s="1827">
        <f t="shared" ref="E41:G41" si="26">E42</f>
        <v>0</v>
      </c>
      <c r="F41" s="1559">
        <f t="shared" si="26"/>
        <v>0</v>
      </c>
      <c r="G41" s="1771">
        <f t="shared" si="26"/>
        <v>0</v>
      </c>
      <c r="H41" s="1771"/>
      <c r="I41" s="1771"/>
      <c r="J41" s="1771"/>
      <c r="K41" s="1771"/>
      <c r="L41" s="1559">
        <f>L42</f>
        <v>0</v>
      </c>
      <c r="M41" s="4055"/>
      <c r="N41" s="3406"/>
    </row>
    <row r="42" spans="1:14" s="547" customFormat="1" ht="12.75" hidden="1" customHeight="1" thickBot="1">
      <c r="A42" s="3584"/>
      <c r="B42" s="67" t="s">
        <v>18</v>
      </c>
      <c r="C42" s="4054"/>
      <c r="D42" s="1405">
        <f>E42+L42+F42+G42+H42+I42+J42+K42</f>
        <v>0</v>
      </c>
      <c r="E42" s="1462"/>
      <c r="F42" s="1684"/>
      <c r="G42" s="951"/>
      <c r="H42" s="951"/>
      <c r="I42" s="951"/>
      <c r="J42" s="951"/>
      <c r="K42" s="951"/>
      <c r="L42" s="2877"/>
      <c r="M42" s="4056"/>
      <c r="N42" s="3473"/>
    </row>
    <row r="43" spans="1:14" ht="18.75" customHeight="1">
      <c r="A43" s="3549" t="s">
        <v>54</v>
      </c>
      <c r="B43" s="1683" t="s">
        <v>463</v>
      </c>
      <c r="C43" s="2241" t="s">
        <v>99</v>
      </c>
      <c r="D43" s="2241"/>
      <c r="E43" s="2241"/>
      <c r="F43" s="2226"/>
      <c r="G43" s="2226"/>
      <c r="H43" s="2226"/>
      <c r="I43" s="2226"/>
      <c r="J43" s="2226"/>
      <c r="K43" s="50"/>
      <c r="L43" s="2226"/>
      <c r="M43" s="2477"/>
      <c r="N43" s="3447" t="s">
        <v>272</v>
      </c>
    </row>
    <row r="44" spans="1:14" ht="13.5" customHeight="1">
      <c r="A44" s="3550"/>
      <c r="B44" s="1768" t="s">
        <v>9</v>
      </c>
      <c r="C44" s="1709"/>
      <c r="D44" s="536">
        <f t="shared" ref="D44:K44" si="27">+D45+D48</f>
        <v>32711308</v>
      </c>
      <c r="E44" s="536">
        <f t="shared" ref="E44" si="28">+E45+E48</f>
        <v>9672975</v>
      </c>
      <c r="F44" s="1573">
        <f t="shared" si="27"/>
        <v>5300000</v>
      </c>
      <c r="G44" s="1573">
        <f t="shared" si="27"/>
        <v>6500000</v>
      </c>
      <c r="H44" s="1573">
        <f t="shared" si="27"/>
        <v>6000000</v>
      </c>
      <c r="I44" s="1573">
        <f t="shared" si="27"/>
        <v>1883242</v>
      </c>
      <c r="J44" s="1573">
        <f t="shared" si="27"/>
        <v>1607578</v>
      </c>
      <c r="K44" s="1573">
        <f t="shared" si="27"/>
        <v>1747513</v>
      </c>
      <c r="L44" s="1573">
        <f>+L45+L48</f>
        <v>0</v>
      </c>
      <c r="M44" s="1769">
        <f>+M45+M48</f>
        <v>17738333</v>
      </c>
      <c r="N44" s="4071"/>
    </row>
    <row r="45" spans="1:14" ht="13.5" customHeight="1">
      <c r="A45" s="3550"/>
      <c r="B45" s="1770" t="s">
        <v>10</v>
      </c>
      <c r="C45" s="4072" t="s">
        <v>156</v>
      </c>
      <c r="D45" s="539">
        <f>+D46+D47</f>
        <v>11896874</v>
      </c>
      <c r="E45" s="539">
        <f t="shared" ref="E45" si="29">+E46+E47</f>
        <v>3518063</v>
      </c>
      <c r="F45" s="1771">
        <f t="shared" ref="F45:K45" si="30">+F46+F47</f>
        <v>1927260</v>
      </c>
      <c r="G45" s="1771">
        <f t="shared" si="30"/>
        <v>2364000</v>
      </c>
      <c r="H45" s="1771">
        <f t="shared" si="30"/>
        <v>2182000</v>
      </c>
      <c r="I45" s="1771">
        <f t="shared" si="30"/>
        <v>685335</v>
      </c>
      <c r="J45" s="1771">
        <f t="shared" si="30"/>
        <v>585076</v>
      </c>
      <c r="K45" s="1771">
        <f t="shared" si="30"/>
        <v>635140</v>
      </c>
      <c r="L45" s="1771">
        <f>+L46+L47</f>
        <v>0</v>
      </c>
      <c r="M45" s="1772">
        <f>SUM(M46:M47)</f>
        <v>6451551</v>
      </c>
      <c r="N45" s="4071"/>
    </row>
    <row r="46" spans="1:14" ht="12.6" hidden="1" customHeight="1">
      <c r="A46" s="3550"/>
      <c r="B46" s="1773" t="s">
        <v>11</v>
      </c>
      <c r="C46" s="4072"/>
      <c r="D46" s="1685">
        <f>E46+L46+F46+G46+H46+I46+J46+K46</f>
        <v>0</v>
      </c>
      <c r="E46" s="1774">
        <v>0</v>
      </c>
      <c r="F46" s="1775">
        <f>500000-500000</f>
        <v>0</v>
      </c>
      <c r="G46" s="1775">
        <v>0</v>
      </c>
      <c r="H46" s="1775"/>
      <c r="I46" s="1775"/>
      <c r="J46" s="1775"/>
      <c r="K46" s="1775"/>
      <c r="L46" s="1775">
        <f>450000-450000</f>
        <v>0</v>
      </c>
      <c r="M46" s="1776">
        <f>SUM(F46:K46)</f>
        <v>0</v>
      </c>
      <c r="N46" s="4071"/>
    </row>
    <row r="47" spans="1:14" ht="13.5" customHeight="1">
      <c r="A47" s="3550"/>
      <c r="B47" s="1777" t="s">
        <v>194</v>
      </c>
      <c r="C47" s="4072"/>
      <c r="D47" s="1685">
        <f>E47+L47+F47+G47+H47+I47+J47+K47</f>
        <v>11896874</v>
      </c>
      <c r="E47" s="1774">
        <f>2167756+1350307</f>
        <v>3518063</v>
      </c>
      <c r="F47" s="1775">
        <f>2910000-2000750-303396+585470+808676-72740</f>
        <v>1927260</v>
      </c>
      <c r="G47" s="1775">
        <f>909250+1454750</f>
        <v>2364000</v>
      </c>
      <c r="H47" s="1775">
        <f>989414+1192586</f>
        <v>2182000</v>
      </c>
      <c r="I47" s="1775">
        <f>989414-404338+100259</f>
        <v>685335</v>
      </c>
      <c r="J47" s="1775">
        <f>989414-404338</f>
        <v>585076</v>
      </c>
      <c r="K47" s="1775">
        <f>494707+67693+72740</f>
        <v>635140</v>
      </c>
      <c r="L47" s="1775">
        <v>0</v>
      </c>
      <c r="M47" s="1776">
        <f>SUM(G47:K47)</f>
        <v>6451551</v>
      </c>
      <c r="N47" s="4071"/>
    </row>
    <row r="48" spans="1:14" ht="13.5" customHeight="1">
      <c r="A48" s="3550"/>
      <c r="B48" s="1778" t="s">
        <v>17</v>
      </c>
      <c r="C48" s="4072"/>
      <c r="D48" s="539">
        <f>+D49</f>
        <v>20814434</v>
      </c>
      <c r="E48" s="539">
        <f t="shared" ref="E48:K48" si="31">+E49</f>
        <v>6154912</v>
      </c>
      <c r="F48" s="539">
        <f t="shared" si="31"/>
        <v>3372740</v>
      </c>
      <c r="G48" s="539">
        <f t="shared" si="31"/>
        <v>4136000</v>
      </c>
      <c r="H48" s="539">
        <f t="shared" si="31"/>
        <v>3818000</v>
      </c>
      <c r="I48" s="539">
        <f t="shared" si="31"/>
        <v>1197907</v>
      </c>
      <c r="J48" s="539">
        <f t="shared" si="31"/>
        <v>1022502</v>
      </c>
      <c r="K48" s="539">
        <f t="shared" si="31"/>
        <v>1112373</v>
      </c>
      <c r="L48" s="539">
        <f>+L49</f>
        <v>0</v>
      </c>
      <c r="M48" s="555">
        <f>+M49</f>
        <v>11286782</v>
      </c>
      <c r="N48" s="4071"/>
    </row>
    <row r="49" spans="1:15" ht="13.5" customHeight="1">
      <c r="A49" s="3550"/>
      <c r="B49" s="1777" t="s">
        <v>285</v>
      </c>
      <c r="C49" s="4072"/>
      <c r="D49" s="1685">
        <f>E49+L49+F49+G49+H49+I49+J49+K49</f>
        <v>20814434</v>
      </c>
      <c r="E49" s="1774">
        <f>3792526+2362386</f>
        <v>6154912</v>
      </c>
      <c r="F49" s="1775">
        <f>5090000-3499250-532994+1025255+1416989-127260</f>
        <v>3372740</v>
      </c>
      <c r="G49" s="1775">
        <f>1590750+2545250</f>
        <v>4136000</v>
      </c>
      <c r="H49" s="1775">
        <f>1730997+2087003</f>
        <v>3818000</v>
      </c>
      <c r="I49" s="1775">
        <f>1730997-708494+175404</f>
        <v>1197907</v>
      </c>
      <c r="J49" s="1775">
        <f>1730997-708495</f>
        <v>1022502</v>
      </c>
      <c r="K49" s="1775">
        <f>865499+119614+127260</f>
        <v>1112373</v>
      </c>
      <c r="L49" s="1775">
        <v>0</v>
      </c>
      <c r="M49" s="1776">
        <f>SUM(G49:K49)</f>
        <v>11286782</v>
      </c>
      <c r="N49" s="4071"/>
      <c r="O49" s="385">
        <f>D55-D49</f>
        <v>0</v>
      </c>
    </row>
    <row r="50" spans="1:15" s="1856" customFormat="1" ht="14.25" customHeight="1">
      <c r="A50" s="3550"/>
      <c r="B50" s="1768" t="s">
        <v>20</v>
      </c>
      <c r="C50" s="1709"/>
      <c r="D50" s="1573">
        <f>+D51+D54</f>
        <v>32711308</v>
      </c>
      <c r="E50" s="1573">
        <f t="shared" ref="E50" si="32">+E51+E54</f>
        <v>9672975</v>
      </c>
      <c r="F50" s="1573">
        <f t="shared" ref="F50:K50" si="33">+F51+F54</f>
        <v>5300000</v>
      </c>
      <c r="G50" s="1573">
        <f t="shared" si="33"/>
        <v>6500000</v>
      </c>
      <c r="H50" s="1573">
        <f t="shared" si="33"/>
        <v>6000000</v>
      </c>
      <c r="I50" s="1573">
        <f t="shared" si="33"/>
        <v>1883242</v>
      </c>
      <c r="J50" s="1573">
        <f t="shared" si="33"/>
        <v>1607578</v>
      </c>
      <c r="K50" s="1573">
        <f t="shared" si="33"/>
        <v>1747513</v>
      </c>
      <c r="L50" s="1573">
        <f>+L51+L54</f>
        <v>0</v>
      </c>
      <c r="M50" s="4075" t="s">
        <v>52</v>
      </c>
      <c r="N50" s="4071"/>
    </row>
    <row r="51" spans="1:15" s="1856" customFormat="1" ht="13.5" customHeight="1">
      <c r="A51" s="3550"/>
      <c r="B51" s="1770" t="s">
        <v>10</v>
      </c>
      <c r="C51" s="4073" t="s">
        <v>156</v>
      </c>
      <c r="D51" s="539">
        <f>+D52</f>
        <v>11896874</v>
      </c>
      <c r="E51" s="539">
        <f t="shared" ref="E51:K51" si="34">+E52</f>
        <v>3518063</v>
      </c>
      <c r="F51" s="1771">
        <f t="shared" si="34"/>
        <v>1927260</v>
      </c>
      <c r="G51" s="1771">
        <f t="shared" si="34"/>
        <v>2364000</v>
      </c>
      <c r="H51" s="1771">
        <f t="shared" si="34"/>
        <v>2182000</v>
      </c>
      <c r="I51" s="1771">
        <f t="shared" si="34"/>
        <v>685335</v>
      </c>
      <c r="J51" s="1771">
        <f t="shared" si="34"/>
        <v>585076</v>
      </c>
      <c r="K51" s="1771">
        <f t="shared" si="34"/>
        <v>635140</v>
      </c>
      <c r="L51" s="1771">
        <f>+L52</f>
        <v>0</v>
      </c>
      <c r="M51" s="4075"/>
      <c r="N51" s="4071"/>
    </row>
    <row r="52" spans="1:15" s="1856" customFormat="1" ht="12.75" customHeight="1">
      <c r="A52" s="3550"/>
      <c r="B52" s="1777" t="s">
        <v>194</v>
      </c>
      <c r="C52" s="4073"/>
      <c r="D52" s="1685">
        <f>E52+L52+F52+G52+H52+I52+J52+K52</f>
        <v>11896874</v>
      </c>
      <c r="E52" s="1774">
        <f>2167756+1350307</f>
        <v>3518063</v>
      </c>
      <c r="F52" s="1775">
        <f>2910000-2000750-303396+585470+808676-72740</f>
        <v>1927260</v>
      </c>
      <c r="G52" s="1775">
        <f>909250+1454750</f>
        <v>2364000</v>
      </c>
      <c r="H52" s="1775">
        <f>989414+1192586</f>
        <v>2182000</v>
      </c>
      <c r="I52" s="1775">
        <f>989414-404338+100259</f>
        <v>685335</v>
      </c>
      <c r="J52" s="1775">
        <f>989414-404338</f>
        <v>585076</v>
      </c>
      <c r="K52" s="1775">
        <f>494707+67693+72740</f>
        <v>635140</v>
      </c>
      <c r="L52" s="1775">
        <v>0</v>
      </c>
      <c r="M52" s="4075"/>
      <c r="N52" s="4071"/>
    </row>
    <row r="53" spans="1:15" s="1856" customFormat="1" ht="13.5" hidden="1" customHeight="1">
      <c r="A53" s="3550"/>
      <c r="B53" s="1773" t="s">
        <v>23</v>
      </c>
      <c r="C53" s="4073"/>
      <c r="D53" s="1685">
        <f>E53+L53+F53+G53+H53+I53+J53+K53</f>
        <v>0</v>
      </c>
      <c r="E53" s="1774">
        <v>0</v>
      </c>
      <c r="F53" s="1775"/>
      <c r="G53" s="1775"/>
      <c r="H53" s="1775"/>
      <c r="I53" s="1775"/>
      <c r="J53" s="1775"/>
      <c r="K53" s="1775"/>
      <c r="L53" s="1775"/>
      <c r="M53" s="4075"/>
      <c r="N53" s="4071"/>
    </row>
    <row r="54" spans="1:15" s="1856" customFormat="1" ht="12.75" customHeight="1">
      <c r="A54" s="3550"/>
      <c r="B54" s="1778" t="s">
        <v>17</v>
      </c>
      <c r="C54" s="4073"/>
      <c r="D54" s="539">
        <f>+D55</f>
        <v>20814434</v>
      </c>
      <c r="E54" s="539">
        <f t="shared" ref="E54:K54" si="35">+E55</f>
        <v>6154912</v>
      </c>
      <c r="F54" s="1771">
        <f t="shared" si="35"/>
        <v>3372740</v>
      </c>
      <c r="G54" s="1771">
        <f t="shared" si="35"/>
        <v>4136000</v>
      </c>
      <c r="H54" s="1771">
        <f t="shared" si="35"/>
        <v>3818000</v>
      </c>
      <c r="I54" s="1771">
        <f t="shared" si="35"/>
        <v>1197907</v>
      </c>
      <c r="J54" s="1771">
        <f t="shared" si="35"/>
        <v>1022502</v>
      </c>
      <c r="K54" s="1771">
        <f t="shared" si="35"/>
        <v>1112373</v>
      </c>
      <c r="L54" s="1771">
        <f>+L55</f>
        <v>0</v>
      </c>
      <c r="M54" s="4075"/>
      <c r="N54" s="4071"/>
    </row>
    <row r="55" spans="1:15" s="1856" customFormat="1" ht="12.75" customHeight="1" thickBot="1">
      <c r="A55" s="3584"/>
      <c r="B55" s="1686" t="s">
        <v>285</v>
      </c>
      <c r="C55" s="4074"/>
      <c r="D55" s="1858">
        <f>E55+L55+F55+G55+H55+I55+J55+K55</f>
        <v>20814434</v>
      </c>
      <c r="E55" s="1710">
        <f>3792526+2362386</f>
        <v>6154912</v>
      </c>
      <c r="F55" s="2478">
        <f>5090000-3499250-532994+1025255+1416989-127260</f>
        <v>3372740</v>
      </c>
      <c r="G55" s="2478">
        <f>1590750+2545250</f>
        <v>4136000</v>
      </c>
      <c r="H55" s="2478">
        <f>1730997+2087003</f>
        <v>3818000</v>
      </c>
      <c r="I55" s="2478">
        <f>1730997-708494+175404</f>
        <v>1197907</v>
      </c>
      <c r="J55" s="2478">
        <f>1730997-708495</f>
        <v>1022502</v>
      </c>
      <c r="K55" s="2478">
        <f>865499+119614+127260</f>
        <v>1112373</v>
      </c>
      <c r="L55" s="2478">
        <v>0</v>
      </c>
      <c r="M55" s="3657"/>
      <c r="N55" s="3484"/>
    </row>
    <row r="56" spans="1:15" ht="11.25" hidden="1" customHeight="1" thickBot="1">
      <c r="A56" s="1836"/>
      <c r="B56" s="556" t="s">
        <v>18</v>
      </c>
      <c r="C56" s="2878"/>
      <c r="D56" s="2234">
        <f>E56+L56+F56+G56+H56+I56+J56+K56</f>
        <v>0</v>
      </c>
      <c r="E56" s="557"/>
      <c r="F56" s="557"/>
      <c r="G56" s="557"/>
      <c r="H56" s="557"/>
      <c r="I56" s="557"/>
      <c r="J56" s="557"/>
      <c r="K56" s="557"/>
      <c r="L56" s="557"/>
      <c r="M56" s="558"/>
      <c r="N56" s="1837"/>
    </row>
    <row r="57" spans="1:15" s="1856" customFormat="1" ht="27" customHeight="1">
      <c r="A57" s="3550" t="s">
        <v>55</v>
      </c>
      <c r="B57" s="2479" t="s">
        <v>422</v>
      </c>
      <c r="C57" s="2240" t="s">
        <v>99</v>
      </c>
      <c r="D57" s="2241"/>
      <c r="E57" s="2241"/>
      <c r="F57" s="2226"/>
      <c r="G57" s="2226"/>
      <c r="H57" s="2226"/>
      <c r="I57" s="2226"/>
      <c r="J57" s="2226"/>
      <c r="K57" s="50"/>
      <c r="L57" s="2226"/>
      <c r="M57" s="1857"/>
      <c r="N57" s="4071" t="s">
        <v>263</v>
      </c>
    </row>
    <row r="58" spans="1:15" s="1856" customFormat="1" ht="13.5" customHeight="1">
      <c r="A58" s="3550"/>
      <c r="B58" s="1768" t="s">
        <v>9</v>
      </c>
      <c r="C58" s="1709"/>
      <c r="D58" s="536">
        <f t="shared" ref="D58:M58" si="36">+D59+D61</f>
        <v>5976322</v>
      </c>
      <c r="E58" s="536">
        <f t="shared" si="36"/>
        <v>2654543</v>
      </c>
      <c r="F58" s="1573">
        <f t="shared" si="36"/>
        <v>1060000</v>
      </c>
      <c r="G58" s="1573">
        <f t="shared" si="36"/>
        <v>1200000</v>
      </c>
      <c r="H58" s="1573">
        <f t="shared" si="36"/>
        <v>940000</v>
      </c>
      <c r="I58" s="1573">
        <f t="shared" si="36"/>
        <v>50000</v>
      </c>
      <c r="J58" s="1573">
        <f t="shared" si="36"/>
        <v>50000</v>
      </c>
      <c r="K58" s="1573">
        <f t="shared" si="36"/>
        <v>21779</v>
      </c>
      <c r="L58" s="1573">
        <f>+L59+L61</f>
        <v>0</v>
      </c>
      <c r="M58" s="1769">
        <f t="shared" si="36"/>
        <v>2261779</v>
      </c>
      <c r="N58" s="4071"/>
    </row>
    <row r="59" spans="1:15" s="1856" customFormat="1" ht="13.5" customHeight="1">
      <c r="A59" s="3550"/>
      <c r="B59" s="1770" t="s">
        <v>10</v>
      </c>
      <c r="C59" s="4072" t="s">
        <v>421</v>
      </c>
      <c r="D59" s="539">
        <f>+D60</f>
        <v>1494081</v>
      </c>
      <c r="E59" s="539">
        <f t="shared" ref="E59:J59" si="37">+E60</f>
        <v>663635</v>
      </c>
      <c r="F59" s="539">
        <f t="shared" si="37"/>
        <v>265000</v>
      </c>
      <c r="G59" s="539">
        <f t="shared" si="37"/>
        <v>300000</v>
      </c>
      <c r="H59" s="539">
        <f t="shared" si="37"/>
        <v>235000</v>
      </c>
      <c r="I59" s="539">
        <f t="shared" si="37"/>
        <v>12500</v>
      </c>
      <c r="J59" s="539">
        <f t="shared" si="37"/>
        <v>12500</v>
      </c>
      <c r="K59" s="539">
        <f>+K60</f>
        <v>5446</v>
      </c>
      <c r="L59" s="539">
        <f>+L60</f>
        <v>0</v>
      </c>
      <c r="M59" s="1772">
        <f>SUM(M60:M60)</f>
        <v>565446</v>
      </c>
      <c r="N59" s="4071"/>
    </row>
    <row r="60" spans="1:15" s="1856" customFormat="1" ht="13.5" customHeight="1">
      <c r="A60" s="3550"/>
      <c r="B60" s="1777" t="s">
        <v>194</v>
      </c>
      <c r="C60" s="4072"/>
      <c r="D60" s="1685">
        <f>E60+L60+F60+G60+H60+I60+J60+K60</f>
        <v>1494081</v>
      </c>
      <c r="E60" s="1774">
        <f>371080+292555</f>
        <v>663635</v>
      </c>
      <c r="F60" s="1775">
        <f>350000-85000</f>
        <v>265000</v>
      </c>
      <c r="G60" s="1775">
        <v>300000</v>
      </c>
      <c r="H60" s="1775">
        <f>150000+85000</f>
        <v>235000</v>
      </c>
      <c r="I60" s="1775">
        <v>12500</v>
      </c>
      <c r="J60" s="1775">
        <v>12500</v>
      </c>
      <c r="K60" s="1775">
        <v>5446</v>
      </c>
      <c r="L60" s="1775">
        <v>0</v>
      </c>
      <c r="M60" s="1776">
        <f>SUM(G60:K60)</f>
        <v>565446</v>
      </c>
      <c r="N60" s="4071"/>
    </row>
    <row r="61" spans="1:15" s="1856" customFormat="1" ht="13.5" customHeight="1">
      <c r="A61" s="3550"/>
      <c r="B61" s="1778" t="s">
        <v>17</v>
      </c>
      <c r="C61" s="4072"/>
      <c r="D61" s="539">
        <f>+D62</f>
        <v>4482241</v>
      </c>
      <c r="E61" s="539">
        <f t="shared" ref="E61:K61" si="38">+E62</f>
        <v>1990908</v>
      </c>
      <c r="F61" s="539">
        <f t="shared" si="38"/>
        <v>795000</v>
      </c>
      <c r="G61" s="539">
        <f t="shared" si="38"/>
        <v>900000</v>
      </c>
      <c r="H61" s="539">
        <f t="shared" si="38"/>
        <v>705000</v>
      </c>
      <c r="I61" s="539">
        <f t="shared" si="38"/>
        <v>37500</v>
      </c>
      <c r="J61" s="539">
        <f t="shared" si="38"/>
        <v>37500</v>
      </c>
      <c r="K61" s="539">
        <f t="shared" si="38"/>
        <v>16333</v>
      </c>
      <c r="L61" s="539">
        <f>+L62</f>
        <v>0</v>
      </c>
      <c r="M61" s="555">
        <f>+M62</f>
        <v>1696333</v>
      </c>
      <c r="N61" s="4071"/>
    </row>
    <row r="62" spans="1:15" s="1856" customFormat="1" ht="13.5" customHeight="1">
      <c r="A62" s="3550"/>
      <c r="B62" s="1777" t="s">
        <v>285</v>
      </c>
      <c r="C62" s="4072"/>
      <c r="D62" s="1685">
        <f>E62+L62+F62+G62+H62+I62+J62+K62</f>
        <v>4482241</v>
      </c>
      <c r="E62" s="1774">
        <f>1113241+877667</f>
        <v>1990908</v>
      </c>
      <c r="F62" s="1775">
        <f>1050000-255000</f>
        <v>795000</v>
      </c>
      <c r="G62" s="1775">
        <v>900000</v>
      </c>
      <c r="H62" s="1775">
        <f>450000+255000</f>
        <v>705000</v>
      </c>
      <c r="I62" s="1775">
        <v>37500</v>
      </c>
      <c r="J62" s="1775">
        <v>37500</v>
      </c>
      <c r="K62" s="1775">
        <v>16333</v>
      </c>
      <c r="L62" s="1775">
        <v>0</v>
      </c>
      <c r="M62" s="1776">
        <f>SUM(G62:K62)</f>
        <v>1696333</v>
      </c>
      <c r="N62" s="4071"/>
    </row>
    <row r="63" spans="1:15" s="1856" customFormat="1" ht="13.5" customHeight="1">
      <c r="A63" s="3550"/>
      <c r="B63" s="1768" t="s">
        <v>20</v>
      </c>
      <c r="C63" s="1709"/>
      <c r="D63" s="1573">
        <f t="shared" ref="D63:K63" si="39">+D64+D66</f>
        <v>5976322</v>
      </c>
      <c r="E63" s="1573">
        <f t="shared" si="39"/>
        <v>2654543</v>
      </c>
      <c r="F63" s="1573">
        <f t="shared" si="39"/>
        <v>1060000</v>
      </c>
      <c r="G63" s="1573">
        <f t="shared" si="39"/>
        <v>1200000</v>
      </c>
      <c r="H63" s="1573">
        <f t="shared" si="39"/>
        <v>940000</v>
      </c>
      <c r="I63" s="1573">
        <f t="shared" si="39"/>
        <v>50000</v>
      </c>
      <c r="J63" s="1573">
        <f t="shared" si="39"/>
        <v>50000</v>
      </c>
      <c r="K63" s="1573">
        <f t="shared" si="39"/>
        <v>21779</v>
      </c>
      <c r="L63" s="1573">
        <f>+L64+L66</f>
        <v>0</v>
      </c>
      <c r="M63" s="4075" t="s">
        <v>52</v>
      </c>
      <c r="N63" s="4071"/>
    </row>
    <row r="64" spans="1:15" s="1856" customFormat="1" ht="13.5" customHeight="1">
      <c r="A64" s="3550"/>
      <c r="B64" s="1770" t="s">
        <v>10</v>
      </c>
      <c r="C64" s="4073" t="s">
        <v>421</v>
      </c>
      <c r="D64" s="539">
        <f>+D65</f>
        <v>1494081</v>
      </c>
      <c r="E64" s="539">
        <f t="shared" ref="E64:K64" si="40">+E65</f>
        <v>663635</v>
      </c>
      <c r="F64" s="539">
        <f t="shared" si="40"/>
        <v>265000</v>
      </c>
      <c r="G64" s="539">
        <f t="shared" si="40"/>
        <v>300000</v>
      </c>
      <c r="H64" s="539">
        <f t="shared" si="40"/>
        <v>235000</v>
      </c>
      <c r="I64" s="539">
        <f t="shared" si="40"/>
        <v>12500</v>
      </c>
      <c r="J64" s="539">
        <f t="shared" si="40"/>
        <v>12500</v>
      </c>
      <c r="K64" s="539">
        <f t="shared" si="40"/>
        <v>5446</v>
      </c>
      <c r="L64" s="539">
        <f>+L65</f>
        <v>0</v>
      </c>
      <c r="M64" s="4075"/>
      <c r="N64" s="4071"/>
    </row>
    <row r="65" spans="1:15" s="1856" customFormat="1" ht="13.5" customHeight="1">
      <c r="A65" s="3550"/>
      <c r="B65" s="1777" t="s">
        <v>194</v>
      </c>
      <c r="C65" s="4073"/>
      <c r="D65" s="1685">
        <f>E65+L65+F65+G65+H65+I65+J65+K65</f>
        <v>1494081</v>
      </c>
      <c r="E65" s="1774">
        <f>371080+292555</f>
        <v>663635</v>
      </c>
      <c r="F65" s="1774">
        <f>350000-85000</f>
        <v>265000</v>
      </c>
      <c r="G65" s="1774">
        <v>300000</v>
      </c>
      <c r="H65" s="1774">
        <f>150000+85000</f>
        <v>235000</v>
      </c>
      <c r="I65" s="1774">
        <v>12500</v>
      </c>
      <c r="J65" s="1774">
        <v>12500</v>
      </c>
      <c r="K65" s="1774">
        <v>5446</v>
      </c>
      <c r="L65" s="1774">
        <v>0</v>
      </c>
      <c r="M65" s="4075"/>
      <c r="N65" s="4071"/>
    </row>
    <row r="66" spans="1:15" s="1856" customFormat="1" ht="13.5" customHeight="1">
      <c r="A66" s="3550"/>
      <c r="B66" s="1778" t="s">
        <v>17</v>
      </c>
      <c r="C66" s="4073"/>
      <c r="D66" s="539">
        <f>+D67</f>
        <v>4482241</v>
      </c>
      <c r="E66" s="539">
        <f t="shared" ref="E66:K66" si="41">+E67</f>
        <v>1990908</v>
      </c>
      <c r="F66" s="539">
        <f t="shared" si="41"/>
        <v>795000</v>
      </c>
      <c r="G66" s="539">
        <f t="shared" si="41"/>
        <v>900000</v>
      </c>
      <c r="H66" s="539">
        <f t="shared" si="41"/>
        <v>705000</v>
      </c>
      <c r="I66" s="539">
        <f t="shared" si="41"/>
        <v>37500</v>
      </c>
      <c r="J66" s="539">
        <f t="shared" si="41"/>
        <v>37500</v>
      </c>
      <c r="K66" s="539">
        <f t="shared" si="41"/>
        <v>16333</v>
      </c>
      <c r="L66" s="539">
        <f>+L67</f>
        <v>0</v>
      </c>
      <c r="M66" s="4075"/>
      <c r="N66" s="4071"/>
    </row>
    <row r="67" spans="1:15" s="1856" customFormat="1" ht="13.5" customHeight="1" thickBot="1">
      <c r="A67" s="3584"/>
      <c r="B67" s="1686" t="s">
        <v>285</v>
      </c>
      <c r="C67" s="4074"/>
      <c r="D67" s="1858">
        <f>E67+L67+F67+G67+H67+I67+J67+K67</f>
        <v>4482241</v>
      </c>
      <c r="E67" s="1710">
        <f>1113241+877667</f>
        <v>1990908</v>
      </c>
      <c r="F67" s="1710">
        <f>1050000-255000</f>
        <v>795000</v>
      </c>
      <c r="G67" s="1710">
        <v>900000</v>
      </c>
      <c r="H67" s="1710">
        <f>450000+255000</f>
        <v>705000</v>
      </c>
      <c r="I67" s="1710">
        <v>37500</v>
      </c>
      <c r="J67" s="1710">
        <v>37500</v>
      </c>
      <c r="K67" s="1710">
        <v>16333</v>
      </c>
      <c r="L67" s="1710">
        <v>0</v>
      </c>
      <c r="M67" s="3657"/>
      <c r="N67" s="3484"/>
    </row>
    <row r="68" spans="1:15" ht="52.5" customHeight="1">
      <c r="A68" s="3550" t="s">
        <v>56</v>
      </c>
      <c r="B68" s="1411" t="s">
        <v>464</v>
      </c>
      <c r="C68" s="2237" t="s">
        <v>72</v>
      </c>
      <c r="D68" s="1690"/>
      <c r="E68" s="2244"/>
      <c r="F68" s="2238"/>
      <c r="G68" s="2238"/>
      <c r="H68" s="1690"/>
      <c r="I68" s="1690"/>
      <c r="J68" s="1690"/>
      <c r="K68" s="2239"/>
      <c r="L68" s="2238"/>
      <c r="M68" s="573"/>
      <c r="N68" s="3569" t="s">
        <v>299</v>
      </c>
    </row>
    <row r="69" spans="1:15" ht="15.75" customHeight="1">
      <c r="A69" s="3550"/>
      <c r="B69" s="749" t="s">
        <v>9</v>
      </c>
      <c r="C69" s="1169"/>
      <c r="D69" s="536">
        <f>+D70+D72</f>
        <v>1016020</v>
      </c>
      <c r="E69" s="536">
        <f>+E70+E72</f>
        <v>49100</v>
      </c>
      <c r="F69" s="536">
        <f t="shared" ref="F69:H69" si="42">+F70+F72</f>
        <v>223530</v>
      </c>
      <c r="G69" s="536">
        <f t="shared" si="42"/>
        <v>564990</v>
      </c>
      <c r="H69" s="536">
        <f t="shared" si="42"/>
        <v>178400</v>
      </c>
      <c r="I69" s="536">
        <v>0</v>
      </c>
      <c r="J69" s="536">
        <v>0</v>
      </c>
      <c r="K69" s="536">
        <v>0</v>
      </c>
      <c r="L69" s="536">
        <f>+L70+L72</f>
        <v>0</v>
      </c>
      <c r="M69" s="1552">
        <f>+M70+M72</f>
        <v>743390</v>
      </c>
      <c r="N69" s="3570"/>
      <c r="O69" s="265" t="s">
        <v>350</v>
      </c>
    </row>
    <row r="70" spans="1:15" ht="12.75" customHeight="1">
      <c r="A70" s="3550"/>
      <c r="B70" s="744" t="s">
        <v>22</v>
      </c>
      <c r="C70" s="3400" t="s">
        <v>177</v>
      </c>
      <c r="D70" s="477">
        <f>+D71</f>
        <v>174504</v>
      </c>
      <c r="E70" s="952">
        <f>+E71</f>
        <v>29465</v>
      </c>
      <c r="F70" s="952">
        <f>+F71</f>
        <v>33530</v>
      </c>
      <c r="G70" s="952">
        <f t="shared" ref="G70:H70" si="43">+G71</f>
        <v>84749</v>
      </c>
      <c r="H70" s="952">
        <f t="shared" si="43"/>
        <v>26760</v>
      </c>
      <c r="I70" s="1556">
        <v>0</v>
      </c>
      <c r="J70" s="1556">
        <v>0</v>
      </c>
      <c r="K70" s="1556">
        <v>0</v>
      </c>
      <c r="L70" s="952">
        <f>+L71</f>
        <v>0</v>
      </c>
      <c r="M70" s="476">
        <f>+M71</f>
        <v>111509</v>
      </c>
      <c r="N70" s="3570"/>
    </row>
    <row r="71" spans="1:15" ht="12.75" customHeight="1">
      <c r="A71" s="3550"/>
      <c r="B71" s="932" t="s">
        <v>11</v>
      </c>
      <c r="C71" s="3383"/>
      <c r="D71" s="724">
        <f>E71+L71+F71+G71+H71+I71+J71+K71</f>
        <v>174504</v>
      </c>
      <c r="E71" s="724">
        <v>29465</v>
      </c>
      <c r="F71" s="742">
        <f>53796+12764-33030</f>
        <v>33530</v>
      </c>
      <c r="G71" s="742">
        <f>51719+33030</f>
        <v>84749</v>
      </c>
      <c r="H71" s="742">
        <v>26760</v>
      </c>
      <c r="I71" s="1556">
        <v>0</v>
      </c>
      <c r="J71" s="1556">
        <v>0</v>
      </c>
      <c r="K71" s="1556">
        <v>0</v>
      </c>
      <c r="L71" s="742">
        <f>16229-16229</f>
        <v>0</v>
      </c>
      <c r="M71" s="1776">
        <f>SUM(G71:K71)</f>
        <v>111509</v>
      </c>
      <c r="N71" s="3570"/>
    </row>
    <row r="72" spans="1:15" ht="14.25" customHeight="1">
      <c r="A72" s="3550"/>
      <c r="B72" s="737" t="s">
        <v>17</v>
      </c>
      <c r="C72" s="3383"/>
      <c r="D72" s="477">
        <f>+D73</f>
        <v>841516</v>
      </c>
      <c r="E72" s="952">
        <f>+E73</f>
        <v>19635</v>
      </c>
      <c r="F72" s="952">
        <f t="shared" ref="F72:H72" si="44">+F73</f>
        <v>190000</v>
      </c>
      <c r="G72" s="952">
        <f t="shared" si="44"/>
        <v>480241</v>
      </c>
      <c r="H72" s="952">
        <f t="shared" si="44"/>
        <v>151640</v>
      </c>
      <c r="I72" s="1556">
        <v>0</v>
      </c>
      <c r="J72" s="1556">
        <v>0</v>
      </c>
      <c r="K72" s="1556">
        <v>0</v>
      </c>
      <c r="L72" s="952">
        <f>+L73</f>
        <v>0</v>
      </c>
      <c r="M72" s="476">
        <f>+M73</f>
        <v>631881</v>
      </c>
      <c r="N72" s="3570"/>
    </row>
    <row r="73" spans="1:15" ht="12.75" customHeight="1">
      <c r="A73" s="3550"/>
      <c r="B73" s="2846" t="s">
        <v>19</v>
      </c>
      <c r="C73" s="3384"/>
      <c r="D73" s="724">
        <f>E73+L73+F73+G73+H73+I73+J73+K73</f>
        <v>841516</v>
      </c>
      <c r="E73" s="1560">
        <v>19635</v>
      </c>
      <c r="F73" s="1557">
        <f>304844+72326-187170</f>
        <v>190000</v>
      </c>
      <c r="G73" s="1557">
        <f>293071+187170</f>
        <v>480241</v>
      </c>
      <c r="H73" s="1557">
        <v>151640</v>
      </c>
      <c r="I73" s="1556">
        <v>0</v>
      </c>
      <c r="J73" s="1556">
        <v>0</v>
      </c>
      <c r="K73" s="1556">
        <v>0</v>
      </c>
      <c r="L73" s="1557">
        <f>91961-91961</f>
        <v>0</v>
      </c>
      <c r="M73" s="1776">
        <f>SUM(G73:K73)</f>
        <v>631881</v>
      </c>
      <c r="N73" s="3764"/>
    </row>
    <row r="74" spans="1:15" ht="12" customHeight="1">
      <c r="A74" s="3550"/>
      <c r="B74" s="749" t="s">
        <v>20</v>
      </c>
      <c r="C74" s="1169"/>
      <c r="D74" s="536">
        <f t="shared" ref="D74:H75" si="45">+D75</f>
        <v>841516</v>
      </c>
      <c r="E74" s="82">
        <f t="shared" si="45"/>
        <v>0</v>
      </c>
      <c r="F74" s="82">
        <f t="shared" si="45"/>
        <v>209635</v>
      </c>
      <c r="G74" s="82">
        <f t="shared" si="45"/>
        <v>480241</v>
      </c>
      <c r="H74" s="82">
        <f t="shared" si="45"/>
        <v>151640</v>
      </c>
      <c r="I74" s="536">
        <v>0</v>
      </c>
      <c r="J74" s="536">
        <v>0</v>
      </c>
      <c r="K74" s="536">
        <v>0</v>
      </c>
      <c r="L74" s="82">
        <f>+L75</f>
        <v>0</v>
      </c>
      <c r="M74" s="3468"/>
      <c r="N74" s="3570" t="s">
        <v>183</v>
      </c>
    </row>
    <row r="75" spans="1:15" ht="13.5" customHeight="1">
      <c r="A75" s="3550"/>
      <c r="B75" s="737" t="s">
        <v>17</v>
      </c>
      <c r="C75" s="3526" t="s">
        <v>180</v>
      </c>
      <c r="D75" s="477">
        <f t="shared" si="45"/>
        <v>841516</v>
      </c>
      <c r="E75" s="1556">
        <f t="shared" si="45"/>
        <v>0</v>
      </c>
      <c r="F75" s="1556">
        <f t="shared" si="45"/>
        <v>209635</v>
      </c>
      <c r="G75" s="1556">
        <f t="shared" si="45"/>
        <v>480241</v>
      </c>
      <c r="H75" s="1556">
        <f t="shared" si="45"/>
        <v>151640</v>
      </c>
      <c r="I75" s="1556">
        <v>0</v>
      </c>
      <c r="J75" s="1556">
        <v>0</v>
      </c>
      <c r="K75" s="1556">
        <v>0</v>
      </c>
      <c r="L75" s="1556">
        <f>+L76</f>
        <v>0</v>
      </c>
      <c r="M75" s="3427"/>
      <c r="N75" s="3570"/>
    </row>
    <row r="76" spans="1:15" ht="13.5" customHeight="1" thickBot="1">
      <c r="A76" s="3584"/>
      <c r="B76" s="2730" t="s">
        <v>19</v>
      </c>
      <c r="C76" s="3439"/>
      <c r="D76" s="724">
        <f>E76+L76+F76+G76+H76+I76+J76+K76</f>
        <v>841516</v>
      </c>
      <c r="E76" s="724">
        <v>0</v>
      </c>
      <c r="F76" s="1423">
        <f>304844+91961-187170</f>
        <v>209635</v>
      </c>
      <c r="G76" s="1423">
        <f>293071+187170</f>
        <v>480241</v>
      </c>
      <c r="H76" s="1423">
        <v>151640</v>
      </c>
      <c r="I76" s="1423">
        <v>0</v>
      </c>
      <c r="J76" s="1423">
        <v>0</v>
      </c>
      <c r="K76" s="1423">
        <v>0</v>
      </c>
      <c r="L76" s="1423">
        <f>91961-91961</f>
        <v>0</v>
      </c>
      <c r="M76" s="3428"/>
      <c r="N76" s="3571"/>
    </row>
    <row r="77" spans="1:15" ht="50.25" customHeight="1">
      <c r="A77" s="3549" t="s">
        <v>57</v>
      </c>
      <c r="B77" s="1411" t="s">
        <v>465</v>
      </c>
      <c r="C77" s="2237" t="s">
        <v>160</v>
      </c>
      <c r="D77" s="1690"/>
      <c r="E77" s="1690"/>
      <c r="F77" s="2238"/>
      <c r="G77" s="2238"/>
      <c r="H77" s="1690"/>
      <c r="I77" s="1690"/>
      <c r="J77" s="1690"/>
      <c r="K77" s="2239"/>
      <c r="L77" s="2238"/>
      <c r="M77" s="573"/>
      <c r="N77" s="3569" t="s">
        <v>299</v>
      </c>
    </row>
    <row r="78" spans="1:15" ht="13.5" customHeight="1">
      <c r="A78" s="3550"/>
      <c r="B78" s="749" t="s">
        <v>9</v>
      </c>
      <c r="C78" s="1169"/>
      <c r="D78" s="536">
        <f>+D79+D81</f>
        <v>9980</v>
      </c>
      <c r="E78" s="536">
        <f>+E79+E81</f>
        <v>0</v>
      </c>
      <c r="F78" s="536">
        <f t="shared" ref="F78:G78" si="46">+F79+F81</f>
        <v>3380</v>
      </c>
      <c r="G78" s="536">
        <f t="shared" si="46"/>
        <v>6600</v>
      </c>
      <c r="H78" s="536">
        <v>0</v>
      </c>
      <c r="I78" s="536">
        <v>0</v>
      </c>
      <c r="J78" s="536">
        <v>0</v>
      </c>
      <c r="K78" s="536">
        <v>0</v>
      </c>
      <c r="L78" s="536">
        <f>+L79+L81</f>
        <v>0</v>
      </c>
      <c r="M78" s="1552">
        <f>+M79+M81</f>
        <v>6600</v>
      </c>
      <c r="N78" s="3570"/>
    </row>
    <row r="79" spans="1:15" ht="13.5" customHeight="1">
      <c r="A79" s="3550"/>
      <c r="B79" s="744" t="s">
        <v>22</v>
      </c>
      <c r="C79" s="3400" t="s">
        <v>177</v>
      </c>
      <c r="D79" s="477">
        <f>+D80</f>
        <v>1497</v>
      </c>
      <c r="E79" s="952">
        <f>+E80</f>
        <v>0</v>
      </c>
      <c r="F79" s="952">
        <f t="shared" ref="F79:G79" si="47">+F80</f>
        <v>507</v>
      </c>
      <c r="G79" s="952">
        <f t="shared" si="47"/>
        <v>990</v>
      </c>
      <c r="H79" s="1556">
        <v>0</v>
      </c>
      <c r="I79" s="1556">
        <v>0</v>
      </c>
      <c r="J79" s="1556">
        <v>0</v>
      </c>
      <c r="K79" s="1556">
        <v>0</v>
      </c>
      <c r="L79" s="952">
        <f>+L80</f>
        <v>0</v>
      </c>
      <c r="M79" s="476">
        <f>+M80</f>
        <v>990</v>
      </c>
      <c r="N79" s="3570"/>
      <c r="O79" s="265" t="s">
        <v>350</v>
      </c>
    </row>
    <row r="80" spans="1:15" ht="13.5" customHeight="1">
      <c r="A80" s="3550"/>
      <c r="B80" s="932" t="s">
        <v>11</v>
      </c>
      <c r="C80" s="3383"/>
      <c r="D80" s="724">
        <f>E80+L80+F80+G80+H80+I80+J80+K80</f>
        <v>1497</v>
      </c>
      <c r="E80" s="724">
        <v>0</v>
      </c>
      <c r="F80" s="742">
        <f>495+507-495</f>
        <v>507</v>
      </c>
      <c r="G80" s="742">
        <f>495+495</f>
        <v>990</v>
      </c>
      <c r="H80" s="1556">
        <v>0</v>
      </c>
      <c r="I80" s="1556">
        <v>0</v>
      </c>
      <c r="J80" s="1556">
        <v>0</v>
      </c>
      <c r="K80" s="1556">
        <v>0</v>
      </c>
      <c r="L80" s="742">
        <f>507-507</f>
        <v>0</v>
      </c>
      <c r="M80" s="1776">
        <f>SUM(G80:K80)</f>
        <v>990</v>
      </c>
      <c r="N80" s="3570"/>
    </row>
    <row r="81" spans="1:14" ht="13.5" customHeight="1">
      <c r="A81" s="3550"/>
      <c r="B81" s="737" t="s">
        <v>17</v>
      </c>
      <c r="C81" s="3383"/>
      <c r="D81" s="477">
        <f>+D82</f>
        <v>8483</v>
      </c>
      <c r="E81" s="952">
        <f>+E82</f>
        <v>0</v>
      </c>
      <c r="F81" s="952">
        <f t="shared" ref="F81:G81" si="48">+F82</f>
        <v>2873</v>
      </c>
      <c r="G81" s="952">
        <f t="shared" si="48"/>
        <v>5610</v>
      </c>
      <c r="H81" s="1556">
        <v>0</v>
      </c>
      <c r="I81" s="1556">
        <v>0</v>
      </c>
      <c r="J81" s="1556">
        <v>0</v>
      </c>
      <c r="K81" s="1556">
        <v>0</v>
      </c>
      <c r="L81" s="952">
        <f>+L82</f>
        <v>0</v>
      </c>
      <c r="M81" s="476">
        <f>+M82</f>
        <v>5610</v>
      </c>
      <c r="N81" s="3570"/>
    </row>
    <row r="82" spans="1:14" ht="13.5" customHeight="1">
      <c r="A82" s="3550"/>
      <c r="B82" s="2846" t="s">
        <v>19</v>
      </c>
      <c r="C82" s="3384"/>
      <c r="D82" s="724">
        <f>E82+L82+F82+G82+H82+I82+J82+K82</f>
        <v>8483</v>
      </c>
      <c r="E82" s="724">
        <v>0</v>
      </c>
      <c r="F82" s="742">
        <f>2805+2873-2805</f>
        <v>2873</v>
      </c>
      <c r="G82" s="742">
        <f>2805+2805</f>
        <v>5610</v>
      </c>
      <c r="H82" s="1556">
        <v>0</v>
      </c>
      <c r="I82" s="1556">
        <v>0</v>
      </c>
      <c r="J82" s="1556">
        <v>0</v>
      </c>
      <c r="K82" s="1556">
        <v>0</v>
      </c>
      <c r="L82" s="742">
        <f>2873-2873</f>
        <v>0</v>
      </c>
      <c r="M82" s="1776">
        <f>SUM(G82:K82)</f>
        <v>5610</v>
      </c>
      <c r="N82" s="3570"/>
    </row>
    <row r="83" spans="1:14" ht="13.5" customHeight="1">
      <c r="A83" s="3550"/>
      <c r="B83" s="749" t="s">
        <v>20</v>
      </c>
      <c r="C83" s="1169"/>
      <c r="D83" s="536">
        <f t="shared" ref="D83:G84" si="49">+D84</f>
        <v>8483</v>
      </c>
      <c r="E83" s="536">
        <f t="shared" si="49"/>
        <v>0</v>
      </c>
      <c r="F83" s="536">
        <f t="shared" si="49"/>
        <v>2873</v>
      </c>
      <c r="G83" s="536">
        <f t="shared" si="49"/>
        <v>5610</v>
      </c>
      <c r="H83" s="536">
        <v>0</v>
      </c>
      <c r="I83" s="536">
        <v>0</v>
      </c>
      <c r="J83" s="536">
        <v>0</v>
      </c>
      <c r="K83" s="536">
        <v>0</v>
      </c>
      <c r="L83" s="536">
        <f>+L84</f>
        <v>0</v>
      </c>
      <c r="M83" s="3793"/>
      <c r="N83" s="4060" t="s">
        <v>183</v>
      </c>
    </row>
    <row r="84" spans="1:14" ht="13.5" customHeight="1">
      <c r="A84" s="3550"/>
      <c r="B84" s="737" t="s">
        <v>17</v>
      </c>
      <c r="C84" s="3526" t="s">
        <v>180</v>
      </c>
      <c r="D84" s="477">
        <f t="shared" si="49"/>
        <v>8483</v>
      </c>
      <c r="E84" s="1556">
        <f t="shared" si="49"/>
        <v>0</v>
      </c>
      <c r="F84" s="1556">
        <f t="shared" si="49"/>
        <v>2873</v>
      </c>
      <c r="G84" s="1556">
        <f t="shared" si="49"/>
        <v>5610</v>
      </c>
      <c r="H84" s="1556">
        <v>0</v>
      </c>
      <c r="I84" s="1556">
        <v>0</v>
      </c>
      <c r="J84" s="1556">
        <v>0</v>
      </c>
      <c r="K84" s="1556">
        <v>0</v>
      </c>
      <c r="L84" s="1556">
        <f>+L85</f>
        <v>0</v>
      </c>
      <c r="M84" s="3823"/>
      <c r="N84" s="4061"/>
    </row>
    <row r="85" spans="1:14" ht="13.5" customHeight="1" thickBot="1">
      <c r="A85" s="3584"/>
      <c r="B85" s="2730" t="s">
        <v>19</v>
      </c>
      <c r="C85" s="3439"/>
      <c r="D85" s="1679">
        <f>E85+L85+F85+G85+H85+I85+J85+K85</f>
        <v>8483</v>
      </c>
      <c r="E85" s="1679">
        <v>0</v>
      </c>
      <c r="F85" s="1423">
        <f>2805+2873-2805</f>
        <v>2873</v>
      </c>
      <c r="G85" s="1423">
        <f>2805+2805</f>
        <v>5610</v>
      </c>
      <c r="H85" s="1423">
        <v>0</v>
      </c>
      <c r="I85" s="1423">
        <v>0</v>
      </c>
      <c r="J85" s="1423">
        <v>0</v>
      </c>
      <c r="K85" s="1423">
        <v>0</v>
      </c>
      <c r="L85" s="1423">
        <f>2873-2873</f>
        <v>0</v>
      </c>
      <c r="M85" s="3824"/>
      <c r="N85" s="4062"/>
    </row>
    <row r="86" spans="1:14" ht="27" customHeight="1">
      <c r="A86" s="3549" t="s">
        <v>58</v>
      </c>
      <c r="B86" s="1411" t="s">
        <v>424</v>
      </c>
      <c r="C86" s="2237" t="s">
        <v>160</v>
      </c>
      <c r="D86" s="1690"/>
      <c r="E86" s="1690"/>
      <c r="F86" s="2238"/>
      <c r="G86" s="2238"/>
      <c r="H86" s="1690"/>
      <c r="I86" s="1690"/>
      <c r="J86" s="1690"/>
      <c r="K86" s="2239"/>
      <c r="L86" s="2238"/>
      <c r="M86" s="2047"/>
      <c r="N86" s="4081" t="s">
        <v>299</v>
      </c>
    </row>
    <row r="87" spans="1:14" ht="13.5" customHeight="1">
      <c r="A87" s="4096"/>
      <c r="B87" s="749" t="s">
        <v>9</v>
      </c>
      <c r="C87" s="1169"/>
      <c r="D87" s="536">
        <f>+D88+D90</f>
        <v>320000</v>
      </c>
      <c r="E87" s="536">
        <f>+E88+E90</f>
        <v>0</v>
      </c>
      <c r="F87" s="536">
        <f t="shared" ref="F87:H87" si="50">+F88+F90</f>
        <v>183700</v>
      </c>
      <c r="G87" s="536">
        <f t="shared" si="50"/>
        <v>109000</v>
      </c>
      <c r="H87" s="536">
        <f t="shared" si="50"/>
        <v>27300</v>
      </c>
      <c r="I87" s="536">
        <v>0</v>
      </c>
      <c r="J87" s="536">
        <v>0</v>
      </c>
      <c r="K87" s="536">
        <v>0</v>
      </c>
      <c r="L87" s="536">
        <f>+L88+L90</f>
        <v>0</v>
      </c>
      <c r="M87" s="2156">
        <f>+M88+M90</f>
        <v>136300</v>
      </c>
      <c r="N87" s="4061"/>
    </row>
    <row r="88" spans="1:14" ht="13.5" customHeight="1">
      <c r="A88" s="4096"/>
      <c r="B88" s="744" t="s">
        <v>22</v>
      </c>
      <c r="C88" s="3400" t="s">
        <v>177</v>
      </c>
      <c r="D88" s="477">
        <f>+D89</f>
        <v>48000</v>
      </c>
      <c r="E88" s="952">
        <f>+E89</f>
        <v>0</v>
      </c>
      <c r="F88" s="952">
        <f t="shared" ref="F88:H88" si="51">+F89</f>
        <v>27555</v>
      </c>
      <c r="G88" s="952">
        <f t="shared" si="51"/>
        <v>16350</v>
      </c>
      <c r="H88" s="952">
        <f t="shared" si="51"/>
        <v>4095</v>
      </c>
      <c r="I88" s="1556">
        <v>0</v>
      </c>
      <c r="J88" s="1556">
        <v>0</v>
      </c>
      <c r="K88" s="1556">
        <v>0</v>
      </c>
      <c r="L88" s="952">
        <f>+L89</f>
        <v>0</v>
      </c>
      <c r="M88" s="2155">
        <f>+M89</f>
        <v>20445</v>
      </c>
      <c r="N88" s="4061"/>
    </row>
    <row r="89" spans="1:14" ht="13.5" customHeight="1" thickBot="1">
      <c r="A89" s="3550"/>
      <c r="B89" s="932" t="s">
        <v>11</v>
      </c>
      <c r="C89" s="3383"/>
      <c r="D89" s="724">
        <f>SUM(E89:K89)</f>
        <v>48000</v>
      </c>
      <c r="E89" s="724">
        <v>0</v>
      </c>
      <c r="F89" s="742">
        <v>27555</v>
      </c>
      <c r="G89" s="742">
        <v>16350</v>
      </c>
      <c r="H89" s="742">
        <v>4095</v>
      </c>
      <c r="I89" s="1556">
        <v>0</v>
      </c>
      <c r="J89" s="1556">
        <v>0</v>
      </c>
      <c r="K89" s="1556">
        <v>0</v>
      </c>
      <c r="L89" s="742">
        <f>507-507</f>
        <v>0</v>
      </c>
      <c r="M89" s="1776">
        <f>SUM(G89:K89)</f>
        <v>20445</v>
      </c>
      <c r="N89" s="4062"/>
    </row>
    <row r="90" spans="1:14" ht="13.5" customHeight="1" thickBot="1">
      <c r="A90" s="3550"/>
      <c r="B90" s="737" t="s">
        <v>17</v>
      </c>
      <c r="C90" s="3383"/>
      <c r="D90" s="477">
        <f>+D91</f>
        <v>272000</v>
      </c>
      <c r="E90" s="952">
        <f>+E91</f>
        <v>0</v>
      </c>
      <c r="F90" s="952">
        <f t="shared" ref="F90:H90" si="52">+F91</f>
        <v>156145</v>
      </c>
      <c r="G90" s="952">
        <f t="shared" si="52"/>
        <v>92650</v>
      </c>
      <c r="H90" s="952">
        <f t="shared" si="52"/>
        <v>23205</v>
      </c>
      <c r="I90" s="1556">
        <v>0</v>
      </c>
      <c r="J90" s="1556">
        <v>0</v>
      </c>
      <c r="K90" s="1556">
        <v>0</v>
      </c>
      <c r="L90" s="952">
        <f>+L91</f>
        <v>0</v>
      </c>
      <c r="M90" s="2155">
        <f>+M91</f>
        <v>115855</v>
      </c>
      <c r="N90" s="4082"/>
    </row>
    <row r="91" spans="1:14" ht="13.5" customHeight="1" thickBot="1">
      <c r="A91" s="3550"/>
      <c r="B91" s="2846" t="s">
        <v>19</v>
      </c>
      <c r="C91" s="3384"/>
      <c r="D91" s="724">
        <f>SUM(E91:K91)</f>
        <v>272000</v>
      </c>
      <c r="E91" s="724">
        <v>0</v>
      </c>
      <c r="F91" s="742">
        <v>156145</v>
      </c>
      <c r="G91" s="742">
        <v>92650</v>
      </c>
      <c r="H91" s="742">
        <v>23205</v>
      </c>
      <c r="I91" s="1556">
        <v>0</v>
      </c>
      <c r="J91" s="1556">
        <v>0</v>
      </c>
      <c r="K91" s="1556">
        <v>0</v>
      </c>
      <c r="L91" s="742">
        <f>2873-2873</f>
        <v>0</v>
      </c>
      <c r="M91" s="1776">
        <f>SUM(G91:K91)</f>
        <v>115855</v>
      </c>
      <c r="N91" s="4082"/>
    </row>
    <row r="92" spans="1:14" ht="13.5" customHeight="1">
      <c r="A92" s="3550"/>
      <c r="B92" s="749" t="s">
        <v>20</v>
      </c>
      <c r="C92" s="1169"/>
      <c r="D92" s="536">
        <f t="shared" ref="D92:H93" si="53">+D93</f>
        <v>272000</v>
      </c>
      <c r="E92" s="536">
        <f t="shared" si="53"/>
        <v>0</v>
      </c>
      <c r="F92" s="536">
        <f t="shared" si="53"/>
        <v>156145</v>
      </c>
      <c r="G92" s="536">
        <f t="shared" si="53"/>
        <v>92650</v>
      </c>
      <c r="H92" s="536">
        <f t="shared" si="53"/>
        <v>23205</v>
      </c>
      <c r="I92" s="536">
        <v>0</v>
      </c>
      <c r="J92" s="536">
        <v>0</v>
      </c>
      <c r="K92" s="536">
        <v>0</v>
      </c>
      <c r="L92" s="536">
        <f>+L93</f>
        <v>0</v>
      </c>
      <c r="M92" s="3793"/>
      <c r="N92" s="4083" t="s">
        <v>183</v>
      </c>
    </row>
    <row r="93" spans="1:14" ht="13.5" customHeight="1" thickBot="1">
      <c r="A93" s="4096"/>
      <c r="B93" s="737" t="s">
        <v>17</v>
      </c>
      <c r="C93" s="3526" t="s">
        <v>180</v>
      </c>
      <c r="D93" s="477">
        <f t="shared" si="53"/>
        <v>272000</v>
      </c>
      <c r="E93" s="1556">
        <f t="shared" si="53"/>
        <v>0</v>
      </c>
      <c r="F93" s="1556">
        <f t="shared" si="53"/>
        <v>156145</v>
      </c>
      <c r="G93" s="1556">
        <f t="shared" si="53"/>
        <v>92650</v>
      </c>
      <c r="H93" s="1556">
        <f t="shared" si="53"/>
        <v>23205</v>
      </c>
      <c r="I93" s="1556">
        <v>0</v>
      </c>
      <c r="J93" s="1556">
        <v>0</v>
      </c>
      <c r="K93" s="1556">
        <v>0</v>
      </c>
      <c r="L93" s="1556">
        <f>+L94</f>
        <v>0</v>
      </c>
      <c r="M93" s="3823"/>
      <c r="N93" s="4084"/>
    </row>
    <row r="94" spans="1:14" ht="13.5" customHeight="1" thickBot="1">
      <c r="A94" s="4096"/>
      <c r="B94" s="2846" t="s">
        <v>19</v>
      </c>
      <c r="C94" s="3450"/>
      <c r="D94" s="1113">
        <f>SUM(E94:K94)</f>
        <v>272000</v>
      </c>
      <c r="E94" s="1113">
        <v>0</v>
      </c>
      <c r="F94" s="1202">
        <v>156145</v>
      </c>
      <c r="G94" s="1202">
        <v>92650</v>
      </c>
      <c r="H94" s="1202">
        <v>23205</v>
      </c>
      <c r="I94" s="1202">
        <v>0</v>
      </c>
      <c r="J94" s="1202">
        <v>0</v>
      </c>
      <c r="K94" s="1202">
        <v>0</v>
      </c>
      <c r="L94" s="1202">
        <f>2873-2873</f>
        <v>0</v>
      </c>
      <c r="M94" s="3823"/>
      <c r="N94" s="4081"/>
    </row>
    <row r="95" spans="1:14" ht="39.75" customHeight="1" thickBot="1">
      <c r="A95" s="3549" t="s">
        <v>105</v>
      </c>
      <c r="B95" s="1411" t="s">
        <v>425</v>
      </c>
      <c r="C95" s="2237" t="s">
        <v>160</v>
      </c>
      <c r="D95" s="1690"/>
      <c r="E95" s="1690"/>
      <c r="F95" s="2238"/>
      <c r="G95" s="2238"/>
      <c r="H95" s="1690"/>
      <c r="I95" s="1690"/>
      <c r="J95" s="1690"/>
      <c r="K95" s="2239"/>
      <c r="L95" s="2238"/>
      <c r="M95" s="2047"/>
      <c r="N95" s="3774" t="s">
        <v>299</v>
      </c>
    </row>
    <row r="96" spans="1:14" ht="15.75" customHeight="1">
      <c r="A96" s="4096"/>
      <c r="B96" s="1168" t="s">
        <v>9</v>
      </c>
      <c r="C96" s="2118"/>
      <c r="D96" s="1170">
        <f>+D97+D99</f>
        <v>3446020</v>
      </c>
      <c r="E96" s="1170">
        <f>+E97+E99</f>
        <v>0</v>
      </c>
      <c r="F96" s="1170">
        <f t="shared" ref="F96:K96" si="54">+F97+F99</f>
        <v>0</v>
      </c>
      <c r="G96" s="1170">
        <f t="shared" si="54"/>
        <v>298278</v>
      </c>
      <c r="H96" s="1170">
        <f t="shared" si="54"/>
        <v>1324061</v>
      </c>
      <c r="I96" s="1170">
        <f t="shared" si="54"/>
        <v>735528</v>
      </c>
      <c r="J96" s="1170">
        <f t="shared" si="54"/>
        <v>944889</v>
      </c>
      <c r="K96" s="1170">
        <f t="shared" si="54"/>
        <v>143264</v>
      </c>
      <c r="L96" s="1170">
        <f>+L97+L99</f>
        <v>0</v>
      </c>
      <c r="M96" s="2156">
        <f>+M97+M99</f>
        <v>3446020</v>
      </c>
      <c r="N96" s="3776"/>
    </row>
    <row r="97" spans="1:15" ht="13.5" customHeight="1" thickBot="1">
      <c r="A97" s="4096"/>
      <c r="B97" s="1172" t="s">
        <v>22</v>
      </c>
      <c r="C97" s="3448" t="s">
        <v>177</v>
      </c>
      <c r="D97" s="1173">
        <f>+D98</f>
        <v>516903</v>
      </c>
      <c r="E97" s="1178">
        <f>+E98</f>
        <v>0</v>
      </c>
      <c r="F97" s="1178">
        <f t="shared" ref="F97:K97" si="55">+F98</f>
        <v>0</v>
      </c>
      <c r="G97" s="1178">
        <f t="shared" si="55"/>
        <v>44742</v>
      </c>
      <c r="H97" s="1178">
        <f t="shared" si="55"/>
        <v>198609</v>
      </c>
      <c r="I97" s="1178">
        <f t="shared" si="55"/>
        <v>110329</v>
      </c>
      <c r="J97" s="1178">
        <f t="shared" si="55"/>
        <v>141733</v>
      </c>
      <c r="K97" s="1178">
        <f t="shared" si="55"/>
        <v>21490</v>
      </c>
      <c r="L97" s="1178">
        <f>+L98</f>
        <v>0</v>
      </c>
      <c r="M97" s="2155">
        <f>+M98</f>
        <v>516903</v>
      </c>
      <c r="N97" s="3826"/>
    </row>
    <row r="98" spans="1:15" ht="13.5" customHeight="1">
      <c r="A98" s="4096"/>
      <c r="B98" s="1175" t="s">
        <v>11</v>
      </c>
      <c r="C98" s="3383"/>
      <c r="D98" s="1113">
        <f>SUM(E98:K98)</f>
        <v>516903</v>
      </c>
      <c r="E98" s="1113">
        <v>0</v>
      </c>
      <c r="F98" s="1176">
        <v>0</v>
      </c>
      <c r="G98" s="1176">
        <v>44742</v>
      </c>
      <c r="H98" s="1176">
        <v>198609</v>
      </c>
      <c r="I98" s="1176">
        <v>110329</v>
      </c>
      <c r="J98" s="1176">
        <v>141733</v>
      </c>
      <c r="K98" s="1176">
        <v>21490</v>
      </c>
      <c r="L98" s="1176">
        <f>507-507</f>
        <v>0</v>
      </c>
      <c r="M98" s="1776">
        <f>SUM(G98:K98)</f>
        <v>516903</v>
      </c>
      <c r="N98" s="3569"/>
    </row>
    <row r="99" spans="1:15" ht="13.5" customHeight="1" thickBot="1">
      <c r="A99" s="4096"/>
      <c r="B99" s="1177" t="s">
        <v>17</v>
      </c>
      <c r="C99" s="3383"/>
      <c r="D99" s="1173">
        <f>+D100</f>
        <v>2929117</v>
      </c>
      <c r="E99" s="1178">
        <f>+E100</f>
        <v>0</v>
      </c>
      <c r="F99" s="1178">
        <f t="shared" ref="F99:K99" si="56">+F100</f>
        <v>0</v>
      </c>
      <c r="G99" s="1178">
        <f t="shared" si="56"/>
        <v>253536</v>
      </c>
      <c r="H99" s="1178">
        <f t="shared" si="56"/>
        <v>1125452</v>
      </c>
      <c r="I99" s="1178">
        <f t="shared" si="56"/>
        <v>625199</v>
      </c>
      <c r="J99" s="1178">
        <f t="shared" si="56"/>
        <v>803156</v>
      </c>
      <c r="K99" s="1178">
        <f t="shared" si="56"/>
        <v>121774</v>
      </c>
      <c r="L99" s="1178">
        <f>+L100</f>
        <v>0</v>
      </c>
      <c r="M99" s="2157">
        <f>+M100</f>
        <v>2929117</v>
      </c>
      <c r="N99" s="3571"/>
    </row>
    <row r="100" spans="1:15" ht="13.5" customHeight="1">
      <c r="A100" s="4096"/>
      <c r="B100" s="2879" t="s">
        <v>19</v>
      </c>
      <c r="C100" s="3384"/>
      <c r="D100" s="1147">
        <f>SUM(E100:K100)</f>
        <v>2929117</v>
      </c>
      <c r="E100" s="1147">
        <v>0</v>
      </c>
      <c r="F100" s="1186">
        <v>0</v>
      </c>
      <c r="G100" s="1186">
        <v>253536</v>
      </c>
      <c r="H100" s="1186">
        <v>1125452</v>
      </c>
      <c r="I100" s="1186">
        <v>625199</v>
      </c>
      <c r="J100" s="1186">
        <v>803156</v>
      </c>
      <c r="K100" s="1186">
        <v>121774</v>
      </c>
      <c r="L100" s="1186">
        <f>2873-2873</f>
        <v>0</v>
      </c>
      <c r="M100" s="1776">
        <f>SUM(G100:K100)</f>
        <v>2929117</v>
      </c>
      <c r="N100" s="3569"/>
    </row>
    <row r="101" spans="1:15" ht="16.5" customHeight="1" thickBot="1">
      <c r="A101" s="4096"/>
      <c r="B101" s="68" t="s">
        <v>20</v>
      </c>
      <c r="C101" s="75"/>
      <c r="D101" s="82">
        <f t="shared" ref="D101:K102" si="57">+D102</f>
        <v>2929117</v>
      </c>
      <c r="E101" s="82">
        <f t="shared" si="57"/>
        <v>0</v>
      </c>
      <c r="F101" s="82">
        <f t="shared" si="57"/>
        <v>0</v>
      </c>
      <c r="G101" s="82">
        <f t="shared" si="57"/>
        <v>253536</v>
      </c>
      <c r="H101" s="82">
        <f t="shared" si="57"/>
        <v>1125452</v>
      </c>
      <c r="I101" s="82">
        <f t="shared" si="57"/>
        <v>625199</v>
      </c>
      <c r="J101" s="82">
        <f t="shared" si="57"/>
        <v>803156</v>
      </c>
      <c r="K101" s="82">
        <f t="shared" si="57"/>
        <v>121774</v>
      </c>
      <c r="L101" s="2066">
        <f>+L102</f>
        <v>0</v>
      </c>
      <c r="M101" s="3824"/>
      <c r="N101" s="3826" t="s">
        <v>183</v>
      </c>
    </row>
    <row r="102" spans="1:15" ht="13.5" customHeight="1">
      <c r="A102" s="4096"/>
      <c r="B102" s="2210" t="s">
        <v>17</v>
      </c>
      <c r="C102" s="4085" t="s">
        <v>180</v>
      </c>
      <c r="D102" s="1480">
        <f t="shared" si="57"/>
        <v>2929117</v>
      </c>
      <c r="E102" s="1480">
        <f t="shared" si="57"/>
        <v>0</v>
      </c>
      <c r="F102" s="1480">
        <f t="shared" si="57"/>
        <v>0</v>
      </c>
      <c r="G102" s="1480">
        <f t="shared" si="57"/>
        <v>253536</v>
      </c>
      <c r="H102" s="1480">
        <f t="shared" si="57"/>
        <v>1125452</v>
      </c>
      <c r="I102" s="1480">
        <f t="shared" si="57"/>
        <v>625199</v>
      </c>
      <c r="J102" s="1480">
        <f t="shared" si="57"/>
        <v>803156</v>
      </c>
      <c r="K102" s="1480">
        <f t="shared" si="57"/>
        <v>121774</v>
      </c>
      <c r="L102" s="2179">
        <f>+L103</f>
        <v>0</v>
      </c>
      <c r="M102" s="3823"/>
      <c r="N102" s="3570"/>
    </row>
    <row r="103" spans="1:15" ht="15" customHeight="1" thickBot="1">
      <c r="A103" s="4097"/>
      <c r="B103" s="2860" t="s">
        <v>19</v>
      </c>
      <c r="C103" s="3796"/>
      <c r="D103" s="1405">
        <f>SUM(E103:K103)</f>
        <v>2929117</v>
      </c>
      <c r="E103" s="1405">
        <v>0</v>
      </c>
      <c r="F103" s="1423">
        <v>0</v>
      </c>
      <c r="G103" s="1423">
        <v>253536</v>
      </c>
      <c r="H103" s="1423">
        <v>1125452</v>
      </c>
      <c r="I103" s="1423">
        <v>625199</v>
      </c>
      <c r="J103" s="1423">
        <v>803156</v>
      </c>
      <c r="K103" s="1423">
        <v>121774</v>
      </c>
      <c r="L103" s="1423">
        <f>2873-2873</f>
        <v>0</v>
      </c>
      <c r="M103" s="3794"/>
      <c r="N103" s="3571"/>
    </row>
    <row r="104" spans="1:15" s="559" customFormat="1" ht="36" hidden="1" customHeight="1">
      <c r="A104" s="2092" t="s">
        <v>157</v>
      </c>
      <c r="B104" s="2093"/>
      <c r="C104" s="2093"/>
      <c r="D104" s="2093"/>
      <c r="E104" s="2093"/>
      <c r="F104" s="2093"/>
      <c r="G104" s="2093"/>
      <c r="H104" s="2093"/>
      <c r="I104" s="2093"/>
      <c r="J104" s="2093"/>
      <c r="K104" s="2093"/>
      <c r="L104" s="2093"/>
      <c r="M104" s="2094"/>
      <c r="N104" s="2095"/>
    </row>
    <row r="105" spans="1:15" s="1200" customFormat="1" ht="19.5" hidden="1" customHeight="1">
      <c r="A105" s="2145"/>
      <c r="B105" s="972" t="s">
        <v>67</v>
      </c>
      <c r="C105" s="972"/>
      <c r="D105" s="2146">
        <f>+D106+D107</f>
        <v>0</v>
      </c>
      <c r="E105" s="2147">
        <f>+E106+E107</f>
        <v>0</v>
      </c>
      <c r="F105" s="2146">
        <f t="shared" ref="F105:M105" si="58">+F106+F107</f>
        <v>0</v>
      </c>
      <c r="G105" s="2146">
        <f t="shared" si="58"/>
        <v>0</v>
      </c>
      <c r="H105" s="2146">
        <f t="shared" si="58"/>
        <v>0</v>
      </c>
      <c r="I105" s="2146">
        <f t="shared" si="58"/>
        <v>0</v>
      </c>
      <c r="J105" s="2146">
        <f t="shared" si="58"/>
        <v>0</v>
      </c>
      <c r="K105" s="2146">
        <f t="shared" si="58"/>
        <v>0</v>
      </c>
      <c r="L105" s="2146">
        <f>+L106+L107</f>
        <v>0</v>
      </c>
      <c r="M105" s="2148">
        <f t="shared" si="58"/>
        <v>0</v>
      </c>
      <c r="N105" s="2149"/>
    </row>
    <row r="106" spans="1:15" s="1200" customFormat="1" ht="12.75" hidden="1" customHeight="1" thickBot="1">
      <c r="A106" s="2139"/>
      <c r="B106" s="531" t="s">
        <v>68</v>
      </c>
      <c r="C106" s="192"/>
      <c r="D106" s="193">
        <f>D131</f>
        <v>0</v>
      </c>
      <c r="E106" s="938">
        <f t="shared" ref="E106:K106" si="59">E131</f>
        <v>0</v>
      </c>
      <c r="F106" s="193">
        <f t="shared" si="59"/>
        <v>0</v>
      </c>
      <c r="G106" s="193">
        <f t="shared" si="59"/>
        <v>0</v>
      </c>
      <c r="H106" s="193">
        <f t="shared" si="59"/>
        <v>0</v>
      </c>
      <c r="I106" s="193">
        <f t="shared" si="59"/>
        <v>0</v>
      </c>
      <c r="J106" s="193">
        <f t="shared" si="59"/>
        <v>0</v>
      </c>
      <c r="K106" s="193">
        <f t="shared" si="59"/>
        <v>0</v>
      </c>
      <c r="L106" s="193">
        <f>L131</f>
        <v>0</v>
      </c>
      <c r="M106" s="2048">
        <f>SUM(F106:G106)</f>
        <v>0</v>
      </c>
      <c r="N106" s="2083"/>
    </row>
    <row r="107" spans="1:15" s="1200" customFormat="1" ht="15" hidden="1" customHeight="1" thickBot="1">
      <c r="A107" s="2030"/>
      <c r="B107" s="939" t="s">
        <v>8</v>
      </c>
      <c r="C107" s="1435"/>
      <c r="D107" s="1436">
        <f>+D135+D122</f>
        <v>0</v>
      </c>
      <c r="E107" s="1437">
        <f t="shared" ref="E107:K107" si="60">+E135+E122</f>
        <v>0</v>
      </c>
      <c r="F107" s="1436">
        <f t="shared" si="60"/>
        <v>0</v>
      </c>
      <c r="G107" s="1436">
        <f t="shared" si="60"/>
        <v>0</v>
      </c>
      <c r="H107" s="1436">
        <f t="shared" si="60"/>
        <v>0</v>
      </c>
      <c r="I107" s="1436">
        <f t="shared" si="60"/>
        <v>0</v>
      </c>
      <c r="J107" s="1436">
        <f t="shared" si="60"/>
        <v>0</v>
      </c>
      <c r="K107" s="1436">
        <f t="shared" si="60"/>
        <v>0</v>
      </c>
      <c r="L107" s="1436">
        <f>+L135+L122</f>
        <v>0</v>
      </c>
      <c r="M107" s="2049">
        <f>SUM(F107:J107)</f>
        <v>0</v>
      </c>
      <c r="N107" s="2057"/>
      <c r="O107" s="266"/>
    </row>
    <row r="108" spans="1:15" ht="14.25" hidden="1" customHeight="1" thickBot="1">
      <c r="A108" s="2030"/>
      <c r="B108" s="492" t="s">
        <v>9</v>
      </c>
      <c r="C108" s="1438"/>
      <c r="D108" s="1439">
        <f>+D109</f>
        <v>0</v>
      </c>
      <c r="E108" s="1440">
        <f t="shared" ref="E108:K108" si="61">+E109</f>
        <v>0</v>
      </c>
      <c r="F108" s="1441">
        <f t="shared" si="61"/>
        <v>0</v>
      </c>
      <c r="G108" s="1441">
        <f t="shared" si="61"/>
        <v>0</v>
      </c>
      <c r="H108" s="1441">
        <f t="shared" si="61"/>
        <v>0</v>
      </c>
      <c r="I108" s="1441">
        <f t="shared" si="61"/>
        <v>0</v>
      </c>
      <c r="J108" s="1441">
        <f t="shared" si="61"/>
        <v>0</v>
      </c>
      <c r="K108" s="1441">
        <f t="shared" si="61"/>
        <v>0</v>
      </c>
      <c r="L108" s="1441">
        <f>+L109</f>
        <v>0</v>
      </c>
      <c r="M108" s="2046">
        <f>+M109</f>
        <v>0</v>
      </c>
      <c r="N108" s="2057"/>
      <c r="O108" s="385"/>
    </row>
    <row r="109" spans="1:15" ht="12.95" hidden="1" customHeight="1" thickBot="1">
      <c r="A109" s="2031"/>
      <c r="B109" s="532" t="s">
        <v>10</v>
      </c>
      <c r="C109" s="1442"/>
      <c r="D109" s="1443">
        <f>+D113+D114+D110</f>
        <v>0</v>
      </c>
      <c r="E109" s="1444">
        <f t="shared" ref="E109:K109" si="62">+E113+E114+E110</f>
        <v>0</v>
      </c>
      <c r="F109" s="1443">
        <f t="shared" si="62"/>
        <v>0</v>
      </c>
      <c r="G109" s="1443">
        <f t="shared" si="62"/>
        <v>0</v>
      </c>
      <c r="H109" s="1443">
        <f t="shared" si="62"/>
        <v>0</v>
      </c>
      <c r="I109" s="1443">
        <f t="shared" si="62"/>
        <v>0</v>
      </c>
      <c r="J109" s="1443">
        <f t="shared" si="62"/>
        <v>0</v>
      </c>
      <c r="K109" s="1443">
        <f t="shared" si="62"/>
        <v>0</v>
      </c>
      <c r="L109" s="1443">
        <f>+L113+L114+L110</f>
        <v>0</v>
      </c>
      <c r="M109" s="2050">
        <f>+M113+M114</f>
        <v>0</v>
      </c>
      <c r="N109" s="2057"/>
    </row>
    <row r="110" spans="1:15" ht="12.95" hidden="1" customHeight="1" thickBot="1">
      <c r="A110" s="2032"/>
      <c r="B110" s="533" t="s">
        <v>11</v>
      </c>
      <c r="C110" s="1445"/>
      <c r="D110" s="1446">
        <f>D132</f>
        <v>0</v>
      </c>
      <c r="E110" s="1447">
        <f t="shared" ref="E110:K110" si="63">E132</f>
        <v>0</v>
      </c>
      <c r="F110" s="1446">
        <f t="shared" si="63"/>
        <v>0</v>
      </c>
      <c r="G110" s="1446">
        <f t="shared" si="63"/>
        <v>0</v>
      </c>
      <c r="H110" s="1446">
        <f t="shared" si="63"/>
        <v>0</v>
      </c>
      <c r="I110" s="1446">
        <f t="shared" si="63"/>
        <v>0</v>
      </c>
      <c r="J110" s="1446">
        <f t="shared" si="63"/>
        <v>0</v>
      </c>
      <c r="K110" s="1446">
        <f t="shared" si="63"/>
        <v>0</v>
      </c>
      <c r="L110" s="1446">
        <f>L132</f>
        <v>0</v>
      </c>
      <c r="M110" s="2051"/>
      <c r="N110" s="2057"/>
    </row>
    <row r="111" spans="1:15" ht="13.5" hidden="1" customHeight="1" thickBot="1">
      <c r="A111" s="2032"/>
      <c r="B111" s="765" t="s">
        <v>12</v>
      </c>
      <c r="C111" s="1449"/>
      <c r="D111" s="1450">
        <v>0</v>
      </c>
      <c r="E111" s="1451">
        <v>0</v>
      </c>
      <c r="F111" s="1450"/>
      <c r="G111" s="1450"/>
      <c r="H111" s="1450"/>
      <c r="I111" s="1450"/>
      <c r="J111" s="1450"/>
      <c r="K111" s="1450"/>
      <c r="L111" s="1450"/>
      <c r="M111" s="2051"/>
      <c r="N111" s="2057"/>
    </row>
    <row r="112" spans="1:15" ht="12.75" hidden="1" customHeight="1" thickBot="1">
      <c r="A112" s="2032"/>
      <c r="B112" s="534" t="s">
        <v>12</v>
      </c>
      <c r="C112" s="1449"/>
      <c r="D112" s="1450">
        <v>0</v>
      </c>
      <c r="E112" s="1451">
        <v>0</v>
      </c>
      <c r="F112" s="1450"/>
      <c r="G112" s="1450"/>
      <c r="H112" s="1450"/>
      <c r="I112" s="1450"/>
      <c r="J112" s="1450"/>
      <c r="K112" s="1450"/>
      <c r="L112" s="1450"/>
      <c r="M112" s="2051"/>
      <c r="N112" s="2057"/>
    </row>
    <row r="113" spans="1:14" s="559" customFormat="1" ht="12.75" hidden="1" customHeight="1" thickBot="1">
      <c r="A113" s="2033"/>
      <c r="B113" s="940" t="s">
        <v>13</v>
      </c>
      <c r="C113" s="1449"/>
      <c r="D113" s="1450">
        <f>+D124</f>
        <v>0</v>
      </c>
      <c r="E113" s="1452">
        <f t="shared" ref="E113:K113" si="64">+E124</f>
        <v>0</v>
      </c>
      <c r="F113" s="1450">
        <f t="shared" si="64"/>
        <v>0</v>
      </c>
      <c r="G113" s="1450">
        <f t="shared" si="64"/>
        <v>0</v>
      </c>
      <c r="H113" s="1450">
        <f t="shared" si="64"/>
        <v>0</v>
      </c>
      <c r="I113" s="1450">
        <f t="shared" si="64"/>
        <v>0</v>
      </c>
      <c r="J113" s="1450">
        <f t="shared" si="64"/>
        <v>0</v>
      </c>
      <c r="K113" s="1450">
        <f t="shared" si="64"/>
        <v>0</v>
      </c>
      <c r="L113" s="1450">
        <f>+L124</f>
        <v>0</v>
      </c>
      <c r="M113" s="2051">
        <f>SUM(F113:K113)</f>
        <v>0</v>
      </c>
      <c r="N113" s="2058"/>
    </row>
    <row r="114" spans="1:14" ht="12.75" hidden="1" customHeight="1">
      <c r="A114" s="2034"/>
      <c r="B114" s="533" t="s">
        <v>53</v>
      </c>
      <c r="C114" s="1453"/>
      <c r="D114" s="1446">
        <f>+D137+D125</f>
        <v>0</v>
      </c>
      <c r="E114" s="1447">
        <f>+E137+E125</f>
        <v>0</v>
      </c>
      <c r="F114" s="1446"/>
      <c r="G114" s="1446"/>
      <c r="H114" s="1446"/>
      <c r="I114" s="1446"/>
      <c r="J114" s="1446"/>
      <c r="K114" s="1446"/>
      <c r="L114" s="1446"/>
      <c r="M114" s="2051">
        <f>SUM(F114:H114)</f>
        <v>0</v>
      </c>
      <c r="N114" s="2059"/>
    </row>
    <row r="115" spans="1:14" ht="15" hidden="1" customHeight="1">
      <c r="A115" s="535"/>
      <c r="B115" s="492" t="s">
        <v>20</v>
      </c>
      <c r="C115" s="1169"/>
      <c r="D115" s="1216">
        <f>+D116</f>
        <v>0</v>
      </c>
      <c r="E115" s="1217">
        <f t="shared" ref="E115:K115" si="65">+E116</f>
        <v>0</v>
      </c>
      <c r="F115" s="1216">
        <f t="shared" si="65"/>
        <v>0</v>
      </c>
      <c r="G115" s="1216">
        <f t="shared" si="65"/>
        <v>0</v>
      </c>
      <c r="H115" s="1216">
        <f t="shared" si="65"/>
        <v>0</v>
      </c>
      <c r="I115" s="1216">
        <f t="shared" si="65"/>
        <v>0</v>
      </c>
      <c r="J115" s="1216">
        <f t="shared" si="65"/>
        <v>0</v>
      </c>
      <c r="K115" s="1216">
        <f t="shared" si="65"/>
        <v>0</v>
      </c>
      <c r="L115" s="1216">
        <f>+L116</f>
        <v>0</v>
      </c>
      <c r="M115" s="4080" t="s">
        <v>21</v>
      </c>
      <c r="N115" s="13"/>
    </row>
    <row r="116" spans="1:14" ht="12" hidden="1" customHeight="1">
      <c r="A116" s="978"/>
      <c r="B116" s="532" t="s">
        <v>10</v>
      </c>
      <c r="C116" s="1442"/>
      <c r="D116" s="1443">
        <f>SUM(D118:D120)</f>
        <v>0</v>
      </c>
      <c r="E116" s="1444">
        <f>SUM(E118:E120)</f>
        <v>0</v>
      </c>
      <c r="F116" s="1443">
        <f t="shared" ref="F116:K116" si="66">SUM(F118:F120)</f>
        <v>0</v>
      </c>
      <c r="G116" s="1443">
        <f t="shared" si="66"/>
        <v>0</v>
      </c>
      <c r="H116" s="1443">
        <f t="shared" si="66"/>
        <v>0</v>
      </c>
      <c r="I116" s="1443">
        <f t="shared" si="66"/>
        <v>0</v>
      </c>
      <c r="J116" s="1443">
        <f t="shared" si="66"/>
        <v>0</v>
      </c>
      <c r="K116" s="1443">
        <f t="shared" si="66"/>
        <v>0</v>
      </c>
      <c r="L116" s="1443">
        <f>SUM(L118:L120)</f>
        <v>0</v>
      </c>
      <c r="M116" s="4058"/>
      <c r="N116" s="13"/>
    </row>
    <row r="117" spans="1:14" ht="13.5" hidden="1" customHeight="1">
      <c r="A117" s="977"/>
      <c r="B117" s="534" t="s">
        <v>12</v>
      </c>
      <c r="C117" s="1453"/>
      <c r="D117" s="1454">
        <v>0</v>
      </c>
      <c r="E117" s="1455">
        <v>0</v>
      </c>
      <c r="F117" s="1446"/>
      <c r="G117" s="1446"/>
      <c r="H117" s="1446"/>
      <c r="I117" s="1446"/>
      <c r="J117" s="1446"/>
      <c r="K117" s="1446"/>
      <c r="L117" s="1446"/>
      <c r="M117" s="4058"/>
      <c r="N117" s="13"/>
    </row>
    <row r="118" spans="1:14" ht="12.95" hidden="1" customHeight="1">
      <c r="A118" s="977"/>
      <c r="B118" s="534" t="s">
        <v>12</v>
      </c>
      <c r="C118" s="1445"/>
      <c r="D118" s="1454">
        <v>0</v>
      </c>
      <c r="E118" s="1455">
        <v>0</v>
      </c>
      <c r="F118" s="1454"/>
      <c r="G118" s="1454"/>
      <c r="H118" s="1454"/>
      <c r="I118" s="1454"/>
      <c r="J118" s="1454"/>
      <c r="K118" s="1454"/>
      <c r="L118" s="1454"/>
      <c r="M118" s="4058"/>
      <c r="N118" s="13"/>
    </row>
    <row r="119" spans="1:14" ht="13.5" hidden="1" customHeight="1">
      <c r="A119" s="977"/>
      <c r="B119" s="533" t="s">
        <v>13</v>
      </c>
      <c r="C119" s="1445"/>
      <c r="D119" s="1454">
        <f>+D128</f>
        <v>0</v>
      </c>
      <c r="E119" s="1455">
        <f t="shared" ref="E119:K119" si="67">+E128</f>
        <v>0</v>
      </c>
      <c r="F119" s="1454">
        <f t="shared" si="67"/>
        <v>0</v>
      </c>
      <c r="G119" s="1454">
        <f t="shared" si="67"/>
        <v>0</v>
      </c>
      <c r="H119" s="1454">
        <f t="shared" si="67"/>
        <v>0</v>
      </c>
      <c r="I119" s="1454">
        <f t="shared" si="67"/>
        <v>0</v>
      </c>
      <c r="J119" s="1454">
        <f t="shared" si="67"/>
        <v>0</v>
      </c>
      <c r="K119" s="1454">
        <f t="shared" si="67"/>
        <v>0</v>
      </c>
      <c r="L119" s="1454">
        <f>+L128</f>
        <v>0</v>
      </c>
      <c r="M119" s="4058"/>
      <c r="N119" s="13"/>
    </row>
    <row r="120" spans="1:14" ht="14.25" hidden="1" customHeight="1" thickBot="1">
      <c r="A120" s="979"/>
      <c r="B120" s="746" t="s">
        <v>53</v>
      </c>
      <c r="C120" s="1456"/>
      <c r="D120" s="1457">
        <f>+D140+D129</f>
        <v>0</v>
      </c>
      <c r="E120" s="1457">
        <f>+E140+E129</f>
        <v>0</v>
      </c>
      <c r="F120" s="1457"/>
      <c r="G120" s="1457"/>
      <c r="H120" s="1457"/>
      <c r="I120" s="1457"/>
      <c r="J120" s="1457"/>
      <c r="K120" s="1457"/>
      <c r="L120" s="1457"/>
      <c r="M120" s="4059"/>
      <c r="N120" s="980"/>
    </row>
    <row r="121" spans="1:14" ht="15.75" hidden="1" customHeight="1">
      <c r="A121" s="3549" t="s">
        <v>54</v>
      </c>
      <c r="B121" s="1683"/>
      <c r="C121" s="941" t="s">
        <v>72</v>
      </c>
      <c r="D121" s="941"/>
      <c r="E121" s="51"/>
      <c r="F121" s="942"/>
      <c r="G121" s="942"/>
      <c r="H121" s="942"/>
      <c r="I121" s="942"/>
      <c r="J121" s="942"/>
      <c r="K121" s="942"/>
      <c r="L121" s="942"/>
      <c r="M121" s="943"/>
      <c r="N121" s="4076" t="s">
        <v>370</v>
      </c>
    </row>
    <row r="122" spans="1:14" ht="15.75" hidden="1" customHeight="1">
      <c r="A122" s="3550"/>
      <c r="B122" s="375" t="s">
        <v>9</v>
      </c>
      <c r="C122" s="1458"/>
      <c r="D122" s="1216">
        <f>+D123</f>
        <v>0</v>
      </c>
      <c r="E122" s="1216">
        <f t="shared" ref="E122:K122" si="68">+E123</f>
        <v>0</v>
      </c>
      <c r="F122" s="1216">
        <f t="shared" si="68"/>
        <v>0</v>
      </c>
      <c r="G122" s="1216">
        <f t="shared" si="68"/>
        <v>0</v>
      </c>
      <c r="H122" s="1216">
        <f t="shared" si="68"/>
        <v>0</v>
      </c>
      <c r="I122" s="1216">
        <f t="shared" si="68"/>
        <v>0</v>
      </c>
      <c r="J122" s="1216">
        <f t="shared" si="68"/>
        <v>0</v>
      </c>
      <c r="K122" s="1216">
        <f t="shared" si="68"/>
        <v>0</v>
      </c>
      <c r="L122" s="1216">
        <f>+L123</f>
        <v>0</v>
      </c>
      <c r="M122" s="1459">
        <f>+M123</f>
        <v>0</v>
      </c>
      <c r="N122" s="3478"/>
    </row>
    <row r="123" spans="1:14" s="559" customFormat="1" ht="15.75" hidden="1" customHeight="1">
      <c r="A123" s="3550"/>
      <c r="B123" s="1470" t="s">
        <v>10</v>
      </c>
      <c r="C123" s="4077" t="s">
        <v>296</v>
      </c>
      <c r="D123" s="1559">
        <f>+D125+D124</f>
        <v>0</v>
      </c>
      <c r="E123" s="1244">
        <f t="shared" ref="E123" si="69">+E125+E124</f>
        <v>0</v>
      </c>
      <c r="F123" s="1412">
        <f t="shared" ref="F123:K123" si="70">+F125+F124</f>
        <v>0</v>
      </c>
      <c r="G123" s="1412">
        <f t="shared" si="70"/>
        <v>0</v>
      </c>
      <c r="H123" s="1244">
        <f t="shared" si="70"/>
        <v>0</v>
      </c>
      <c r="I123" s="1244">
        <f t="shared" si="70"/>
        <v>0</v>
      </c>
      <c r="J123" s="1244">
        <f t="shared" si="70"/>
        <v>0</v>
      </c>
      <c r="K123" s="1244">
        <f t="shared" si="70"/>
        <v>0</v>
      </c>
      <c r="L123" s="1412">
        <f>+L125+L124</f>
        <v>0</v>
      </c>
      <c r="M123" s="1422">
        <f>M125+M124</f>
        <v>0</v>
      </c>
      <c r="N123" s="3478"/>
    </row>
    <row r="124" spans="1:14" s="559" customFormat="1" ht="15.75" hidden="1" customHeight="1">
      <c r="A124" s="3550"/>
      <c r="B124" s="549" t="s">
        <v>13</v>
      </c>
      <c r="C124" s="4078"/>
      <c r="D124" s="1560">
        <f>E124+L124+F124+G124+H124+I124+J124+K124</f>
        <v>0</v>
      </c>
      <c r="E124" s="1152"/>
      <c r="F124" s="1460"/>
      <c r="G124" s="1460"/>
      <c r="H124" s="1460"/>
      <c r="I124" s="1460"/>
      <c r="J124" s="1460"/>
      <c r="K124" s="1460">
        <v>0</v>
      </c>
      <c r="L124" s="1460"/>
      <c r="M124" s="1246">
        <f>SUM(F124:K124)</f>
        <v>0</v>
      </c>
      <c r="N124" s="3478"/>
    </row>
    <row r="125" spans="1:14" ht="13.5" hidden="1" customHeight="1">
      <c r="A125" s="3550"/>
      <c r="B125" s="540" t="s">
        <v>15</v>
      </c>
      <c r="C125" s="4079"/>
      <c r="D125" s="1558"/>
      <c r="E125" s="1461"/>
      <c r="F125" s="1471"/>
      <c r="G125" s="1471"/>
      <c r="H125" s="1245"/>
      <c r="I125" s="1245"/>
      <c r="J125" s="1245"/>
      <c r="K125" s="1245"/>
      <c r="L125" s="1471"/>
      <c r="M125" s="1448">
        <f>SUM(F125:H125)</f>
        <v>0</v>
      </c>
      <c r="N125" s="3478"/>
    </row>
    <row r="126" spans="1:14" ht="15" hidden="1" customHeight="1">
      <c r="A126" s="3550"/>
      <c r="B126" s="375" t="s">
        <v>20</v>
      </c>
      <c r="C126" s="1458"/>
      <c r="D126" s="1216">
        <f>+D127</f>
        <v>0</v>
      </c>
      <c r="E126" s="1216">
        <f t="shared" ref="E126:K126" si="71">+E127</f>
        <v>0</v>
      </c>
      <c r="F126" s="1216">
        <f t="shared" si="71"/>
        <v>0</v>
      </c>
      <c r="G126" s="1216">
        <f t="shared" si="71"/>
        <v>0</v>
      </c>
      <c r="H126" s="1216">
        <f t="shared" si="71"/>
        <v>0</v>
      </c>
      <c r="I126" s="1216">
        <f t="shared" si="71"/>
        <v>0</v>
      </c>
      <c r="J126" s="1216">
        <f t="shared" si="71"/>
        <v>0</v>
      </c>
      <c r="K126" s="1216">
        <f t="shared" si="71"/>
        <v>0</v>
      </c>
      <c r="L126" s="1216">
        <f>+L127</f>
        <v>0</v>
      </c>
      <c r="M126" s="4093" t="s">
        <v>52</v>
      </c>
      <c r="N126" s="3478"/>
    </row>
    <row r="127" spans="1:14" s="559" customFormat="1" ht="15" hidden="1" customHeight="1">
      <c r="A127" s="3550"/>
      <c r="B127" s="1470" t="s">
        <v>10</v>
      </c>
      <c r="C127" s="3465" t="s">
        <v>296</v>
      </c>
      <c r="D127" s="1412">
        <f>+D129+D128</f>
        <v>0</v>
      </c>
      <c r="E127" s="1244">
        <f>+E129+E128</f>
        <v>0</v>
      </c>
      <c r="F127" s="1412">
        <f t="shared" ref="F127:K127" si="72">+F129+F128</f>
        <v>0</v>
      </c>
      <c r="G127" s="1412">
        <f t="shared" si="72"/>
        <v>0</v>
      </c>
      <c r="H127" s="1244">
        <f t="shared" si="72"/>
        <v>0</v>
      </c>
      <c r="I127" s="1244">
        <f t="shared" si="72"/>
        <v>0</v>
      </c>
      <c r="J127" s="1244">
        <f t="shared" si="72"/>
        <v>0</v>
      </c>
      <c r="K127" s="1244">
        <f t="shared" si="72"/>
        <v>0</v>
      </c>
      <c r="L127" s="1412">
        <f>+L129+L128</f>
        <v>0</v>
      </c>
      <c r="M127" s="4094"/>
      <c r="N127" s="3478"/>
    </row>
    <row r="128" spans="1:14" ht="15" hidden="1" customHeight="1" thickBot="1">
      <c r="A128" s="3584"/>
      <c r="B128" s="63" t="s">
        <v>13</v>
      </c>
      <c r="C128" s="3765"/>
      <c r="D128" s="1405">
        <f>E128+L128+F128+G128+H128+I128+J128+K128</f>
        <v>0</v>
      </c>
      <c r="E128" s="1462"/>
      <c r="F128" s="1463"/>
      <c r="G128" s="1463"/>
      <c r="H128" s="1463"/>
      <c r="I128" s="1463"/>
      <c r="J128" s="1463"/>
      <c r="K128" s="1464">
        <v>0</v>
      </c>
      <c r="L128" s="1463"/>
      <c r="M128" s="4095"/>
      <c r="N128" s="3786"/>
    </row>
    <row r="129" spans="1:14" ht="13.5" hidden="1" customHeight="1" thickBot="1">
      <c r="A129" s="944"/>
      <c r="B129" s="945" t="s">
        <v>15</v>
      </c>
      <c r="C129" s="2880"/>
      <c r="D129" s="937"/>
      <c r="E129" s="946"/>
      <c r="F129" s="947"/>
      <c r="G129" s="947"/>
      <c r="H129" s="947"/>
      <c r="I129" s="947"/>
      <c r="J129" s="947"/>
      <c r="K129" s="947"/>
      <c r="L129" s="2725"/>
      <c r="M129" s="948"/>
      <c r="N129" s="949"/>
    </row>
    <row r="130" spans="1:14" s="547" customFormat="1" ht="29.25" hidden="1" customHeight="1">
      <c r="A130" s="4086" t="s">
        <v>55</v>
      </c>
      <c r="B130" s="544" t="s">
        <v>297</v>
      </c>
      <c r="C130" s="553" t="s">
        <v>99</v>
      </c>
      <c r="D130" s="553"/>
      <c r="E130" s="71"/>
      <c r="F130" s="554"/>
      <c r="G130" s="554"/>
      <c r="H130" s="554"/>
      <c r="I130" s="554"/>
      <c r="J130" s="554"/>
      <c r="K130" s="554"/>
      <c r="L130" s="554"/>
      <c r="M130" s="545"/>
      <c r="N130" s="4087" t="s">
        <v>154</v>
      </c>
    </row>
    <row r="131" spans="1:14" s="547" customFormat="1" ht="16.5" hidden="1" customHeight="1">
      <c r="A131" s="4086"/>
      <c r="B131" s="492" t="s">
        <v>9</v>
      </c>
      <c r="C131" s="1458"/>
      <c r="D131" s="1170"/>
      <c r="E131" s="1417"/>
      <c r="F131" s="1417"/>
      <c r="G131" s="1170"/>
      <c r="H131" s="1170"/>
      <c r="I131" s="1170"/>
      <c r="J131" s="1170"/>
      <c r="K131" s="1220"/>
      <c r="L131" s="1417"/>
      <c r="M131" s="1459">
        <f>M132</f>
        <v>0</v>
      </c>
      <c r="N131" s="4087"/>
    </row>
    <row r="132" spans="1:14" s="547" customFormat="1" ht="13.5" hidden="1" customHeight="1">
      <c r="A132" s="4086"/>
      <c r="B132" s="538" t="s">
        <v>10</v>
      </c>
      <c r="C132" s="4088" t="s">
        <v>159</v>
      </c>
      <c r="D132" s="1244"/>
      <c r="E132" s="1717"/>
      <c r="F132" s="1717"/>
      <c r="G132" s="1244"/>
      <c r="H132" s="1244"/>
      <c r="I132" s="1244"/>
      <c r="J132" s="1244"/>
      <c r="K132" s="1244"/>
      <c r="L132" s="1717"/>
      <c r="M132" s="1422">
        <f>M133</f>
        <v>0</v>
      </c>
      <c r="N132" s="4087"/>
    </row>
    <row r="133" spans="1:14" s="547" customFormat="1" ht="13.5" hidden="1" customHeight="1" thickBot="1">
      <c r="A133" s="4091"/>
      <c r="B133" s="67" t="s">
        <v>11</v>
      </c>
      <c r="C133" s="3580"/>
      <c r="D133" s="1718"/>
      <c r="E133" s="1719"/>
      <c r="F133" s="950"/>
      <c r="G133" s="951"/>
      <c r="H133" s="951"/>
      <c r="I133" s="951"/>
      <c r="J133" s="951"/>
      <c r="K133" s="951"/>
      <c r="L133" s="950"/>
      <c r="M133" s="1720">
        <f>SUM(F133:K133)</f>
        <v>0</v>
      </c>
      <c r="N133" s="4092"/>
    </row>
    <row r="134" spans="1:14" ht="19.5" hidden="1" customHeight="1">
      <c r="A134" s="4086"/>
      <c r="B134" s="544"/>
      <c r="C134" s="553" t="s">
        <v>72</v>
      </c>
      <c r="D134" s="747"/>
      <c r="E134" s="71"/>
      <c r="F134" s="554"/>
      <c r="G134" s="554"/>
      <c r="H134" s="554"/>
      <c r="I134" s="554"/>
      <c r="J134" s="554"/>
      <c r="K134" s="554"/>
      <c r="L134" s="71"/>
      <c r="M134" s="545"/>
      <c r="N134" s="4087"/>
    </row>
    <row r="135" spans="1:14" ht="12.75" hidden="1" customHeight="1">
      <c r="A135" s="4086"/>
      <c r="B135" s="492" t="s">
        <v>9</v>
      </c>
      <c r="C135" s="1458"/>
      <c r="D135" s="1439"/>
      <c r="E135" s="1441"/>
      <c r="F135" s="1170"/>
      <c r="G135" s="1170"/>
      <c r="H135" s="1170"/>
      <c r="I135" s="1170"/>
      <c r="J135" s="1170"/>
      <c r="K135" s="1220"/>
      <c r="L135" s="1220"/>
      <c r="M135" s="1459"/>
      <c r="N135" s="4087"/>
    </row>
    <row r="136" spans="1:14" ht="13.5" hidden="1" customHeight="1">
      <c r="A136" s="4086"/>
      <c r="B136" s="538" t="s">
        <v>10</v>
      </c>
      <c r="C136" s="4088" t="s">
        <v>155</v>
      </c>
      <c r="D136" s="1244"/>
      <c r="E136" s="1244"/>
      <c r="F136" s="1244"/>
      <c r="G136" s="1244"/>
      <c r="H136" s="1244"/>
      <c r="I136" s="1244"/>
      <c r="J136" s="1244"/>
      <c r="K136" s="1244"/>
      <c r="L136" s="1244"/>
      <c r="M136" s="1422"/>
      <c r="N136" s="4087"/>
    </row>
    <row r="137" spans="1:14" ht="13.5" hidden="1" customHeight="1">
      <c r="A137" s="4086"/>
      <c r="B137" s="540" t="s">
        <v>15</v>
      </c>
      <c r="C137" s="4089"/>
      <c r="D137" s="1721"/>
      <c r="E137" s="1245"/>
      <c r="F137" s="1245"/>
      <c r="G137" s="1245"/>
      <c r="H137" s="1245"/>
      <c r="I137" s="1245"/>
      <c r="J137" s="1245"/>
      <c r="K137" s="1245"/>
      <c r="L137" s="1245"/>
      <c r="M137" s="1448"/>
      <c r="N137" s="4087"/>
    </row>
    <row r="138" spans="1:14" ht="13.5" hidden="1" customHeight="1">
      <c r="A138" s="4086"/>
      <c r="B138" s="492" t="s">
        <v>20</v>
      </c>
      <c r="C138" s="1458"/>
      <c r="D138" s="1216"/>
      <c r="E138" s="1216"/>
      <c r="F138" s="1170"/>
      <c r="G138" s="1170"/>
      <c r="H138" s="1170"/>
      <c r="I138" s="1170"/>
      <c r="J138" s="1170"/>
      <c r="K138" s="1220"/>
      <c r="L138" s="1170"/>
      <c r="M138" s="1722"/>
      <c r="N138" s="4087"/>
    </row>
    <row r="139" spans="1:14" ht="15.75" hidden="1" customHeight="1">
      <c r="A139" s="4086"/>
      <c r="B139" s="538" t="s">
        <v>10</v>
      </c>
      <c r="C139" s="4088" t="s">
        <v>155</v>
      </c>
      <c r="D139" s="1244">
        <f>+D140</f>
        <v>0</v>
      </c>
      <c r="E139" s="1244">
        <f t="shared" ref="E139" si="73">+E140</f>
        <v>0</v>
      </c>
      <c r="F139" s="1244"/>
      <c r="G139" s="1244"/>
      <c r="H139" s="1244"/>
      <c r="I139" s="1244"/>
      <c r="J139" s="1244"/>
      <c r="K139" s="1244"/>
      <c r="L139" s="1244"/>
      <c r="M139" s="1722"/>
      <c r="N139" s="4087"/>
    </row>
    <row r="140" spans="1:14" ht="10.5" hidden="1" customHeight="1">
      <c r="A140" s="4086"/>
      <c r="B140" s="540" t="s">
        <v>15</v>
      </c>
      <c r="C140" s="4090"/>
      <c r="D140" s="1721"/>
      <c r="E140" s="1245"/>
      <c r="F140" s="1723"/>
      <c r="G140" s="1723"/>
      <c r="H140" s="1723"/>
      <c r="I140" s="1723"/>
      <c r="J140" s="1723"/>
      <c r="K140" s="1723"/>
      <c r="L140" s="1723"/>
      <c r="M140" s="1722"/>
      <c r="N140" s="4087"/>
    </row>
    <row r="142" spans="1:14" hidden="1"/>
    <row r="143" spans="1:14" ht="16.5" hidden="1" customHeight="1">
      <c r="B143" s="1724" t="s">
        <v>332</v>
      </c>
      <c r="C143" s="2810"/>
      <c r="D143" s="2810"/>
      <c r="E143" s="2810"/>
      <c r="F143" s="2810"/>
      <c r="G143" s="2810"/>
      <c r="H143" s="2810"/>
      <c r="I143" s="2810"/>
      <c r="J143" s="2810"/>
      <c r="K143" s="2810"/>
      <c r="L143" s="2810"/>
    </row>
    <row r="144" spans="1:14" ht="16.5" hidden="1" customHeight="1">
      <c r="B144" s="2881" t="s">
        <v>333</v>
      </c>
      <c r="C144" s="2810"/>
      <c r="D144" s="2838">
        <f t="shared" ref="D144:K144" si="74">D50+D83+D63+D92+D101</f>
        <v>41897230</v>
      </c>
      <c r="E144" s="2838">
        <f t="shared" si="74"/>
        <v>12327518</v>
      </c>
      <c r="F144" s="2838">
        <f t="shared" si="74"/>
        <v>6519018</v>
      </c>
      <c r="G144" s="2838">
        <f t="shared" si="74"/>
        <v>8051796</v>
      </c>
      <c r="H144" s="2838">
        <f t="shared" si="74"/>
        <v>8088657</v>
      </c>
      <c r="I144" s="2838">
        <f t="shared" si="74"/>
        <v>2558441</v>
      </c>
      <c r="J144" s="2838">
        <f t="shared" si="74"/>
        <v>2460734</v>
      </c>
      <c r="K144" s="2838">
        <f t="shared" si="74"/>
        <v>1891066</v>
      </c>
      <c r="L144" s="2838">
        <f>L50+L83+L63+L92+L101</f>
        <v>0</v>
      </c>
    </row>
    <row r="145" spans="1:14" ht="15.75" hidden="1" customHeight="1">
      <c r="B145" s="2881" t="s">
        <v>334</v>
      </c>
      <c r="C145" s="2810"/>
      <c r="D145" s="2838">
        <f>D74</f>
        <v>841516</v>
      </c>
      <c r="E145" s="2838">
        <f t="shared" ref="E145:K145" si="75">E74</f>
        <v>0</v>
      </c>
      <c r="F145" s="2838">
        <f t="shared" si="75"/>
        <v>209635</v>
      </c>
      <c r="G145" s="2838">
        <f t="shared" si="75"/>
        <v>480241</v>
      </c>
      <c r="H145" s="2838">
        <f t="shared" si="75"/>
        <v>151640</v>
      </c>
      <c r="I145" s="2838">
        <f t="shared" si="75"/>
        <v>0</v>
      </c>
      <c r="J145" s="2838">
        <f t="shared" si="75"/>
        <v>0</v>
      </c>
      <c r="K145" s="2838">
        <f t="shared" si="75"/>
        <v>0</v>
      </c>
      <c r="L145" s="2838">
        <f>L74</f>
        <v>0</v>
      </c>
    </row>
    <row r="146" spans="1:14" ht="14.25" hidden="1" customHeight="1">
      <c r="B146" s="2881" t="s">
        <v>335</v>
      </c>
      <c r="C146" s="2810"/>
      <c r="D146" s="1547">
        <f>D144+D145</f>
        <v>42738746</v>
      </c>
      <c r="E146" s="1547">
        <f>E144+E145</f>
        <v>12327518</v>
      </c>
      <c r="F146" s="1547">
        <f t="shared" ref="F146:K146" si="76">F144+F145</f>
        <v>6728653</v>
      </c>
      <c r="G146" s="1547">
        <f t="shared" si="76"/>
        <v>8532037</v>
      </c>
      <c r="H146" s="1547">
        <f t="shared" si="76"/>
        <v>8240297</v>
      </c>
      <c r="I146" s="1547">
        <f t="shared" si="76"/>
        <v>2558441</v>
      </c>
      <c r="J146" s="1547">
        <f t="shared" si="76"/>
        <v>2460734</v>
      </c>
      <c r="K146" s="1547">
        <f t="shared" si="76"/>
        <v>1891066</v>
      </c>
      <c r="L146" s="1547">
        <f>L144+L145</f>
        <v>0</v>
      </c>
    </row>
    <row r="147" spans="1:14" s="559" customFormat="1" ht="16.5" hidden="1" customHeight="1">
      <c r="A147" s="1757"/>
      <c r="B147" s="1725" t="s">
        <v>40</v>
      </c>
      <c r="C147" s="1758"/>
      <c r="D147" s="1759">
        <f t="shared" ref="D147:K147" si="77">D146-D21</f>
        <v>0</v>
      </c>
      <c r="E147" s="1759">
        <f t="shared" si="77"/>
        <v>0</v>
      </c>
      <c r="F147" s="1759">
        <f t="shared" si="77"/>
        <v>0</v>
      </c>
      <c r="G147" s="1759">
        <f t="shared" si="77"/>
        <v>0</v>
      </c>
      <c r="H147" s="1759">
        <f t="shared" si="77"/>
        <v>0</v>
      </c>
      <c r="I147" s="1759">
        <f t="shared" si="77"/>
        <v>0</v>
      </c>
      <c r="J147" s="1759">
        <f t="shared" si="77"/>
        <v>0</v>
      </c>
      <c r="K147" s="1759">
        <f t="shared" si="77"/>
        <v>0</v>
      </c>
      <c r="L147" s="1759">
        <f>L146-L21</f>
        <v>0</v>
      </c>
      <c r="N147" s="1760"/>
    </row>
    <row r="148" spans="1:14" hidden="1"/>
    <row r="149" spans="1:14" hidden="1"/>
    <row r="150" spans="1:14" hidden="1"/>
    <row r="151" spans="1:14" hidden="1"/>
    <row r="153" spans="1:14" ht="12.75" thickBot="1">
      <c r="A153" s="1726"/>
      <c r="B153" s="434"/>
      <c r="C153" s="434"/>
      <c r="D153" s="434"/>
      <c r="E153" s="434"/>
      <c r="F153" s="434"/>
      <c r="G153" s="434"/>
      <c r="H153" s="434"/>
      <c r="I153" s="434"/>
      <c r="J153" s="434"/>
      <c r="K153" s="434"/>
      <c r="L153" s="434"/>
      <c r="M153" s="434"/>
      <c r="N153" s="1727"/>
    </row>
    <row r="175" spans="1:1" ht="12.75" thickBot="1">
      <c r="A175" s="1726"/>
    </row>
    <row r="176" spans="1:1" ht="12.75" thickBot="1">
      <c r="A176" s="2014"/>
    </row>
    <row r="177" spans="1:2" ht="12.75" thickBot="1">
      <c r="A177" s="2014"/>
    </row>
    <row r="178" spans="1:2" ht="12.75" thickBot="1">
      <c r="A178" s="2014"/>
    </row>
    <row r="179" spans="1:2" ht="12.75" thickBot="1">
      <c r="A179" s="2014"/>
    </row>
    <row r="180" spans="1:2" ht="12.75" thickBot="1">
      <c r="A180" s="2014"/>
    </row>
    <row r="181" spans="1:2" ht="12.75" thickBot="1">
      <c r="A181" s="2014"/>
    </row>
    <row r="182" spans="1:2" ht="12.75" thickBot="1">
      <c r="A182" s="2014"/>
    </row>
    <row r="183" spans="1:2" ht="12.75" thickBot="1">
      <c r="A183" s="2014"/>
    </row>
    <row r="184" spans="1:2" ht="12.75" thickBot="1">
      <c r="A184" s="2014"/>
    </row>
    <row r="185" spans="1:2" ht="12.75" thickBot="1">
      <c r="A185" s="2014"/>
    </row>
    <row r="186" spans="1:2" ht="12.75" thickBot="1">
      <c r="A186" s="2014"/>
      <c r="B186" s="434"/>
    </row>
    <row r="187" spans="1:2" ht="12.75" thickBot="1">
      <c r="A187" s="2014"/>
      <c r="B187" s="428"/>
    </row>
    <row r="188" spans="1:2" ht="12.75" thickBot="1">
      <c r="A188" s="2014"/>
    </row>
    <row r="189" spans="1:2" ht="12.75" thickBot="1">
      <c r="A189" s="2014"/>
    </row>
    <row r="190" spans="1:2" ht="12.75" thickBot="1">
      <c r="A190" s="2014"/>
    </row>
    <row r="191" spans="1:2" ht="12.75" thickBot="1">
      <c r="A191" s="2014"/>
    </row>
    <row r="192" spans="1:2" ht="12.75" thickBot="1">
      <c r="A192" s="2014"/>
    </row>
    <row r="193" spans="1:14" ht="12.75" thickBot="1">
      <c r="A193" s="2014"/>
    </row>
    <row r="194" spans="1:14" ht="12.75" thickBot="1">
      <c r="A194" s="2014"/>
    </row>
    <row r="195" spans="1:14" ht="12.75" thickBot="1">
      <c r="A195" s="2014"/>
    </row>
    <row r="196" spans="1:14" ht="12.75" thickBot="1">
      <c r="A196" s="2014"/>
    </row>
    <row r="197" spans="1:14" ht="12.75" thickBot="1">
      <c r="A197" s="2014"/>
    </row>
    <row r="198" spans="1:14" ht="12.75" thickBot="1">
      <c r="A198" s="2014"/>
    </row>
    <row r="199" spans="1:14" ht="12.75" thickBot="1">
      <c r="A199" s="2014"/>
    </row>
    <row r="200" spans="1:14" ht="12.75" thickBot="1">
      <c r="A200" s="2014"/>
      <c r="M200" s="434"/>
      <c r="N200" s="1727"/>
    </row>
    <row r="201" spans="1:14" ht="12.75" thickBot="1">
      <c r="A201" s="2014"/>
      <c r="C201" s="434"/>
      <c r="M201" s="2002"/>
      <c r="N201" s="1986"/>
    </row>
    <row r="202" spans="1:14" ht="12.75" thickBot="1">
      <c r="A202" s="2014"/>
      <c r="C202" s="2002"/>
      <c r="M202" s="2002"/>
      <c r="N202" s="1986"/>
    </row>
    <row r="203" spans="1:14" ht="12.75" thickBot="1">
      <c r="A203" s="2014"/>
      <c r="C203" s="2002"/>
      <c r="M203" s="2002"/>
      <c r="N203" s="1986"/>
    </row>
    <row r="204" spans="1:14" ht="12.75" thickBot="1">
      <c r="A204" s="2015"/>
      <c r="C204" s="2002"/>
      <c r="D204" s="434"/>
      <c r="E204" s="434"/>
      <c r="F204" s="434"/>
      <c r="G204" s="434"/>
      <c r="H204" s="434"/>
      <c r="I204" s="434"/>
      <c r="J204" s="434"/>
      <c r="K204" s="434"/>
      <c r="L204" s="434"/>
      <c r="M204" s="2002"/>
      <c r="N204" s="1986"/>
    </row>
    <row r="205" spans="1:14" ht="12.75" thickBot="1">
      <c r="C205" s="428"/>
      <c r="D205" s="428"/>
      <c r="E205" s="428"/>
      <c r="F205" s="428"/>
      <c r="G205" s="428"/>
      <c r="H205" s="428"/>
      <c r="I205" s="428"/>
      <c r="J205" s="428"/>
      <c r="K205" s="428"/>
      <c r="L205" s="428"/>
      <c r="M205" s="428"/>
      <c r="N205" s="1986"/>
    </row>
    <row r="206" spans="1:14" ht="12.75" thickBot="1">
      <c r="N206" s="1986"/>
    </row>
    <row r="207" spans="1:14" ht="12.75" thickBot="1">
      <c r="N207" s="1986"/>
    </row>
    <row r="208" spans="1:14" ht="12.75" thickBot="1">
      <c r="N208" s="1986"/>
    </row>
    <row r="209" spans="14:14" ht="12.75" thickBot="1">
      <c r="N209" s="1986"/>
    </row>
    <row r="210" spans="14:14" ht="12.75" thickBot="1">
      <c r="N210" s="1986"/>
    </row>
    <row r="211" spans="14:14" ht="12.75" thickBot="1">
      <c r="N211" s="1986"/>
    </row>
    <row r="212" spans="14:14" ht="12.75" thickBot="1">
      <c r="N212" s="1986"/>
    </row>
    <row r="213" spans="14:14" ht="12.75" thickBot="1">
      <c r="N213" s="1986"/>
    </row>
    <row r="214" spans="14:14">
      <c r="N214" s="1987"/>
    </row>
    <row r="248" spans="14:14" ht="12.75" thickBot="1">
      <c r="N248" s="1727"/>
    </row>
    <row r="249" spans="14:14" ht="12.75" thickBot="1">
      <c r="N249" s="1986"/>
    </row>
    <row r="250" spans="14:14" ht="12.75" thickBot="1">
      <c r="N250" s="1986"/>
    </row>
    <row r="251" spans="14:14" ht="12.75" thickBot="1">
      <c r="N251" s="1986"/>
    </row>
    <row r="252" spans="14:14" ht="12.75" thickBot="1">
      <c r="N252" s="1986"/>
    </row>
    <row r="253" spans="14:14" ht="12.75" thickBot="1">
      <c r="N253" s="1986"/>
    </row>
    <row r="254" spans="14:14" ht="12.75" thickBot="1">
      <c r="N254" s="1986"/>
    </row>
    <row r="255" spans="14:14" ht="12.75" thickBot="1">
      <c r="N255" s="1986"/>
    </row>
    <row r="256" spans="14:14" ht="12.75" thickBot="1">
      <c r="N256" s="1986"/>
    </row>
    <row r="257" spans="14:14" ht="12.75" thickBot="1">
      <c r="N257" s="1986"/>
    </row>
    <row r="258" spans="14:14" ht="12.75" thickBot="1">
      <c r="N258" s="1986"/>
    </row>
    <row r="259" spans="14:14" ht="12.75" thickBot="1">
      <c r="N259" s="1986"/>
    </row>
    <row r="260" spans="14:14" ht="12.75" thickBot="1">
      <c r="N260" s="1986"/>
    </row>
    <row r="261" spans="14:14" ht="12.75" thickBot="1">
      <c r="N261" s="1986"/>
    </row>
    <row r="262" spans="14:14">
      <c r="N262" s="1987"/>
    </row>
    <row r="401" spans="1:14" ht="12.75" thickBot="1">
      <c r="A401" s="1726"/>
    </row>
    <row r="402" spans="1:14" ht="12.75" thickBot="1">
      <c r="A402" s="2014"/>
    </row>
    <row r="403" spans="1:14" ht="12.75" thickBot="1">
      <c r="A403" s="2014"/>
    </row>
    <row r="404" spans="1:14" ht="12.75" thickBot="1">
      <c r="A404" s="2014"/>
    </row>
    <row r="405" spans="1:14" ht="12.75" thickBot="1">
      <c r="A405" s="2014"/>
    </row>
    <row r="406" spans="1:14" ht="12.75" thickBot="1">
      <c r="A406" s="2014"/>
    </row>
    <row r="407" spans="1:14" ht="12.75" thickBot="1">
      <c r="A407" s="2014"/>
      <c r="M407" s="434"/>
      <c r="N407" s="1727"/>
    </row>
    <row r="408" spans="1:14" ht="12.75" thickBot="1">
      <c r="A408" s="2014"/>
      <c r="C408" s="434"/>
      <c r="M408" s="2002"/>
      <c r="N408" s="1986"/>
    </row>
    <row r="409" spans="1:14" ht="12.75" thickBot="1">
      <c r="A409" s="2014"/>
      <c r="C409" s="2002"/>
      <c r="D409" s="434"/>
      <c r="E409" s="434"/>
      <c r="F409" s="434"/>
      <c r="G409" s="434"/>
      <c r="H409" s="434"/>
      <c r="I409" s="434"/>
      <c r="J409" s="434"/>
      <c r="K409" s="434"/>
      <c r="L409" s="434"/>
      <c r="M409" s="2002"/>
      <c r="N409" s="1986"/>
    </row>
    <row r="410" spans="1:14" ht="12.75" thickBot="1">
      <c r="A410" s="2014"/>
      <c r="C410" s="428"/>
      <c r="D410" s="428"/>
      <c r="E410" s="428"/>
      <c r="F410" s="428"/>
      <c r="G410" s="428"/>
      <c r="H410" s="428"/>
      <c r="I410" s="428"/>
      <c r="J410" s="428"/>
      <c r="K410" s="428"/>
      <c r="L410" s="428"/>
      <c r="M410" s="428"/>
      <c r="N410" s="1986"/>
    </row>
    <row r="411" spans="1:14" ht="12.75" thickBot="1">
      <c r="A411" s="2014"/>
      <c r="N411" s="1986"/>
    </row>
    <row r="412" spans="1:14" ht="12.75" thickBot="1">
      <c r="A412" s="2014"/>
      <c r="N412" s="1986"/>
    </row>
    <row r="413" spans="1:14" ht="12.75" thickBot="1">
      <c r="A413" s="2014"/>
      <c r="N413" s="1986"/>
    </row>
    <row r="414" spans="1:14" ht="12.75" thickBot="1">
      <c r="A414" s="2014"/>
      <c r="N414" s="1986"/>
    </row>
    <row r="415" spans="1:14" ht="12.75" thickBot="1">
      <c r="A415" s="2014"/>
      <c r="N415" s="1987"/>
    </row>
    <row r="416" spans="1:14" ht="12.75" thickBot="1">
      <c r="A416" s="2014"/>
    </row>
    <row r="417" spans="1:1" ht="12.75" thickBot="1">
      <c r="A417" s="2014"/>
    </row>
    <row r="418" spans="1:1">
      <c r="A418" s="2015"/>
    </row>
    <row r="516" spans="1:14" ht="12.75" thickBot="1">
      <c r="N516" s="1727"/>
    </row>
    <row r="517" spans="1:14" ht="12.75" thickBot="1">
      <c r="N517" s="1986"/>
    </row>
    <row r="518" spans="1:14" ht="12.75" thickBot="1">
      <c r="N518" s="1986"/>
    </row>
    <row r="519" spans="1:14" ht="12.75" thickBot="1">
      <c r="N519" s="1986"/>
    </row>
    <row r="520" spans="1:14" ht="12.75" thickBot="1">
      <c r="M520" s="434"/>
      <c r="N520" s="1986"/>
    </row>
    <row r="521" spans="1:14" ht="12.75" thickBot="1">
      <c r="M521" s="2002"/>
      <c r="N521" s="1986"/>
    </row>
    <row r="522" spans="1:14" ht="12.75" thickBot="1">
      <c r="M522" s="2002"/>
      <c r="N522" s="1986"/>
    </row>
    <row r="523" spans="1:14" ht="12.75" thickBot="1">
      <c r="M523" s="2002"/>
      <c r="N523" s="1986"/>
    </row>
    <row r="524" spans="1:14" ht="12.75" thickBot="1">
      <c r="M524" s="2002"/>
      <c r="N524" s="1986"/>
    </row>
    <row r="525" spans="1:14" ht="12.75" thickBot="1">
      <c r="A525" s="1726"/>
      <c r="B525" s="434"/>
      <c r="C525" s="434"/>
      <c r="D525" s="434"/>
      <c r="E525" s="434"/>
      <c r="F525" s="434"/>
      <c r="G525" s="434"/>
      <c r="H525" s="434"/>
      <c r="I525" s="434"/>
      <c r="J525" s="434"/>
      <c r="K525" s="434"/>
      <c r="L525" s="434"/>
      <c r="M525" s="2002"/>
      <c r="N525" s="1986"/>
    </row>
    <row r="526" spans="1:14" ht="12.75" thickBot="1">
      <c r="A526" s="2014"/>
      <c r="B526" s="428"/>
      <c r="C526" s="428"/>
      <c r="D526" s="428"/>
      <c r="E526" s="428"/>
      <c r="F526" s="428"/>
      <c r="G526" s="428"/>
      <c r="H526" s="428"/>
      <c r="I526" s="428"/>
      <c r="J526" s="428"/>
      <c r="K526" s="428"/>
      <c r="L526" s="428"/>
      <c r="M526" s="428"/>
      <c r="N526" s="1986"/>
    </row>
    <row r="527" spans="1:14" ht="12.75" thickBot="1">
      <c r="A527" s="2014"/>
      <c r="N527" s="1986"/>
    </row>
    <row r="528" spans="1:14" ht="12.75" thickBot="1">
      <c r="A528" s="2014"/>
      <c r="N528" s="1986"/>
    </row>
    <row r="529" spans="1:14" ht="12.75" thickBot="1">
      <c r="A529" s="2014"/>
      <c r="N529" s="1986"/>
    </row>
    <row r="530" spans="1:14" ht="12.75" thickBot="1">
      <c r="A530" s="2014"/>
      <c r="N530" s="1986"/>
    </row>
    <row r="531" spans="1:14" ht="12.75" thickBot="1">
      <c r="A531" s="2014"/>
      <c r="N531" s="1986"/>
    </row>
    <row r="532" spans="1:14" ht="12.75" thickBot="1">
      <c r="A532" s="2014"/>
      <c r="N532" s="1986"/>
    </row>
    <row r="533" spans="1:14">
      <c r="A533" s="2015"/>
      <c r="N533" s="1987"/>
    </row>
  </sheetData>
  <mergeCells count="61">
    <mergeCell ref="A121:A128"/>
    <mergeCell ref="C127:C128"/>
    <mergeCell ref="M126:M128"/>
    <mergeCell ref="A43:A55"/>
    <mergeCell ref="A32:A42"/>
    <mergeCell ref="A68:A76"/>
    <mergeCell ref="A77:A85"/>
    <mergeCell ref="A57:A67"/>
    <mergeCell ref="A86:A94"/>
    <mergeCell ref="C88:C91"/>
    <mergeCell ref="C93:C94"/>
    <mergeCell ref="C59:C62"/>
    <mergeCell ref="M63:M67"/>
    <mergeCell ref="C64:C67"/>
    <mergeCell ref="M92:M94"/>
    <mergeCell ref="A95:A103"/>
    <mergeCell ref="A134:A140"/>
    <mergeCell ref="N134:N140"/>
    <mergeCell ref="C136:C137"/>
    <mergeCell ref="C139:C140"/>
    <mergeCell ref="A130:A133"/>
    <mergeCell ref="N130:N133"/>
    <mergeCell ref="C132:C133"/>
    <mergeCell ref="N43:N55"/>
    <mergeCell ref="C45:C49"/>
    <mergeCell ref="C51:C55"/>
    <mergeCell ref="M50:M55"/>
    <mergeCell ref="N121:N128"/>
    <mergeCell ref="C123:C125"/>
    <mergeCell ref="M115:M120"/>
    <mergeCell ref="N57:N67"/>
    <mergeCell ref="N86:N91"/>
    <mergeCell ref="N92:N94"/>
    <mergeCell ref="C97:C100"/>
    <mergeCell ref="C102:C103"/>
    <mergeCell ref="N95:N100"/>
    <mergeCell ref="M101:M103"/>
    <mergeCell ref="N101:N103"/>
    <mergeCell ref="N77:N82"/>
    <mergeCell ref="A4:N4"/>
    <mergeCell ref="B5:B6"/>
    <mergeCell ref="C5:C6"/>
    <mergeCell ref="D5:D6"/>
    <mergeCell ref="N5:N6"/>
    <mergeCell ref="M5:M6"/>
    <mergeCell ref="L5:L6"/>
    <mergeCell ref="G5:K5"/>
    <mergeCell ref="C79:C82"/>
    <mergeCell ref="M83:M85"/>
    <mergeCell ref="N83:N85"/>
    <mergeCell ref="C84:C85"/>
    <mergeCell ref="N68:N73"/>
    <mergeCell ref="C70:C73"/>
    <mergeCell ref="M74:M76"/>
    <mergeCell ref="N74:N76"/>
    <mergeCell ref="C75:C76"/>
    <mergeCell ref="N32:N42"/>
    <mergeCell ref="C34:C37"/>
    <mergeCell ref="C39:C42"/>
    <mergeCell ref="M38:M42"/>
    <mergeCell ref="M21:M31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5" firstPageNumber="52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6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18</vt:i4>
      </vt:variant>
    </vt:vector>
  </HeadingPairs>
  <TitlesOfParts>
    <vt:vector size="29" baseType="lpstr">
      <vt:lpstr>Tabela nr 6</vt:lpstr>
      <vt:lpstr>Tab. 6A -Drogi</vt:lpstr>
      <vt:lpstr>Tab. 6B Polit społ i rozwój prz</vt:lpstr>
      <vt:lpstr>Tab. 6D - Oświata</vt:lpstr>
      <vt:lpstr>Tab. 6H - Kultura fiz. i turyst</vt:lpstr>
      <vt:lpstr>Tab. 6C - Ochrona zdrowia</vt:lpstr>
      <vt:lpstr>Tab. 6E - Administracja</vt:lpstr>
      <vt:lpstr>Tab. 6F - Kultura</vt:lpstr>
      <vt:lpstr>Tab. 6G - Roln i ochrona środ.</vt:lpstr>
      <vt:lpstr>Tab.6I - Planow. przestrz.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2019-01-14T12:51:16Z</cp:lastPrinted>
  <dcterms:created xsi:type="dcterms:W3CDTF">2015-01-20T07:24:04Z</dcterms:created>
  <dcterms:modified xsi:type="dcterms:W3CDTF">2019-01-25T07:42:16Z</dcterms:modified>
</cp:coreProperties>
</file>