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55" yWindow="420" windowWidth="13635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H - Kultura fiz. i turyst" sheetId="9" r:id="rId4"/>
    <sheet name="Tab.6I - Planow. przestrz." sheetId="13" r:id="rId5"/>
    <sheet name="Tab. 6C - Ochrona zdrowia" sheetId="4" r:id="rId6"/>
    <sheet name="Tab. 6D - Oświata" sheetId="5" r:id="rId7"/>
    <sheet name="Tab. 6E - Administracja" sheetId="6" r:id="rId8"/>
    <sheet name="Tab. 6F - Kultura" sheetId="7" r:id="rId9"/>
    <sheet name="Tab. 6G - Roln i ochrona środ." sheetId="8" r:id="rId10"/>
    <sheet name="projekty UE" sheetId="10" r:id="rId11"/>
    <sheet name="Arkusz1" sheetId="1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'Tab. 6A -Drogi'!$A$11:$DZ$544</definedName>
    <definedName name="_xlnm._FilterDatabase" localSheetId="2" hidden="1">'Tab. 6B Polit społ i rozwój prz'!#REF!</definedName>
    <definedName name="_xlnm._FilterDatabase" localSheetId="9" hidden="1">'Tab. 6G - Roln i ochrona środ.'!$A$4:$N$56</definedName>
    <definedName name="_xlnm.Print_Area" localSheetId="1">'Tab. 6A -Drogi'!$A$1:$N$679</definedName>
    <definedName name="_xlnm.Print_Area" localSheetId="2">'Tab. 6B Polit społ i rozwój prz'!$A$1:$N$322</definedName>
    <definedName name="_xlnm.Print_Area" localSheetId="5">'Tab. 6C - Ochrona zdrowia'!$A$1:$N$101</definedName>
    <definedName name="_xlnm.Print_Area" localSheetId="6">'Tab. 6D - Oświata'!$A$1:$N$103</definedName>
    <definedName name="_xlnm.Print_Area" localSheetId="7">'Tab. 6E - Administracja'!$A$1:$N$271</definedName>
    <definedName name="_xlnm.Print_Area" localSheetId="8">'Tab. 6F - Kultura'!$A$1:$N$179</definedName>
    <definedName name="_xlnm.Print_Area" localSheetId="9">'Tab. 6G - Roln i ochrona środ.'!$A$1:$N$140</definedName>
    <definedName name="_xlnm.Print_Area" localSheetId="3">'Tab. 6H - Kultura fiz. i turyst'!$A$1:$N$320</definedName>
    <definedName name="_xlnm.Print_Area" localSheetId="4">'Tab.6I - Planow. przestrz.'!$A$1:$N$116</definedName>
    <definedName name="_xlnm.Print_Area" localSheetId="0">'Tabela nr 6'!$A$1:$K$79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6">'Tab. 6D - Oświata'!$6:$8</definedName>
    <definedName name="_xlnm.Print_Titles" localSheetId="7">'Tab. 6E - Administracja'!$6:$8</definedName>
    <definedName name="_xlnm.Print_Titles" localSheetId="8">'Tab. 6F - Kultura'!$4:$6</definedName>
    <definedName name="_xlnm.Print_Titles" localSheetId="9">'Tab. 6G - Roln i ochrona środ.'!$5:$7</definedName>
    <definedName name="_xlnm.Print_Titles" localSheetId="3">'Tab. 6H - Kultura fiz. i turyst'!$4:$6</definedName>
    <definedName name="_xlnm.Print_Titles" localSheetId="4">'Tab.6I - Planow. przestrz.'!$5:$7</definedName>
  </definedNames>
  <calcPr calcId="125725"/>
</workbook>
</file>

<file path=xl/calcChain.xml><?xml version="1.0" encoding="utf-8"?>
<calcChain xmlns="http://schemas.openxmlformats.org/spreadsheetml/2006/main">
  <c r="M54" i="3"/>
  <c r="M55"/>
  <c r="M56"/>
  <c r="D49"/>
  <c r="D50" l="1"/>
  <c r="G113" i="6" l="1"/>
  <c r="G111"/>
  <c r="G103"/>
  <c r="G101"/>
  <c r="D37" i="10" l="1"/>
  <c r="H37"/>
  <c r="I37"/>
  <c r="D38"/>
  <c r="I38"/>
  <c r="C38"/>
  <c r="I29"/>
  <c r="G612" i="2" l="1"/>
  <c r="G608"/>
  <c r="G603"/>
  <c r="K21" i="9"/>
  <c r="J21"/>
  <c r="I21"/>
  <c r="H21"/>
  <c r="G21"/>
  <c r="F21"/>
  <c r="E21"/>
  <c r="K14"/>
  <c r="J14"/>
  <c r="I14"/>
  <c r="H14"/>
  <c r="G14"/>
  <c r="F14"/>
  <c r="E14"/>
  <c r="E122"/>
  <c r="F122"/>
  <c r="G122"/>
  <c r="H122"/>
  <c r="I122"/>
  <c r="J122"/>
  <c r="K122"/>
  <c r="D123"/>
  <c r="D122" s="1"/>
  <c r="M100"/>
  <c r="M116"/>
  <c r="D116"/>
  <c r="G115"/>
  <c r="E106"/>
  <c r="F106"/>
  <c r="G106"/>
  <c r="H106"/>
  <c r="I106"/>
  <c r="J106"/>
  <c r="K106"/>
  <c r="D107"/>
  <c r="D106" s="1"/>
  <c r="D100"/>
  <c r="G99"/>
  <c r="J23" i="3"/>
  <c r="I23"/>
  <c r="M311"/>
  <c r="L305"/>
  <c r="E310"/>
  <c r="E309" s="1"/>
  <c r="F310"/>
  <c r="F309" s="1"/>
  <c r="G310"/>
  <c r="G309" s="1"/>
  <c r="H310"/>
  <c r="H309" s="1"/>
  <c r="I310"/>
  <c r="I309" s="1"/>
  <c r="J310"/>
  <c r="J309" s="1"/>
  <c r="K310"/>
  <c r="K309" s="1"/>
  <c r="L310"/>
  <c r="D311"/>
  <c r="D310" s="1"/>
  <c r="D309" s="1"/>
  <c r="M307"/>
  <c r="M308"/>
  <c r="D308"/>
  <c r="D307"/>
  <c r="D304"/>
  <c r="D303"/>
  <c r="K306"/>
  <c r="K305" s="1"/>
  <c r="J306"/>
  <c r="I306"/>
  <c r="H306"/>
  <c r="G306"/>
  <c r="F306"/>
  <c r="E306"/>
  <c r="E305" s="1"/>
  <c r="L301"/>
  <c r="L300" s="1"/>
  <c r="D306" l="1"/>
  <c r="D305" s="1"/>
  <c r="M306"/>
  <c r="M305" s="1"/>
  <c r="I32" i="10"/>
  <c r="G32"/>
  <c r="H32"/>
  <c r="G305" i="3"/>
  <c r="H305"/>
  <c r="M310"/>
  <c r="J305"/>
  <c r="I305"/>
  <c r="F305"/>
  <c r="D302"/>
  <c r="M304"/>
  <c r="M303"/>
  <c r="F302"/>
  <c r="G302"/>
  <c r="H302"/>
  <c r="I302"/>
  <c r="J302"/>
  <c r="K302"/>
  <c r="E302"/>
  <c r="J318"/>
  <c r="J317" s="1"/>
  <c r="J316" s="1"/>
  <c r="K318"/>
  <c r="K317" s="1"/>
  <c r="K316" s="1"/>
  <c r="L318"/>
  <c r="L317" s="1"/>
  <c r="L316" s="1"/>
  <c r="D301" l="1"/>
  <c r="D300" s="1"/>
  <c r="K301"/>
  <c r="K300" s="1"/>
  <c r="H301"/>
  <c r="I301"/>
  <c r="M302"/>
  <c r="M301" s="1"/>
  <c r="M300" s="1"/>
  <c r="G301"/>
  <c r="E301"/>
  <c r="E300" s="1"/>
  <c r="J301"/>
  <c r="F301"/>
  <c r="I61" i="13"/>
  <c r="I59"/>
  <c r="H61"/>
  <c r="H59"/>
  <c r="H55"/>
  <c r="H49"/>
  <c r="G61"/>
  <c r="G59"/>
  <c r="G56"/>
  <c r="G51"/>
  <c r="G50"/>
  <c r="F59"/>
  <c r="F61"/>
  <c r="F56"/>
  <c r="F55"/>
  <c r="F51"/>
  <c r="F50"/>
  <c r="F49"/>
  <c r="L72" i="9"/>
  <c r="D72" s="1"/>
  <c r="D71" s="1"/>
  <c r="H71"/>
  <c r="G71"/>
  <c r="F71"/>
  <c r="E71"/>
  <c r="D70"/>
  <c r="L69"/>
  <c r="H69"/>
  <c r="G69"/>
  <c r="F69"/>
  <c r="E69"/>
  <c r="D69"/>
  <c r="M67"/>
  <c r="M66" s="1"/>
  <c r="D67"/>
  <c r="D66" s="1"/>
  <c r="L66"/>
  <c r="H66"/>
  <c r="G66"/>
  <c r="F66"/>
  <c r="E66"/>
  <c r="M65"/>
  <c r="D65"/>
  <c r="M64"/>
  <c r="M63" s="1"/>
  <c r="D64"/>
  <c r="L63"/>
  <c r="H63"/>
  <c r="G63"/>
  <c r="F63"/>
  <c r="E63"/>
  <c r="M55"/>
  <c r="M52"/>
  <c r="H54"/>
  <c r="G57"/>
  <c r="H57"/>
  <c r="H59"/>
  <c r="G51"/>
  <c r="H51"/>
  <c r="G54"/>
  <c r="G93"/>
  <c r="G90"/>
  <c r="G88"/>
  <c r="F90"/>
  <c r="F88"/>
  <c r="G84"/>
  <c r="G79"/>
  <c r="G76"/>
  <c r="G36"/>
  <c r="G31"/>
  <c r="G28"/>
  <c r="L71" l="1"/>
  <c r="L68" s="1"/>
  <c r="H300" i="3"/>
  <c r="J300"/>
  <c r="G300"/>
  <c r="I300"/>
  <c r="I31" i="10"/>
  <c r="F300" i="3"/>
  <c r="G50" i="9"/>
  <c r="G68"/>
  <c r="E62"/>
  <c r="L62"/>
  <c r="F68"/>
  <c r="G62"/>
  <c r="F62"/>
  <c r="D68"/>
  <c r="D63"/>
  <c r="D62" s="1"/>
  <c r="H62"/>
  <c r="E68"/>
  <c r="M62"/>
  <c r="H68"/>
  <c r="H50"/>
  <c r="H56"/>
  <c r="G31" i="10" l="1"/>
  <c r="H31"/>
  <c r="B139" i="1"/>
  <c r="C139"/>
  <c r="D139"/>
  <c r="E139"/>
  <c r="F139"/>
  <c r="G139"/>
  <c r="H139"/>
  <c r="I139"/>
  <c r="J139"/>
  <c r="K139"/>
  <c r="I544" i="2" l="1"/>
  <c r="H545"/>
  <c r="H544"/>
  <c r="G545"/>
  <c r="G544"/>
  <c r="M544" s="1"/>
  <c r="O154" i="6" l="1"/>
  <c r="L95" i="5" l="1"/>
  <c r="L99"/>
  <c r="K99"/>
  <c r="J99"/>
  <c r="I99"/>
  <c r="J19" i="7"/>
  <c r="F260" i="3"/>
  <c r="J49" i="8" l="1"/>
  <c r="H138" i="3" l="1"/>
  <c r="G138"/>
  <c r="H136"/>
  <c r="G136"/>
  <c r="H133"/>
  <c r="G133"/>
  <c r="F133"/>
  <c r="H131"/>
  <c r="G131"/>
  <c r="F131"/>
  <c r="H130"/>
  <c r="G130"/>
  <c r="F130"/>
  <c r="G113"/>
  <c r="F113"/>
  <c r="G108"/>
  <c r="F108"/>
  <c r="G105"/>
  <c r="F105"/>
  <c r="H89"/>
  <c r="G89"/>
  <c r="F89"/>
  <c r="H84"/>
  <c r="G84"/>
  <c r="F84"/>
  <c r="H81"/>
  <c r="G81"/>
  <c r="F81"/>
  <c r="J55" i="7" l="1"/>
  <c r="I55"/>
  <c r="H55"/>
  <c r="G55"/>
  <c r="F55"/>
  <c r="G53"/>
  <c r="F53"/>
  <c r="J50"/>
  <c r="I50"/>
  <c r="H50"/>
  <c r="F50"/>
  <c r="H48"/>
  <c r="F48"/>
  <c r="D216" i="9"/>
  <c r="I215"/>
  <c r="H206"/>
  <c r="M199"/>
  <c r="M200"/>
  <c r="M195"/>
  <c r="M196"/>
  <c r="E211"/>
  <c r="F211"/>
  <c r="G211"/>
  <c r="H211"/>
  <c r="I211"/>
  <c r="J211"/>
  <c r="K211"/>
  <c r="E207"/>
  <c r="E206" s="1"/>
  <c r="F207"/>
  <c r="F206" s="1"/>
  <c r="G207"/>
  <c r="G206" s="1"/>
  <c r="I207"/>
  <c r="I206" s="1"/>
  <c r="J207"/>
  <c r="J206" s="1"/>
  <c r="K207"/>
  <c r="K206" s="1"/>
  <c r="D213"/>
  <c r="D212"/>
  <c r="D209"/>
  <c r="D208"/>
  <c r="F202"/>
  <c r="G202"/>
  <c r="H202"/>
  <c r="I202"/>
  <c r="J202"/>
  <c r="K202"/>
  <c r="D196"/>
  <c r="D195"/>
  <c r="E198"/>
  <c r="F198"/>
  <c r="G198"/>
  <c r="H198"/>
  <c r="H197" s="1"/>
  <c r="I198"/>
  <c r="I197" s="1"/>
  <c r="J198"/>
  <c r="J197" s="1"/>
  <c r="K198"/>
  <c r="K197" s="1"/>
  <c r="D200"/>
  <c r="D199"/>
  <c r="I194"/>
  <c r="H194"/>
  <c r="G194"/>
  <c r="D207" l="1"/>
  <c r="D198"/>
  <c r="K201"/>
  <c r="I201"/>
  <c r="G201"/>
  <c r="J201"/>
  <c r="H201"/>
  <c r="I214"/>
  <c r="F201"/>
  <c r="D211"/>
  <c r="D194"/>
  <c r="K139" i="6"/>
  <c r="G139"/>
  <c r="F139"/>
  <c r="K130"/>
  <c r="F130"/>
  <c r="K120"/>
  <c r="I120"/>
  <c r="H120"/>
  <c r="G120"/>
  <c r="F120"/>
  <c r="K116"/>
  <c r="J116"/>
  <c r="I116"/>
  <c r="H116"/>
  <c r="F116"/>
  <c r="K113"/>
  <c r="H113"/>
  <c r="F113"/>
  <c r="F115"/>
  <c r="F114"/>
  <c r="F112"/>
  <c r="H111"/>
  <c r="F111"/>
  <c r="K106"/>
  <c r="J106"/>
  <c r="I106"/>
  <c r="H106"/>
  <c r="F106"/>
  <c r="K103"/>
  <c r="H103"/>
  <c r="F103"/>
  <c r="F101"/>
  <c r="H193" i="9" l="1"/>
  <c r="H192" s="1"/>
  <c r="I193"/>
  <c r="I192" s="1"/>
  <c r="H45" i="4"/>
  <c r="G45"/>
  <c r="F45"/>
  <c r="F43"/>
  <c r="H43"/>
  <c r="G43"/>
  <c r="H40"/>
  <c r="G40"/>
  <c r="F40"/>
  <c r="H38"/>
  <c r="G38"/>
  <c r="F38"/>
  <c r="H37"/>
  <c r="G37"/>
  <c r="F37"/>
  <c r="H33"/>
  <c r="G33"/>
  <c r="F33"/>
  <c r="H31"/>
  <c r="G31"/>
  <c r="F31"/>
  <c r="H28"/>
  <c r="G28"/>
  <c r="F28"/>
  <c r="H26"/>
  <c r="G26"/>
  <c r="F26"/>
  <c r="G25"/>
  <c r="F25"/>
  <c r="H24"/>
  <c r="G24"/>
  <c r="F280" i="3" l="1"/>
  <c r="F278"/>
  <c r="F275"/>
  <c r="F273"/>
  <c r="G264"/>
  <c r="F264"/>
  <c r="G263"/>
  <c r="F263"/>
  <c r="G260"/>
  <c r="G259"/>
  <c r="F259"/>
  <c r="G323"/>
  <c r="G134" i="9"/>
  <c r="G131"/>
  <c r="F131"/>
  <c r="G129"/>
  <c r="F129"/>
  <c r="M103"/>
  <c r="M98"/>
  <c r="M119"/>
  <c r="M114"/>
  <c r="G125"/>
  <c r="G120"/>
  <c r="M120" s="1"/>
  <c r="F120"/>
  <c r="M115"/>
  <c r="F115"/>
  <c r="G109"/>
  <c r="G104"/>
  <c r="M104" s="1"/>
  <c r="F104"/>
  <c r="M99"/>
  <c r="F99"/>
  <c r="G91" i="8"/>
  <c r="G89"/>
  <c r="F91"/>
  <c r="F89"/>
  <c r="G76"/>
  <c r="F76"/>
  <c r="G73"/>
  <c r="F73"/>
  <c r="G71"/>
  <c r="F71"/>
  <c r="G82"/>
  <c r="G80"/>
  <c r="F82"/>
  <c r="F80"/>
  <c r="G157" i="3"/>
  <c r="F157"/>
  <c r="L49" i="4"/>
  <c r="E49"/>
  <c r="F49"/>
  <c r="G49"/>
  <c r="H49"/>
  <c r="I49"/>
  <c r="J49"/>
  <c r="K49"/>
  <c r="M70"/>
  <c r="G298" i="3"/>
  <c r="F298"/>
  <c r="G296"/>
  <c r="F296"/>
  <c r="G293"/>
  <c r="F293"/>
  <c r="G292"/>
  <c r="F292"/>
  <c r="G289"/>
  <c r="F289"/>
  <c r="G288"/>
  <c r="F288"/>
  <c r="G49" i="13"/>
  <c r="M49" s="1"/>
  <c r="G55"/>
  <c r="M55" s="1"/>
  <c r="H175" i="6"/>
  <c r="F175"/>
  <c r="H179"/>
  <c r="F179"/>
  <c r="H186"/>
  <c r="G186"/>
  <c r="F186"/>
  <c r="H187"/>
  <c r="H207"/>
  <c r="I214"/>
  <c r="H214"/>
  <c r="F61" l="1"/>
  <c r="G255" i="9"/>
  <c r="F255"/>
  <c r="G267"/>
  <c r="G264"/>
  <c r="F267"/>
  <c r="F264"/>
  <c r="G152" i="7" l="1"/>
  <c r="F152"/>
  <c r="I67"/>
  <c r="H67"/>
  <c r="I65"/>
  <c r="I19" s="1"/>
  <c r="H65"/>
  <c r="G65"/>
  <c r="F65"/>
  <c r="I62"/>
  <c r="H62"/>
  <c r="I59"/>
  <c r="H59"/>
  <c r="G59"/>
  <c r="F59"/>
  <c r="H43" i="13"/>
  <c r="F43"/>
  <c r="F40"/>
  <c r="F38"/>
  <c r="G38"/>
  <c r="F34"/>
  <c r="F31"/>
  <c r="F29"/>
  <c r="H34"/>
  <c r="G34"/>
  <c r="F675" i="2"/>
  <c r="G660"/>
  <c r="F660"/>
  <c r="I651"/>
  <c r="I650" s="1"/>
  <c r="F652"/>
  <c r="G580" l="1"/>
  <c r="G579" s="1"/>
  <c r="F584"/>
  <c r="F581"/>
  <c r="I564"/>
  <c r="I563" s="1"/>
  <c r="F565"/>
  <c r="I424"/>
  <c r="H424"/>
  <c r="G424"/>
  <c r="H421"/>
  <c r="H419"/>
  <c r="G421"/>
  <c r="G419"/>
  <c r="I396"/>
  <c r="I393" s="1"/>
  <c r="G397"/>
  <c r="H391"/>
  <c r="G392"/>
  <c r="H388"/>
  <c r="H387" s="1"/>
  <c r="G389"/>
  <c r="K259" i="6"/>
  <c r="J259"/>
  <c r="I259"/>
  <c r="H259"/>
  <c r="G259"/>
  <c r="F258"/>
  <c r="H47" i="9"/>
  <c r="G42"/>
  <c r="H42"/>
  <c r="G39"/>
  <c r="H39"/>
  <c r="H35"/>
  <c r="G30"/>
  <c r="H30"/>
  <c r="G27"/>
  <c r="H27"/>
  <c r="H90"/>
  <c r="H88"/>
  <c r="H67" i="8"/>
  <c r="H65"/>
  <c r="H62"/>
  <c r="H60"/>
  <c r="F67"/>
  <c r="F65"/>
  <c r="F62"/>
  <c r="F60"/>
  <c r="G26" i="9" l="1"/>
  <c r="H26"/>
  <c r="H38"/>
  <c r="G38"/>
  <c r="I322" i="3"/>
  <c r="I318" s="1"/>
  <c r="I317" s="1"/>
  <c r="I316" s="1"/>
  <c r="H322"/>
  <c r="H318" s="1"/>
  <c r="H317" s="1"/>
  <c r="H316" s="1"/>
  <c r="G322"/>
  <c r="G318" s="1"/>
  <c r="F322"/>
  <c r="F318" s="1"/>
  <c r="F317" s="1"/>
  <c r="F316" s="1"/>
  <c r="E322"/>
  <c r="D324"/>
  <c r="D323"/>
  <c r="M324"/>
  <c r="M323"/>
  <c r="G247" i="9"/>
  <c r="M247" s="1"/>
  <c r="G243"/>
  <c r="M243" s="1"/>
  <c r="G244"/>
  <c r="G248"/>
  <c r="M248" s="1"/>
  <c r="G251"/>
  <c r="F251"/>
  <c r="F248"/>
  <c r="F247"/>
  <c r="F244"/>
  <c r="F243"/>
  <c r="F644" i="2"/>
  <c r="F39" i="5"/>
  <c r="F14" s="1"/>
  <c r="I46"/>
  <c r="F46"/>
  <c r="G264" i="6"/>
  <c r="M264" s="1"/>
  <c r="F264"/>
  <c r="F246" s="1"/>
  <c r="G71" i="5"/>
  <c r="F71"/>
  <c r="F70" s="1"/>
  <c r="F69" s="1"/>
  <c r="F74"/>
  <c r="M165" i="9"/>
  <c r="M161"/>
  <c r="H229"/>
  <c r="F229"/>
  <c r="G225"/>
  <c r="F226"/>
  <c r="F225"/>
  <c r="G221"/>
  <c r="G220" s="1"/>
  <c r="F222"/>
  <c r="F221"/>
  <c r="F148" i="3"/>
  <c r="F144"/>
  <c r="F147"/>
  <c r="F146" s="1"/>
  <c r="F143"/>
  <c r="F142" s="1"/>
  <c r="F141" s="1"/>
  <c r="F92" i="4"/>
  <c r="F93"/>
  <c r="F87"/>
  <c r="F88"/>
  <c r="F82"/>
  <c r="F53" s="1"/>
  <c r="F83"/>
  <c r="G219" i="3"/>
  <c r="G218" s="1"/>
  <c r="G221"/>
  <c r="F221"/>
  <c r="F219"/>
  <c r="G216"/>
  <c r="M216" s="1"/>
  <c r="F216"/>
  <c r="G215"/>
  <c r="M215" s="1"/>
  <c r="F215"/>
  <c r="G212"/>
  <c r="D212" s="1"/>
  <c r="F212"/>
  <c r="G211"/>
  <c r="F211"/>
  <c r="G209"/>
  <c r="D209" s="1"/>
  <c r="F209"/>
  <c r="G208"/>
  <c r="G207" s="1"/>
  <c r="F208"/>
  <c r="F210"/>
  <c r="F196"/>
  <c r="F203"/>
  <c r="F201"/>
  <c r="F198"/>
  <c r="F195"/>
  <c r="G179"/>
  <c r="D179" s="1"/>
  <c r="G186"/>
  <c r="F186"/>
  <c r="G185"/>
  <c r="F185"/>
  <c r="F184" s="1"/>
  <c r="G182"/>
  <c r="G181"/>
  <c r="F182"/>
  <c r="F181"/>
  <c r="F179"/>
  <c r="G178"/>
  <c r="M178" s="1"/>
  <c r="F178"/>
  <c r="F151"/>
  <c r="G144"/>
  <c r="G231"/>
  <c r="M231" s="1"/>
  <c r="F231"/>
  <c r="G230"/>
  <c r="M230" s="1"/>
  <c r="F230"/>
  <c r="G227"/>
  <c r="M227" s="1"/>
  <c r="F227"/>
  <c r="G226"/>
  <c r="M226" s="1"/>
  <c r="F226"/>
  <c r="G71"/>
  <c r="M71" s="1"/>
  <c r="F71"/>
  <c r="G70"/>
  <c r="M70" s="1"/>
  <c r="F70"/>
  <c r="G66"/>
  <c r="M66" s="1"/>
  <c r="F66"/>
  <c r="G65"/>
  <c r="F65"/>
  <c r="G46" i="6"/>
  <c r="F46"/>
  <c r="H47"/>
  <c r="G47"/>
  <c r="F47"/>
  <c r="G50"/>
  <c r="F50"/>
  <c r="H51"/>
  <c r="G51"/>
  <c r="D51" s="1"/>
  <c r="F51"/>
  <c r="G55"/>
  <c r="F55"/>
  <c r="H56"/>
  <c r="G56"/>
  <c r="F56"/>
  <c r="I59"/>
  <c r="H59"/>
  <c r="H22" s="1"/>
  <c r="G59"/>
  <c r="F59"/>
  <c r="I61"/>
  <c r="H61"/>
  <c r="G61"/>
  <c r="F71"/>
  <c r="J36"/>
  <c r="F36"/>
  <c r="F34" s="1"/>
  <c r="E36"/>
  <c r="D31"/>
  <c r="H29"/>
  <c r="I29"/>
  <c r="E29"/>
  <c r="J32"/>
  <c r="J29" s="1"/>
  <c r="G32"/>
  <c r="F32"/>
  <c r="F29" s="1"/>
  <c r="H37"/>
  <c r="G37"/>
  <c r="F37"/>
  <c r="K40"/>
  <c r="J40"/>
  <c r="I40"/>
  <c r="H40"/>
  <c r="G40"/>
  <c r="F40"/>
  <c r="G91" i="7"/>
  <c r="G90" s="1"/>
  <c r="F91"/>
  <c r="D72"/>
  <c r="D71"/>
  <c r="G79"/>
  <c r="G78" s="1"/>
  <c r="F79"/>
  <c r="F78" s="1"/>
  <c r="H74"/>
  <c r="H73" s="1"/>
  <c r="G74"/>
  <c r="G73" s="1"/>
  <c r="F74"/>
  <c r="F95"/>
  <c r="F12"/>
  <c r="G12"/>
  <c r="H12"/>
  <c r="I12"/>
  <c r="J12"/>
  <c r="K12"/>
  <c r="G42"/>
  <c r="G41" s="1"/>
  <c r="F42"/>
  <c r="F41" s="1"/>
  <c r="G35"/>
  <c r="G34" s="1"/>
  <c r="G33" s="1"/>
  <c r="F35"/>
  <c r="F34" s="1"/>
  <c r="F33" s="1"/>
  <c r="D36"/>
  <c r="D37"/>
  <c r="D38"/>
  <c r="G179"/>
  <c r="F179"/>
  <c r="F178" s="1"/>
  <c r="H177"/>
  <c r="F177"/>
  <c r="G174"/>
  <c r="G173" s="1"/>
  <c r="F174"/>
  <c r="F173" s="1"/>
  <c r="G172"/>
  <c r="M172" s="1"/>
  <c r="F172"/>
  <c r="F170" s="1"/>
  <c r="G167"/>
  <c r="F167"/>
  <c r="G165"/>
  <c r="F165"/>
  <c r="F164" s="1"/>
  <c r="G162"/>
  <c r="F162"/>
  <c r="G160"/>
  <c r="F160"/>
  <c r="G30" i="3"/>
  <c r="F36"/>
  <c r="F30"/>
  <c r="G29"/>
  <c r="F29"/>
  <c r="G36"/>
  <c r="G35"/>
  <c r="F35"/>
  <c r="H42"/>
  <c r="G42"/>
  <c r="F42"/>
  <c r="G439" i="2"/>
  <c r="F439"/>
  <c r="G440"/>
  <c r="F440"/>
  <c r="F437" s="1"/>
  <c r="G445"/>
  <c r="D445" s="1"/>
  <c r="F445"/>
  <c r="G444"/>
  <c r="D444" s="1"/>
  <c r="F444"/>
  <c r="G448"/>
  <c r="G375" s="1"/>
  <c r="G373" s="1"/>
  <c r="G370" s="1"/>
  <c r="F448"/>
  <c r="F177" i="9"/>
  <c r="H177"/>
  <c r="G177"/>
  <c r="G176" s="1"/>
  <c r="G174"/>
  <c r="M174" s="1"/>
  <c r="M173" s="1"/>
  <c r="G172"/>
  <c r="F174"/>
  <c r="F172"/>
  <c r="F171" s="1"/>
  <c r="H168"/>
  <c r="G168"/>
  <c r="G164"/>
  <c r="G163" s="1"/>
  <c r="F165"/>
  <c r="F164"/>
  <c r="G160"/>
  <c r="M160" s="1"/>
  <c r="F161"/>
  <c r="F160"/>
  <c r="G315" i="2"/>
  <c r="M315" s="1"/>
  <c r="M314" s="1"/>
  <c r="G267"/>
  <c r="G266" s="1"/>
  <c r="F267"/>
  <c r="F266" s="1"/>
  <c r="G299"/>
  <c r="G298" s="1"/>
  <c r="G294"/>
  <c r="G291"/>
  <c r="G311"/>
  <c r="G306"/>
  <c r="G303"/>
  <c r="G191"/>
  <c r="F186"/>
  <c r="F185" s="1"/>
  <c r="F183"/>
  <c r="E186"/>
  <c r="E183"/>
  <c r="E182" s="1"/>
  <c r="G258"/>
  <c r="M258" s="1"/>
  <c r="M257" s="1"/>
  <c r="G255"/>
  <c r="M255" s="1"/>
  <c r="M254" s="1"/>
  <c r="F258"/>
  <c r="F257" s="1"/>
  <c r="F255"/>
  <c r="F254" s="1"/>
  <c r="F213"/>
  <c r="F45"/>
  <c r="G210"/>
  <c r="F210"/>
  <c r="F208"/>
  <c r="F207"/>
  <c r="G282"/>
  <c r="M282" s="1"/>
  <c r="M281" s="1"/>
  <c r="F282"/>
  <c r="G279"/>
  <c r="F279"/>
  <c r="D279" s="1"/>
  <c r="F143"/>
  <c r="E143"/>
  <c r="E141" s="1"/>
  <c r="G222"/>
  <c r="G221" s="1"/>
  <c r="F222"/>
  <c r="G219"/>
  <c r="G218" s="1"/>
  <c r="F219"/>
  <c r="F251"/>
  <c r="F250"/>
  <c r="G242"/>
  <c r="G241"/>
  <c r="F246"/>
  <c r="F243"/>
  <c r="E246"/>
  <c r="E243"/>
  <c r="D243" s="1"/>
  <c r="I155" i="3"/>
  <c r="J155"/>
  <c r="K155"/>
  <c r="I167"/>
  <c r="I166" s="1"/>
  <c r="I165" s="1"/>
  <c r="J167"/>
  <c r="K167"/>
  <c r="F173"/>
  <c r="F172"/>
  <c r="F170"/>
  <c r="G163"/>
  <c r="F163"/>
  <c r="F160"/>
  <c r="G160"/>
  <c r="G159"/>
  <c r="G158"/>
  <c r="G156"/>
  <c r="F159"/>
  <c r="F158"/>
  <c r="F156"/>
  <c r="G180"/>
  <c r="M180" s="1"/>
  <c r="G243"/>
  <c r="G258"/>
  <c r="M258" s="1"/>
  <c r="M257" s="1"/>
  <c r="G287"/>
  <c r="H180"/>
  <c r="H210"/>
  <c r="H225"/>
  <c r="H243"/>
  <c r="H258"/>
  <c r="H257" s="1"/>
  <c r="H287"/>
  <c r="I180"/>
  <c r="I176" s="1"/>
  <c r="I210"/>
  <c r="I225"/>
  <c r="I224" s="1"/>
  <c r="I243"/>
  <c r="I258"/>
  <c r="I287"/>
  <c r="J180"/>
  <c r="J210"/>
  <c r="J225"/>
  <c r="J224" s="1"/>
  <c r="J243"/>
  <c r="J258"/>
  <c r="J257" s="1"/>
  <c r="J287"/>
  <c r="K180"/>
  <c r="K176" s="1"/>
  <c r="K210"/>
  <c r="K225"/>
  <c r="K224" s="1"/>
  <c r="K243"/>
  <c r="K258"/>
  <c r="K287"/>
  <c r="I58"/>
  <c r="H58"/>
  <c r="G58"/>
  <c r="H47"/>
  <c r="H46" s="1"/>
  <c r="H53"/>
  <c r="H51" s="1"/>
  <c r="I47"/>
  <c r="I53"/>
  <c r="J53"/>
  <c r="K53"/>
  <c r="J58"/>
  <c r="G53"/>
  <c r="G47"/>
  <c r="G46" s="1"/>
  <c r="F607" i="2"/>
  <c r="F608"/>
  <c r="F611"/>
  <c r="F537" s="1"/>
  <c r="F612"/>
  <c r="G454"/>
  <c r="F454"/>
  <c r="G455"/>
  <c r="M455" s="1"/>
  <c r="F455"/>
  <c r="G459"/>
  <c r="F459"/>
  <c r="G460"/>
  <c r="F460"/>
  <c r="H463"/>
  <c r="G463"/>
  <c r="F463"/>
  <c r="F84" i="6"/>
  <c r="F82"/>
  <c r="F79"/>
  <c r="F77"/>
  <c r="G190" i="9"/>
  <c r="F190"/>
  <c r="G182"/>
  <c r="M182" s="1"/>
  <c r="F182"/>
  <c r="G183"/>
  <c r="M183" s="1"/>
  <c r="F183"/>
  <c r="G186"/>
  <c r="F186"/>
  <c r="G187"/>
  <c r="M187" s="1"/>
  <c r="F187"/>
  <c r="M49" i="3"/>
  <c r="M50"/>
  <c r="K64"/>
  <c r="K142"/>
  <c r="K177"/>
  <c r="K207"/>
  <c r="K240"/>
  <c r="J64"/>
  <c r="J63" s="1"/>
  <c r="J142"/>
  <c r="J177"/>
  <c r="J207"/>
  <c r="J240"/>
  <c r="I64"/>
  <c r="I142"/>
  <c r="I177"/>
  <c r="I207"/>
  <c r="I240"/>
  <c r="H64"/>
  <c r="H142"/>
  <c r="H177"/>
  <c r="H207"/>
  <c r="H240"/>
  <c r="J57"/>
  <c r="H38" i="10" s="1"/>
  <c r="E46" i="3"/>
  <c r="D55"/>
  <c r="D56"/>
  <c r="K24" i="13"/>
  <c r="J24"/>
  <c r="I24"/>
  <c r="H24"/>
  <c r="G24"/>
  <c r="K17"/>
  <c r="J17"/>
  <c r="I17"/>
  <c r="H17"/>
  <c r="G17"/>
  <c r="K18"/>
  <c r="J18"/>
  <c r="I18"/>
  <c r="K25"/>
  <c r="J25"/>
  <c r="D60" i="3"/>
  <c r="E58"/>
  <c r="L58"/>
  <c r="L57" s="1"/>
  <c r="F58"/>
  <c r="L52"/>
  <c r="L51" s="1"/>
  <c r="L47"/>
  <c r="D59"/>
  <c r="O52" s="1"/>
  <c r="E45"/>
  <c r="C37" i="10" s="1"/>
  <c r="J47" i="8"/>
  <c r="J52"/>
  <c r="J55"/>
  <c r="F47"/>
  <c r="F49"/>
  <c r="F52"/>
  <c r="F55"/>
  <c r="G150" i="9"/>
  <c r="G147"/>
  <c r="G146" s="1"/>
  <c r="F155"/>
  <c r="K531" i="2"/>
  <c r="M679"/>
  <c r="M678" s="1"/>
  <c r="M677" s="1"/>
  <c r="E678"/>
  <c r="E677" s="1"/>
  <c r="L678"/>
  <c r="L677" s="1"/>
  <c r="K678"/>
  <c r="K677" s="1"/>
  <c r="J678"/>
  <c r="J677" s="1"/>
  <c r="I678"/>
  <c r="H678"/>
  <c r="H677" s="1"/>
  <c r="G678"/>
  <c r="G677" s="1"/>
  <c r="F678"/>
  <c r="F677" s="1"/>
  <c r="I677"/>
  <c r="G154" i="9"/>
  <c r="G152"/>
  <c r="F150"/>
  <c r="F147"/>
  <c r="G143"/>
  <c r="F143"/>
  <c r="D143" s="1"/>
  <c r="D142" s="1"/>
  <c r="D141" s="1"/>
  <c r="G140"/>
  <c r="G139" s="1"/>
  <c r="F140"/>
  <c r="G138"/>
  <c r="F138"/>
  <c r="D679" i="2"/>
  <c r="D678" s="1"/>
  <c r="D677" s="1"/>
  <c r="L321" i="3"/>
  <c r="L314" s="1"/>
  <c r="L313" s="1"/>
  <c r="K321"/>
  <c r="K320" s="1"/>
  <c r="J321"/>
  <c r="J320" s="1"/>
  <c r="H93" i="5"/>
  <c r="G93"/>
  <c r="L93"/>
  <c r="K93"/>
  <c r="J93"/>
  <c r="I93"/>
  <c r="F93"/>
  <c r="E93"/>
  <c r="M101"/>
  <c r="M100" s="1"/>
  <c r="M99" s="1"/>
  <c r="D101"/>
  <c r="D100" s="1"/>
  <c r="D99" s="1"/>
  <c r="D89" s="1"/>
  <c r="K89"/>
  <c r="J89"/>
  <c r="I89"/>
  <c r="H100"/>
  <c r="H99" s="1"/>
  <c r="H89" s="1"/>
  <c r="G100"/>
  <c r="G99" s="1"/>
  <c r="G89" s="1"/>
  <c r="E100"/>
  <c r="F99"/>
  <c r="F89" s="1"/>
  <c r="E99"/>
  <c r="E89" s="1"/>
  <c r="M265" i="9"/>
  <c r="D93" i="5"/>
  <c r="M51" i="13"/>
  <c r="M50" i="5"/>
  <c r="M30"/>
  <c r="M28"/>
  <c r="L301" i="9"/>
  <c r="D265" i="6"/>
  <c r="D268"/>
  <c r="L7" i="4"/>
  <c r="L375" i="2"/>
  <c r="E115" i="13"/>
  <c r="E111"/>
  <c r="D111" s="1"/>
  <c r="E67"/>
  <c r="E66" s="1"/>
  <c r="E65"/>
  <c r="E64" s="1"/>
  <c r="E61"/>
  <c r="E60" s="1"/>
  <c r="E59"/>
  <c r="E58" s="1"/>
  <c r="E56"/>
  <c r="E53" s="1"/>
  <c r="E55"/>
  <c r="E51"/>
  <c r="E50"/>
  <c r="E49"/>
  <c r="E47" s="1"/>
  <c r="E46" s="1"/>
  <c r="E43"/>
  <c r="E42" s="1"/>
  <c r="E41" s="1"/>
  <c r="E40"/>
  <c r="E38"/>
  <c r="E34"/>
  <c r="E31"/>
  <c r="E29"/>
  <c r="E309" i="9"/>
  <c r="D309" s="1"/>
  <c r="E269"/>
  <c r="E263"/>
  <c r="E248"/>
  <c r="E247"/>
  <c r="E244"/>
  <c r="E242" s="1"/>
  <c r="E243"/>
  <c r="E225"/>
  <c r="E224" s="1"/>
  <c r="E221"/>
  <c r="E220" s="1"/>
  <c r="E219" s="1"/>
  <c r="E190"/>
  <c r="E187"/>
  <c r="E186"/>
  <c r="E183"/>
  <c r="E182"/>
  <c r="E174"/>
  <c r="E173" s="1"/>
  <c r="E172"/>
  <c r="E171" s="1"/>
  <c r="E168"/>
  <c r="E165"/>
  <c r="E164"/>
  <c r="E161"/>
  <c r="E160"/>
  <c r="E150"/>
  <c r="E147"/>
  <c r="E59"/>
  <c r="E57"/>
  <c r="E54"/>
  <c r="E51"/>
  <c r="E45"/>
  <c r="E42"/>
  <c r="E30"/>
  <c r="E67" i="8"/>
  <c r="E65"/>
  <c r="E62"/>
  <c r="E60"/>
  <c r="D60" s="1"/>
  <c r="D59" s="1"/>
  <c r="E55"/>
  <c r="E52"/>
  <c r="E23" s="1"/>
  <c r="E49"/>
  <c r="E47"/>
  <c r="E159" i="7"/>
  <c r="E12" s="1"/>
  <c r="E148"/>
  <c r="E144"/>
  <c r="E132"/>
  <c r="E128"/>
  <c r="E126"/>
  <c r="E123"/>
  <c r="E70"/>
  <c r="E69" s="1"/>
  <c r="E53"/>
  <c r="E48"/>
  <c r="E9" s="1"/>
  <c r="E41"/>
  <c r="E40" s="1"/>
  <c r="E39" s="1"/>
  <c r="E35"/>
  <c r="E34" s="1"/>
  <c r="E33" s="1"/>
  <c r="E26"/>
  <c r="E25" s="1"/>
  <c r="E24" s="1"/>
  <c r="E258" i="6"/>
  <c r="E186"/>
  <c r="E155" s="1"/>
  <c r="E179"/>
  <c r="E175"/>
  <c r="E143" s="1"/>
  <c r="E139"/>
  <c r="E135"/>
  <c r="E131"/>
  <c r="E130"/>
  <c r="E125"/>
  <c r="E120"/>
  <c r="E117"/>
  <c r="E116"/>
  <c r="E114"/>
  <c r="E113"/>
  <c r="E112"/>
  <c r="E111"/>
  <c r="E107"/>
  <c r="E106"/>
  <c r="E103"/>
  <c r="E101"/>
  <c r="E95"/>
  <c r="E93"/>
  <c r="E90"/>
  <c r="E88"/>
  <c r="E84"/>
  <c r="E82"/>
  <c r="E79"/>
  <c r="E77"/>
  <c r="E68"/>
  <c r="E67" s="1"/>
  <c r="E66"/>
  <c r="E65"/>
  <c r="E56"/>
  <c r="E55"/>
  <c r="E51"/>
  <c r="E50"/>
  <c r="E47"/>
  <c r="E41" s="1"/>
  <c r="E46"/>
  <c r="E37"/>
  <c r="E46" i="5"/>
  <c r="E41"/>
  <c r="E39"/>
  <c r="E74"/>
  <c r="E71"/>
  <c r="E87" i="4"/>
  <c r="E82"/>
  <c r="E170" i="3"/>
  <c r="E169"/>
  <c r="E168"/>
  <c r="E163"/>
  <c r="E162" s="1"/>
  <c r="E160"/>
  <c r="E159"/>
  <c r="E158"/>
  <c r="E157"/>
  <c r="E156"/>
  <c r="E150"/>
  <c r="E148"/>
  <c r="E147"/>
  <c r="E144"/>
  <c r="E143"/>
  <c r="E125"/>
  <c r="E120"/>
  <c r="E117"/>
  <c r="E113"/>
  <c r="E108"/>
  <c r="E105"/>
  <c r="E101"/>
  <c r="E96"/>
  <c r="E93"/>
  <c r="E89"/>
  <c r="E84"/>
  <c r="E81"/>
  <c r="L41"/>
  <c r="E42"/>
  <c r="E41" s="1"/>
  <c r="E38" s="1"/>
  <c r="E36"/>
  <c r="E35"/>
  <c r="E30"/>
  <c r="E29"/>
  <c r="E603" i="2"/>
  <c r="E149" i="3"/>
  <c r="E99" i="6"/>
  <c r="E675" i="2"/>
  <c r="E674" s="1"/>
  <c r="E673" s="1"/>
  <c r="E664"/>
  <c r="E663" s="1"/>
  <c r="E662" s="1"/>
  <c r="E661"/>
  <c r="E660"/>
  <c r="E656"/>
  <c r="E655" s="1"/>
  <c r="E654" s="1"/>
  <c r="E653"/>
  <c r="E532" s="1"/>
  <c r="E652"/>
  <c r="E647"/>
  <c r="E646" s="1"/>
  <c r="E644"/>
  <c r="E612"/>
  <c r="E611"/>
  <c r="E608"/>
  <c r="E607"/>
  <c r="E584"/>
  <c r="E583" s="1"/>
  <c r="E582" s="1"/>
  <c r="E569"/>
  <c r="E565"/>
  <c r="E548"/>
  <c r="E545"/>
  <c r="E534" s="1"/>
  <c r="E544"/>
  <c r="E460"/>
  <c r="E459"/>
  <c r="E455"/>
  <c r="E454"/>
  <c r="E448"/>
  <c r="E445"/>
  <c r="E444"/>
  <c r="E440"/>
  <c r="E439"/>
  <c r="E381"/>
  <c r="E348"/>
  <c r="E346"/>
  <c r="E345" s="1"/>
  <c r="E342"/>
  <c r="E340"/>
  <c r="E338" s="1"/>
  <c r="E318"/>
  <c r="E317" s="1"/>
  <c r="E315"/>
  <c r="E314" s="1"/>
  <c r="E270"/>
  <c r="E267"/>
  <c r="E262"/>
  <c r="E260"/>
  <c r="E259" s="1"/>
  <c r="E258"/>
  <c r="E257" s="1"/>
  <c r="E255"/>
  <c r="E254" s="1"/>
  <c r="E251"/>
  <c r="E250" s="1"/>
  <c r="E248"/>
  <c r="E245"/>
  <c r="E238"/>
  <c r="E236"/>
  <c r="E233"/>
  <c r="E220"/>
  <c r="E219"/>
  <c r="E215"/>
  <c r="E213"/>
  <c r="E212" s="1"/>
  <c r="E210"/>
  <c r="E209" s="1"/>
  <c r="E208"/>
  <c r="E207"/>
  <c r="L178"/>
  <c r="E178"/>
  <c r="E176"/>
  <c r="E140"/>
  <c r="E136"/>
  <c r="E133"/>
  <c r="E131"/>
  <c r="M100" i="13"/>
  <c r="M115"/>
  <c r="M111"/>
  <c r="M79"/>
  <c r="M77"/>
  <c r="M76"/>
  <c r="M67"/>
  <c r="M65"/>
  <c r="M313" i="9"/>
  <c r="M309"/>
  <c r="M288"/>
  <c r="M286"/>
  <c r="M285"/>
  <c r="M284" s="1"/>
  <c r="M278"/>
  <c r="M276"/>
  <c r="M257"/>
  <c r="M255"/>
  <c r="M254" s="1"/>
  <c r="M148"/>
  <c r="M131"/>
  <c r="M130" s="1"/>
  <c r="M129"/>
  <c r="M128" s="1"/>
  <c r="M79"/>
  <c r="M78" s="1"/>
  <c r="M76"/>
  <c r="M54"/>
  <c r="M53"/>
  <c r="M43"/>
  <c r="M41"/>
  <c r="M40"/>
  <c r="M31"/>
  <c r="M29"/>
  <c r="M28"/>
  <c r="M100" i="8"/>
  <c r="M98"/>
  <c r="M91"/>
  <c r="M89"/>
  <c r="K9" i="7"/>
  <c r="M134"/>
  <c r="M132" s="1"/>
  <c r="M131" s="1"/>
  <c r="M122"/>
  <c r="M96"/>
  <c r="M94" s="1"/>
  <c r="M93" s="1"/>
  <c r="M84"/>
  <c r="M71"/>
  <c r="M59"/>
  <c r="M26"/>
  <c r="E230" i="2"/>
  <c r="E344"/>
  <c r="M191" i="6"/>
  <c r="M176"/>
  <c r="M254"/>
  <c r="M222"/>
  <c r="M219"/>
  <c r="M218"/>
  <c r="M90"/>
  <c r="M88"/>
  <c r="M79"/>
  <c r="M77"/>
  <c r="M68"/>
  <c r="M66"/>
  <c r="M65"/>
  <c r="M97" i="5"/>
  <c r="M80"/>
  <c r="M79" s="1"/>
  <c r="M78"/>
  <c r="M71"/>
  <c r="M39"/>
  <c r="M11"/>
  <c r="M97" i="4"/>
  <c r="M49" s="1"/>
  <c r="M88"/>
  <c r="M83"/>
  <c r="M40"/>
  <c r="M39" s="1"/>
  <c r="M38"/>
  <c r="M37"/>
  <c r="M36" s="1"/>
  <c r="M28"/>
  <c r="M27" s="1"/>
  <c r="M26"/>
  <c r="M24"/>
  <c r="M275" i="3"/>
  <c r="M273"/>
  <c r="M198"/>
  <c r="M196"/>
  <c r="M195"/>
  <c r="M194" s="1"/>
  <c r="M133"/>
  <c r="M130"/>
  <c r="M129"/>
  <c r="M120"/>
  <c r="M117"/>
  <c r="M96"/>
  <c r="M93"/>
  <c r="M675" i="2"/>
  <c r="M668"/>
  <c r="M661"/>
  <c r="M660"/>
  <c r="M653"/>
  <c r="M651" s="1"/>
  <c r="M650" s="1"/>
  <c r="M652"/>
  <c r="M648"/>
  <c r="M608"/>
  <c r="M603"/>
  <c r="M581"/>
  <c r="M569"/>
  <c r="M390"/>
  <c r="M382"/>
  <c r="M381" s="1"/>
  <c r="M380"/>
  <c r="M356"/>
  <c r="M354"/>
  <c r="M353"/>
  <c r="M339"/>
  <c r="M246"/>
  <c r="M243"/>
  <c r="M234"/>
  <c r="M232"/>
  <c r="M231"/>
  <c r="M230" s="1"/>
  <c r="M207"/>
  <c r="M186"/>
  <c r="M183"/>
  <c r="M174"/>
  <c r="M172"/>
  <c r="M171"/>
  <c r="M162"/>
  <c r="M159"/>
  <c r="M136"/>
  <c r="M133"/>
  <c r="M131"/>
  <c r="M85"/>
  <c r="M84" s="1"/>
  <c r="M83"/>
  <c r="M82"/>
  <c r="Q51" i="1"/>
  <c r="Q15"/>
  <c r="J10" i="2"/>
  <c r="K10"/>
  <c r="I51"/>
  <c r="I49" s="1"/>
  <c r="J51"/>
  <c r="K51"/>
  <c r="I42"/>
  <c r="J42"/>
  <c r="J41" s="1"/>
  <c r="K42"/>
  <c r="K41" s="1"/>
  <c r="H37"/>
  <c r="I37"/>
  <c r="J37"/>
  <c r="K37"/>
  <c r="F311"/>
  <c r="F310" s="1"/>
  <c r="I310"/>
  <c r="H310"/>
  <c r="H307" s="1"/>
  <c r="L310"/>
  <c r="E310"/>
  <c r="D309"/>
  <c r="D308" s="1"/>
  <c r="G308"/>
  <c r="F308"/>
  <c r="L308"/>
  <c r="E308"/>
  <c r="I305"/>
  <c r="H305"/>
  <c r="F305"/>
  <c r="L305"/>
  <c r="E305"/>
  <c r="M304"/>
  <c r="D304"/>
  <c r="I302"/>
  <c r="H302"/>
  <c r="G302"/>
  <c r="F302"/>
  <c r="L302"/>
  <c r="L301" s="1"/>
  <c r="E302"/>
  <c r="I298"/>
  <c r="I293"/>
  <c r="I290"/>
  <c r="H298"/>
  <c r="H293"/>
  <c r="H290"/>
  <c r="F299"/>
  <c r="F298" s="1"/>
  <c r="L298"/>
  <c r="E298"/>
  <c r="D297"/>
  <c r="D296" s="1"/>
  <c r="G296"/>
  <c r="F296"/>
  <c r="L296"/>
  <c r="L295" s="1"/>
  <c r="E296"/>
  <c r="F293"/>
  <c r="L293"/>
  <c r="E293"/>
  <c r="M292"/>
  <c r="D292"/>
  <c r="F290"/>
  <c r="L290"/>
  <c r="L289" s="1"/>
  <c r="E290"/>
  <c r="H301"/>
  <c r="H295"/>
  <c r="E301"/>
  <c r="I307"/>
  <c r="H289"/>
  <c r="I243" i="6"/>
  <c r="J243"/>
  <c r="K243"/>
  <c r="G690" i="2"/>
  <c r="G78" i="9"/>
  <c r="G75"/>
  <c r="L84"/>
  <c r="D84" s="1"/>
  <c r="D83" s="1"/>
  <c r="G83"/>
  <c r="F83"/>
  <c r="E83"/>
  <c r="D82"/>
  <c r="D81" s="1"/>
  <c r="K81"/>
  <c r="J81"/>
  <c r="I81"/>
  <c r="H81"/>
  <c r="G81"/>
  <c r="F81"/>
  <c r="F80" s="1"/>
  <c r="L81"/>
  <c r="E81"/>
  <c r="D79"/>
  <c r="D78" s="1"/>
  <c r="E78"/>
  <c r="M77"/>
  <c r="D77"/>
  <c r="F75"/>
  <c r="E75"/>
  <c r="H87"/>
  <c r="H89"/>
  <c r="H92"/>
  <c r="H91" s="1"/>
  <c r="M90"/>
  <c r="M89" s="1"/>
  <c r="M88"/>
  <c r="M87" s="1"/>
  <c r="M392" i="2"/>
  <c r="M391" s="1"/>
  <c r="F392"/>
  <c r="D392" s="1"/>
  <c r="M389"/>
  <c r="F389"/>
  <c r="D389" s="1"/>
  <c r="G155" i="7"/>
  <c r="F155"/>
  <c r="G153"/>
  <c r="F153"/>
  <c r="G149"/>
  <c r="F149"/>
  <c r="G147"/>
  <c r="F147"/>
  <c r="G146"/>
  <c r="M146" s="1"/>
  <c r="F146"/>
  <c r="L41"/>
  <c r="D43"/>
  <c r="G115"/>
  <c r="F115"/>
  <c r="G110"/>
  <c r="M110" s="1"/>
  <c r="F110"/>
  <c r="K113" i="3"/>
  <c r="K23" s="1"/>
  <c r="K108"/>
  <c r="M108" s="1"/>
  <c r="M107" s="1"/>
  <c r="K105"/>
  <c r="M105" s="1"/>
  <c r="F115" i="13"/>
  <c r="K47" i="8"/>
  <c r="K49"/>
  <c r="K52"/>
  <c r="K55"/>
  <c r="G80" i="9"/>
  <c r="L75"/>
  <c r="D76"/>
  <c r="F78"/>
  <c r="L78"/>
  <c r="K123" i="1"/>
  <c r="M62" i="8"/>
  <c r="M61" s="1"/>
  <c r="M60"/>
  <c r="F315" i="2"/>
  <c r="G130"/>
  <c r="G129" s="1"/>
  <c r="F131"/>
  <c r="G198"/>
  <c r="M198" s="1"/>
  <c r="G195"/>
  <c r="M195" s="1"/>
  <c r="F198"/>
  <c r="F195"/>
  <c r="F215"/>
  <c r="G215"/>
  <c r="G213"/>
  <c r="G209"/>
  <c r="G208"/>
  <c r="M208" s="1"/>
  <c r="G185"/>
  <c r="F191"/>
  <c r="G182"/>
  <c r="G181" s="1"/>
  <c r="G275"/>
  <c r="G270"/>
  <c r="M270" s="1"/>
  <c r="M269" s="1"/>
  <c r="F270"/>
  <c r="G227"/>
  <c r="F227"/>
  <c r="M222"/>
  <c r="F168" i="9"/>
  <c r="F167" s="1"/>
  <c r="H156" i="3"/>
  <c r="M260" i="6"/>
  <c r="M259"/>
  <c r="I258"/>
  <c r="I246" s="1"/>
  <c r="I245" s="1"/>
  <c r="I244" s="1"/>
  <c r="J258"/>
  <c r="K258"/>
  <c r="K257" s="1"/>
  <c r="K256" s="1"/>
  <c r="H258"/>
  <c r="G258"/>
  <c r="G133" i="9"/>
  <c r="L133"/>
  <c r="L132" s="1"/>
  <c r="E133"/>
  <c r="E132" s="1"/>
  <c r="L131"/>
  <c r="L130" s="1"/>
  <c r="G130"/>
  <c r="F130"/>
  <c r="E130"/>
  <c r="L129"/>
  <c r="L128" s="1"/>
  <c r="G128"/>
  <c r="F128"/>
  <c r="E128"/>
  <c r="D134"/>
  <c r="D133" s="1"/>
  <c r="D132" s="1"/>
  <c r="K246" i="6"/>
  <c r="K245" s="1"/>
  <c r="K244" s="1"/>
  <c r="F133" i="9"/>
  <c r="G607" i="2"/>
  <c r="G611"/>
  <c r="G537" s="1"/>
  <c r="H226" i="9"/>
  <c r="M226" s="1"/>
  <c r="H225"/>
  <c r="H222"/>
  <c r="M222" s="1"/>
  <c r="H221"/>
  <c r="H565" i="2"/>
  <c r="F664"/>
  <c r="F661"/>
  <c r="D661" s="1"/>
  <c r="J644"/>
  <c r="J531" s="1"/>
  <c r="J530" s="1"/>
  <c r="J529" s="1"/>
  <c r="J643"/>
  <c r="J642" s="1"/>
  <c r="J602"/>
  <c r="J601" s="1"/>
  <c r="F603"/>
  <c r="I543"/>
  <c r="I542" s="1"/>
  <c r="J543"/>
  <c r="J542" s="1"/>
  <c r="I537"/>
  <c r="J537"/>
  <c r="G67" i="1" s="1"/>
  <c r="K537" i="2"/>
  <c r="E547"/>
  <c r="E546" s="1"/>
  <c r="L547"/>
  <c r="F547"/>
  <c r="G547"/>
  <c r="H547"/>
  <c r="D549"/>
  <c r="F545"/>
  <c r="F544"/>
  <c r="G175" i="6"/>
  <c r="M175" s="1"/>
  <c r="M174" s="1"/>
  <c r="H180"/>
  <c r="G180"/>
  <c r="F180"/>
  <c r="G187"/>
  <c r="M545" i="2"/>
  <c r="H202" i="6"/>
  <c r="G202"/>
  <c r="F202"/>
  <c r="G207"/>
  <c r="M207" s="1"/>
  <c r="G214"/>
  <c r="I365" i="2"/>
  <c r="J365"/>
  <c r="K365"/>
  <c r="J130" i="6"/>
  <c r="G130"/>
  <c r="J139"/>
  <c r="I139"/>
  <c r="H139"/>
  <c r="I130"/>
  <c r="H130"/>
  <c r="J120"/>
  <c r="H115"/>
  <c r="H112"/>
  <c r="K369" i="2"/>
  <c r="J369"/>
  <c r="I369"/>
  <c r="K375"/>
  <c r="J375"/>
  <c r="J373" s="1"/>
  <c r="J370" s="1"/>
  <c r="H28" i="10" s="1"/>
  <c r="I375" i="2"/>
  <c r="G114" i="13"/>
  <c r="G113" s="1"/>
  <c r="G70" i="5"/>
  <c r="G69" s="1"/>
  <c r="G73"/>
  <c r="G72" s="1"/>
  <c r="G103" i="13"/>
  <c r="H103"/>
  <c r="I103"/>
  <c r="J103"/>
  <c r="K103"/>
  <c r="E78"/>
  <c r="L78"/>
  <c r="F78"/>
  <c r="G78"/>
  <c r="H78"/>
  <c r="I78"/>
  <c r="J78"/>
  <c r="K78"/>
  <c r="E22"/>
  <c r="L22"/>
  <c r="F22"/>
  <c r="G22"/>
  <c r="H22"/>
  <c r="I22"/>
  <c r="J22"/>
  <c r="K22"/>
  <c r="E15"/>
  <c r="L15"/>
  <c r="F15"/>
  <c r="G15"/>
  <c r="H15"/>
  <c r="I15"/>
  <c r="J15"/>
  <c r="K15"/>
  <c r="H13"/>
  <c r="I13"/>
  <c r="J13"/>
  <c r="K13"/>
  <c r="E93"/>
  <c r="E92" s="1"/>
  <c r="L93"/>
  <c r="L92" s="1"/>
  <c r="F93"/>
  <c r="F92" s="1"/>
  <c r="G93"/>
  <c r="G92" s="1"/>
  <c r="H93"/>
  <c r="H92" s="1"/>
  <c r="I93"/>
  <c r="I92" s="1"/>
  <c r="J93"/>
  <c r="J92" s="1"/>
  <c r="K93"/>
  <c r="K92" s="1"/>
  <c r="G81"/>
  <c r="D89"/>
  <c r="F88"/>
  <c r="M88" s="1"/>
  <c r="M87" s="1"/>
  <c r="D76"/>
  <c r="K87"/>
  <c r="K86" s="1"/>
  <c r="J87"/>
  <c r="J86" s="1"/>
  <c r="I87"/>
  <c r="I86" s="1"/>
  <c r="H87"/>
  <c r="H86" s="1"/>
  <c r="L87"/>
  <c r="L86" s="1"/>
  <c r="E87"/>
  <c r="E86" s="1"/>
  <c r="E83"/>
  <c r="L83"/>
  <c r="F83"/>
  <c r="G83"/>
  <c r="H83"/>
  <c r="I83"/>
  <c r="J83"/>
  <c r="K83"/>
  <c r="E81"/>
  <c r="E80" s="1"/>
  <c r="L81"/>
  <c r="F81"/>
  <c r="F80" s="1"/>
  <c r="H81"/>
  <c r="I81"/>
  <c r="J81"/>
  <c r="K81"/>
  <c r="E75"/>
  <c r="L75"/>
  <c r="F75"/>
  <c r="G75"/>
  <c r="H75"/>
  <c r="I75"/>
  <c r="J75"/>
  <c r="K75"/>
  <c r="D96"/>
  <c r="D94"/>
  <c r="D93" s="1"/>
  <c r="D91"/>
  <c r="D90" s="1"/>
  <c r="D84"/>
  <c r="D82"/>
  <c r="D79"/>
  <c r="M91"/>
  <c r="M90" s="1"/>
  <c r="F87"/>
  <c r="F86" s="1"/>
  <c r="G80"/>
  <c r="G120" s="1"/>
  <c r="D95"/>
  <c r="M89"/>
  <c r="D77"/>
  <c r="D88"/>
  <c r="G87"/>
  <c r="G86" s="1"/>
  <c r="I80"/>
  <c r="I120" s="1"/>
  <c r="L80"/>
  <c r="L120" s="1"/>
  <c r="D75"/>
  <c r="T105" i="4"/>
  <c r="S105"/>
  <c r="R105"/>
  <c r="Q105"/>
  <c r="P105"/>
  <c r="O105"/>
  <c r="N105"/>
  <c r="M105"/>
  <c r="J110"/>
  <c r="K110"/>
  <c r="J109"/>
  <c r="J111" s="1"/>
  <c r="K109"/>
  <c r="I8"/>
  <c r="H8"/>
  <c r="G8"/>
  <c r="F8"/>
  <c r="L32"/>
  <c r="E32"/>
  <c r="L30"/>
  <c r="L29" s="1"/>
  <c r="L110" s="1"/>
  <c r="E30"/>
  <c r="L44"/>
  <c r="E44"/>
  <c r="L42"/>
  <c r="E42"/>
  <c r="K111"/>
  <c r="I11"/>
  <c r="H11"/>
  <c r="G11"/>
  <c r="F11"/>
  <c r="G13"/>
  <c r="H13"/>
  <c r="I13"/>
  <c r="F13"/>
  <c r="G15"/>
  <c r="H15"/>
  <c r="H14" s="1"/>
  <c r="I15"/>
  <c r="F15"/>
  <c r="F14" s="1"/>
  <c r="G18"/>
  <c r="H18"/>
  <c r="H17" s="1"/>
  <c r="I18"/>
  <c r="I17" s="1"/>
  <c r="F18"/>
  <c r="F17" s="1"/>
  <c r="G20"/>
  <c r="H20"/>
  <c r="H19" s="1"/>
  <c r="I20"/>
  <c r="F20"/>
  <c r="F19" s="1"/>
  <c r="G36"/>
  <c r="H36"/>
  <c r="I36"/>
  <c r="F36"/>
  <c r="G206" i="2"/>
  <c r="D45" i="4"/>
  <c r="D44" s="1"/>
  <c r="I44"/>
  <c r="H44"/>
  <c r="G44"/>
  <c r="F44"/>
  <c r="D43"/>
  <c r="D42" s="1"/>
  <c r="I42"/>
  <c r="H42"/>
  <c r="G42"/>
  <c r="F42"/>
  <c r="D40"/>
  <c r="I39"/>
  <c r="I35" s="1"/>
  <c r="H39"/>
  <c r="G39"/>
  <c r="G35" s="1"/>
  <c r="F39"/>
  <c r="F35" s="1"/>
  <c r="D38"/>
  <c r="D37"/>
  <c r="E8"/>
  <c r="L8"/>
  <c r="J8"/>
  <c r="K8"/>
  <c r="E11"/>
  <c r="L11"/>
  <c r="J11"/>
  <c r="K11"/>
  <c r="E12"/>
  <c r="L12"/>
  <c r="F12"/>
  <c r="G12"/>
  <c r="H12"/>
  <c r="I12"/>
  <c r="J12"/>
  <c r="K12"/>
  <c r="E13"/>
  <c r="L13"/>
  <c r="J13"/>
  <c r="K13"/>
  <c r="E15"/>
  <c r="E14" s="1"/>
  <c r="L15"/>
  <c r="L14" s="1"/>
  <c r="G14"/>
  <c r="I14"/>
  <c r="J15"/>
  <c r="J14" s="1"/>
  <c r="K15"/>
  <c r="K14" s="1"/>
  <c r="E18"/>
  <c r="E17" s="1"/>
  <c r="L18"/>
  <c r="L17" s="1"/>
  <c r="G17"/>
  <c r="J18"/>
  <c r="J17" s="1"/>
  <c r="K18"/>
  <c r="K17" s="1"/>
  <c r="E20"/>
  <c r="L20"/>
  <c r="L19" s="1"/>
  <c r="G19"/>
  <c r="I19"/>
  <c r="J20"/>
  <c r="J19" s="1"/>
  <c r="K20"/>
  <c r="K19" s="1"/>
  <c r="D33"/>
  <c r="D32" s="1"/>
  <c r="I32"/>
  <c r="H32"/>
  <c r="G32"/>
  <c r="F32"/>
  <c r="D31"/>
  <c r="I30"/>
  <c r="H30"/>
  <c r="G30"/>
  <c r="F30"/>
  <c r="D28"/>
  <c r="I27"/>
  <c r="H27"/>
  <c r="G27"/>
  <c r="F27"/>
  <c r="D26"/>
  <c r="D13" s="1"/>
  <c r="D25"/>
  <c r="D12" s="1"/>
  <c r="D24"/>
  <c r="I23"/>
  <c r="H23"/>
  <c r="G23"/>
  <c r="F23"/>
  <c r="K7"/>
  <c r="J7"/>
  <c r="E7"/>
  <c r="E19"/>
  <c r="L10"/>
  <c r="H96"/>
  <c r="H95" s="1"/>
  <c r="I96"/>
  <c r="I95" s="1"/>
  <c r="G96"/>
  <c r="G95" s="1"/>
  <c r="D97"/>
  <c r="F267" i="3"/>
  <c r="P88" i="4"/>
  <c r="M96"/>
  <c r="M95" s="1"/>
  <c r="K93"/>
  <c r="J93"/>
  <c r="I93"/>
  <c r="I52" s="1"/>
  <c r="H93"/>
  <c r="G93"/>
  <c r="G105" s="1"/>
  <c r="I105"/>
  <c r="F105"/>
  <c r="M73" i="8"/>
  <c r="M72" s="1"/>
  <c r="M71"/>
  <c r="G85"/>
  <c r="F85"/>
  <c r="M82"/>
  <c r="M80"/>
  <c r="D120" i="9"/>
  <c r="D119"/>
  <c r="K118"/>
  <c r="J118"/>
  <c r="I118"/>
  <c r="H118"/>
  <c r="G118"/>
  <c r="F118"/>
  <c r="L118"/>
  <c r="L117" s="1"/>
  <c r="E118"/>
  <c r="E117" s="1"/>
  <c r="D115"/>
  <c r="D114"/>
  <c r="K113"/>
  <c r="K112" s="1"/>
  <c r="J113"/>
  <c r="J112" s="1"/>
  <c r="I113"/>
  <c r="I112" s="1"/>
  <c r="H113"/>
  <c r="G113"/>
  <c r="G112" s="1"/>
  <c r="F113"/>
  <c r="L113"/>
  <c r="E113"/>
  <c r="E112" s="1"/>
  <c r="D104"/>
  <c r="D103"/>
  <c r="K102"/>
  <c r="J102"/>
  <c r="I102"/>
  <c r="H102"/>
  <c r="G102"/>
  <c r="F102"/>
  <c r="L102"/>
  <c r="E102"/>
  <c r="E97"/>
  <c r="L97"/>
  <c r="L96" s="1"/>
  <c r="D99"/>
  <c r="D98"/>
  <c r="G97"/>
  <c r="H97"/>
  <c r="H96" s="1"/>
  <c r="I97"/>
  <c r="I96" s="1"/>
  <c r="J97"/>
  <c r="J96" s="1"/>
  <c r="K97"/>
  <c r="K96" s="1"/>
  <c r="F97"/>
  <c r="L125"/>
  <c r="D125" s="1"/>
  <c r="D124" s="1"/>
  <c r="D121" s="1"/>
  <c r="K124"/>
  <c r="J124"/>
  <c r="J121" s="1"/>
  <c r="I124"/>
  <c r="H124"/>
  <c r="H121" s="1"/>
  <c r="G124"/>
  <c r="F124"/>
  <c r="E124"/>
  <c r="E121" s="1"/>
  <c r="H9" i="7"/>
  <c r="I9"/>
  <c r="I13"/>
  <c r="I8"/>
  <c r="I73"/>
  <c r="H690" i="2"/>
  <c r="I690"/>
  <c r="J690"/>
  <c r="K690"/>
  <c r="H117" i="9"/>
  <c r="F93"/>
  <c r="O46"/>
  <c r="O34"/>
  <c r="G322" i="2"/>
  <c r="G319" s="1"/>
  <c r="F323"/>
  <c r="F318"/>
  <c r="G202"/>
  <c r="G199" s="1"/>
  <c r="H202"/>
  <c r="H199" s="1"/>
  <c r="I202"/>
  <c r="I199" s="1"/>
  <c r="G194"/>
  <c r="H194"/>
  <c r="I194"/>
  <c r="G197"/>
  <c r="H197"/>
  <c r="I197"/>
  <c r="H254"/>
  <c r="H257"/>
  <c r="H262"/>
  <c r="G263"/>
  <c r="F263"/>
  <c r="F262" s="1"/>
  <c r="G177" i="7"/>
  <c r="G176" s="1"/>
  <c r="F275" i="2"/>
  <c r="G287"/>
  <c r="F287"/>
  <c r="F286" s="1"/>
  <c r="G212"/>
  <c r="G214"/>
  <c r="H30" i="7"/>
  <c r="H29" s="1"/>
  <c r="F31"/>
  <c r="F26"/>
  <c r="E8"/>
  <c r="J8"/>
  <c r="K8"/>
  <c r="K7" s="1"/>
  <c r="D86"/>
  <c r="D85" s="1"/>
  <c r="D84"/>
  <c r="D83"/>
  <c r="I76"/>
  <c r="I78"/>
  <c r="I70"/>
  <c r="I69" s="1"/>
  <c r="H152" i="9"/>
  <c r="I152"/>
  <c r="J152"/>
  <c r="K152"/>
  <c r="F153"/>
  <c r="L153"/>
  <c r="F148"/>
  <c r="F13" s="1"/>
  <c r="L148"/>
  <c r="L13" s="1"/>
  <c r="I116" i="3"/>
  <c r="I119"/>
  <c r="I194"/>
  <c r="I197"/>
  <c r="I272"/>
  <c r="I274"/>
  <c r="E92" i="5"/>
  <c r="E91" s="1"/>
  <c r="E90" s="1"/>
  <c r="L92"/>
  <c r="L91" s="1"/>
  <c r="L90" s="1"/>
  <c r="F92"/>
  <c r="F91" s="1"/>
  <c r="F90" s="1"/>
  <c r="G92"/>
  <c r="G91" s="1"/>
  <c r="G90" s="1"/>
  <c r="H92"/>
  <c r="I92"/>
  <c r="I91" s="1"/>
  <c r="I90" s="1"/>
  <c r="J92"/>
  <c r="J91" s="1"/>
  <c r="J90" s="1"/>
  <c r="K92"/>
  <c r="K91" s="1"/>
  <c r="K90" s="1"/>
  <c r="F96"/>
  <c r="F95" s="1"/>
  <c r="F88" s="1"/>
  <c r="F87" s="1"/>
  <c r="D97"/>
  <c r="D96" s="1"/>
  <c r="D95" s="1"/>
  <c r="D88" s="1"/>
  <c r="K96"/>
  <c r="K95" s="1"/>
  <c r="K88" s="1"/>
  <c r="K87" s="1"/>
  <c r="J96"/>
  <c r="J95" s="1"/>
  <c r="J88" s="1"/>
  <c r="J87" s="1"/>
  <c r="I96"/>
  <c r="I95" s="1"/>
  <c r="I88" s="1"/>
  <c r="I87" s="1"/>
  <c r="H96"/>
  <c r="H95" s="1"/>
  <c r="H88" s="1"/>
  <c r="G96"/>
  <c r="G95" s="1"/>
  <c r="G88" s="1"/>
  <c r="L88"/>
  <c r="L87" s="1"/>
  <c r="E96"/>
  <c r="E95" s="1"/>
  <c r="E88" s="1"/>
  <c r="F269" i="3"/>
  <c r="G191"/>
  <c r="F191"/>
  <c r="F190" s="1"/>
  <c r="G189"/>
  <c r="F189"/>
  <c r="F188" s="1"/>
  <c r="M96" i="5"/>
  <c r="M95" s="1"/>
  <c r="G179" i="6"/>
  <c r="M179" s="1"/>
  <c r="F187"/>
  <c r="D671" i="2"/>
  <c r="F670"/>
  <c r="D670" s="1"/>
  <c r="G272" i="9"/>
  <c r="F272"/>
  <c r="M267"/>
  <c r="M264"/>
  <c r="M263" s="1"/>
  <c r="E108" i="7"/>
  <c r="L108"/>
  <c r="H318" i="2"/>
  <c r="H317" s="1"/>
  <c r="H314"/>
  <c r="I374"/>
  <c r="J374"/>
  <c r="K374"/>
  <c r="J368"/>
  <c r="J367" s="1"/>
  <c r="K368"/>
  <c r="I432"/>
  <c r="I431" s="1"/>
  <c r="M430"/>
  <c r="F430"/>
  <c r="H429"/>
  <c r="H427"/>
  <c r="M428"/>
  <c r="F428"/>
  <c r="I423"/>
  <c r="I422" s="1"/>
  <c r="M421"/>
  <c r="H420"/>
  <c r="H418"/>
  <c r="M419"/>
  <c r="F421"/>
  <c r="F419"/>
  <c r="E418"/>
  <c r="H406"/>
  <c r="G406"/>
  <c r="E403"/>
  <c r="G403"/>
  <c r="F403"/>
  <c r="G401"/>
  <c r="F401"/>
  <c r="H396"/>
  <c r="H393" s="1"/>
  <c r="F397"/>
  <c r="D397" s="1"/>
  <c r="E20" i="7"/>
  <c r="L20"/>
  <c r="H20"/>
  <c r="I20"/>
  <c r="J20"/>
  <c r="K20"/>
  <c r="E14"/>
  <c r="L14"/>
  <c r="H14"/>
  <c r="I14"/>
  <c r="J14"/>
  <c r="K14"/>
  <c r="E13"/>
  <c r="E11" s="1"/>
  <c r="K13"/>
  <c r="G104"/>
  <c r="D105"/>
  <c r="D104" s="1"/>
  <c r="J104"/>
  <c r="I104"/>
  <c r="H104"/>
  <c r="F104"/>
  <c r="L104"/>
  <c r="E104"/>
  <c r="D103"/>
  <c r="F101"/>
  <c r="J101"/>
  <c r="I101"/>
  <c r="H101"/>
  <c r="L101"/>
  <c r="E101"/>
  <c r="D99"/>
  <c r="D98" s="1"/>
  <c r="M98"/>
  <c r="J98"/>
  <c r="I98"/>
  <c r="H98"/>
  <c r="G98"/>
  <c r="F98"/>
  <c r="L98"/>
  <c r="E98"/>
  <c r="D97"/>
  <c r="D95"/>
  <c r="K94"/>
  <c r="J94"/>
  <c r="J93" s="1"/>
  <c r="I94"/>
  <c r="H94"/>
  <c r="H93" s="1"/>
  <c r="L94"/>
  <c r="E94"/>
  <c r="E93" s="1"/>
  <c r="G101"/>
  <c r="D102"/>
  <c r="G94"/>
  <c r="D96"/>
  <c r="F94"/>
  <c r="F93" s="1"/>
  <c r="E20" i="3"/>
  <c r="E19" s="1"/>
  <c r="L20"/>
  <c r="F20"/>
  <c r="F19" s="1"/>
  <c r="H20"/>
  <c r="I20"/>
  <c r="I19" s="1"/>
  <c r="J20"/>
  <c r="K20"/>
  <c r="K19" s="1"/>
  <c r="E14"/>
  <c r="L14"/>
  <c r="F14"/>
  <c r="G14"/>
  <c r="H14"/>
  <c r="I14"/>
  <c r="J14"/>
  <c r="K14"/>
  <c r="E13"/>
  <c r="L13"/>
  <c r="E128"/>
  <c r="L128"/>
  <c r="F128"/>
  <c r="G128"/>
  <c r="H128"/>
  <c r="I128"/>
  <c r="J128"/>
  <c r="K128"/>
  <c r="D131"/>
  <c r="D14" s="1"/>
  <c r="D138"/>
  <c r="D137" s="1"/>
  <c r="K137"/>
  <c r="J137"/>
  <c r="I137"/>
  <c r="H137"/>
  <c r="G137"/>
  <c r="F137"/>
  <c r="L137"/>
  <c r="E137"/>
  <c r="D136"/>
  <c r="D135" s="1"/>
  <c r="K135"/>
  <c r="K134" s="1"/>
  <c r="J135"/>
  <c r="I135"/>
  <c r="H135"/>
  <c r="G135"/>
  <c r="F135"/>
  <c r="L135"/>
  <c r="E135"/>
  <c r="M132"/>
  <c r="L132"/>
  <c r="K132"/>
  <c r="J132"/>
  <c r="J127" s="1"/>
  <c r="I132"/>
  <c r="H132"/>
  <c r="G132"/>
  <c r="F132"/>
  <c r="E132"/>
  <c r="D130"/>
  <c r="D129"/>
  <c r="D133"/>
  <c r="D132" s="1"/>
  <c r="F663" i="2"/>
  <c r="F662" s="1"/>
  <c r="G18" i="10"/>
  <c r="H18"/>
  <c r="I18"/>
  <c r="K21" i="5"/>
  <c r="K20"/>
  <c r="J21"/>
  <c r="J20"/>
  <c r="I21"/>
  <c r="I20"/>
  <c r="H21"/>
  <c r="H20"/>
  <c r="G21"/>
  <c r="G20"/>
  <c r="F21"/>
  <c r="F20"/>
  <c r="L21"/>
  <c r="L20"/>
  <c r="E21"/>
  <c r="E20"/>
  <c r="K17"/>
  <c r="J17"/>
  <c r="I17"/>
  <c r="H17"/>
  <c r="M17" s="1"/>
  <c r="G17"/>
  <c r="F17"/>
  <c r="L17"/>
  <c r="E17"/>
  <c r="K15"/>
  <c r="J15"/>
  <c r="I15"/>
  <c r="H15"/>
  <c r="M15" s="1"/>
  <c r="G15"/>
  <c r="F15"/>
  <c r="F13" s="1"/>
  <c r="L15"/>
  <c r="E15"/>
  <c r="M77"/>
  <c r="K84"/>
  <c r="K23" s="1"/>
  <c r="J84"/>
  <c r="J23" s="1"/>
  <c r="I84"/>
  <c r="I23" s="1"/>
  <c r="H84"/>
  <c r="H23" s="1"/>
  <c r="G84"/>
  <c r="G23" s="1"/>
  <c r="F84"/>
  <c r="F23" s="1"/>
  <c r="L84"/>
  <c r="L23" s="1"/>
  <c r="E84"/>
  <c r="K82"/>
  <c r="K81" s="1"/>
  <c r="J82"/>
  <c r="J81" s="1"/>
  <c r="I82"/>
  <c r="I81" s="1"/>
  <c r="H82"/>
  <c r="H81" s="1"/>
  <c r="G82"/>
  <c r="G81" s="1"/>
  <c r="F82"/>
  <c r="L82"/>
  <c r="L81" s="1"/>
  <c r="E82"/>
  <c r="K79"/>
  <c r="J79"/>
  <c r="I79"/>
  <c r="H79"/>
  <c r="G79"/>
  <c r="F79"/>
  <c r="L79"/>
  <c r="E79"/>
  <c r="K77"/>
  <c r="K76" s="1"/>
  <c r="J77"/>
  <c r="I77"/>
  <c r="I76" s="1"/>
  <c r="H77"/>
  <c r="G77"/>
  <c r="G76" s="1"/>
  <c r="F77"/>
  <c r="L77"/>
  <c r="L76" s="1"/>
  <c r="E77"/>
  <c r="D85"/>
  <c r="D84" s="1"/>
  <c r="D23" s="1"/>
  <c r="D83"/>
  <c r="D82"/>
  <c r="D81" s="1"/>
  <c r="D80"/>
  <c r="D79"/>
  <c r="D78"/>
  <c r="G13" i="8"/>
  <c r="K102"/>
  <c r="J102"/>
  <c r="I102"/>
  <c r="K99"/>
  <c r="J99"/>
  <c r="I99"/>
  <c r="I96" s="1"/>
  <c r="K97"/>
  <c r="J97"/>
  <c r="J96" s="1"/>
  <c r="I97"/>
  <c r="E29"/>
  <c r="E18"/>
  <c r="K13"/>
  <c r="J13"/>
  <c r="I13"/>
  <c r="H13"/>
  <c r="E13"/>
  <c r="L103"/>
  <c r="H102"/>
  <c r="G102"/>
  <c r="F102"/>
  <c r="E102"/>
  <c r="M99"/>
  <c r="L100"/>
  <c r="L99" s="1"/>
  <c r="H99"/>
  <c r="G99"/>
  <c r="F99"/>
  <c r="E99"/>
  <c r="M97"/>
  <c r="L98"/>
  <c r="L97" s="1"/>
  <c r="L96" s="1"/>
  <c r="H97"/>
  <c r="H96" s="1"/>
  <c r="G97"/>
  <c r="G96" s="1"/>
  <c r="F97"/>
  <c r="F96" s="1"/>
  <c r="E97"/>
  <c r="H93"/>
  <c r="H92" s="1"/>
  <c r="H90"/>
  <c r="H88"/>
  <c r="L94"/>
  <c r="L93" s="1"/>
  <c r="L92" s="1"/>
  <c r="G93"/>
  <c r="G92" s="1"/>
  <c r="F93"/>
  <c r="F92" s="1"/>
  <c r="E93"/>
  <c r="E92" s="1"/>
  <c r="M90"/>
  <c r="L91"/>
  <c r="L90" s="1"/>
  <c r="G90"/>
  <c r="F90"/>
  <c r="E90"/>
  <c r="M88"/>
  <c r="L89"/>
  <c r="G88"/>
  <c r="F88"/>
  <c r="E88"/>
  <c r="K101"/>
  <c r="E101"/>
  <c r="D98"/>
  <c r="D97" s="1"/>
  <c r="G101"/>
  <c r="E96"/>
  <c r="D103"/>
  <c r="D102" s="1"/>
  <c r="D101" s="1"/>
  <c r="D77" i="5"/>
  <c r="D15"/>
  <c r="E76"/>
  <c r="F76"/>
  <c r="H76"/>
  <c r="L88" i="8"/>
  <c r="D91"/>
  <c r="D90" s="1"/>
  <c r="D94"/>
  <c r="D93" s="1"/>
  <c r="D92" s="1"/>
  <c r="D100"/>
  <c r="D99" s="1"/>
  <c r="D89"/>
  <c r="D88" s="1"/>
  <c r="D21" i="5"/>
  <c r="D20" s="1"/>
  <c r="J76"/>
  <c r="D17"/>
  <c r="L102" i="8"/>
  <c r="L101" s="1"/>
  <c r="G284" i="2"/>
  <c r="L286"/>
  <c r="E286"/>
  <c r="D285"/>
  <c r="D284" s="1"/>
  <c r="F284"/>
  <c r="L284"/>
  <c r="E284"/>
  <c r="L281"/>
  <c r="L277" s="1"/>
  <c r="E281"/>
  <c r="M280"/>
  <c r="D280"/>
  <c r="F278"/>
  <c r="L278"/>
  <c r="E278"/>
  <c r="L46"/>
  <c r="L27" s="1"/>
  <c r="I32" i="1" s="1"/>
  <c r="I123" s="1"/>
  <c r="I169" s="1"/>
  <c r="F46" i="2"/>
  <c r="G46"/>
  <c r="H46"/>
  <c r="I46"/>
  <c r="I27" s="1"/>
  <c r="J46"/>
  <c r="K46"/>
  <c r="E46"/>
  <c r="E50"/>
  <c r="L50"/>
  <c r="F50"/>
  <c r="G50"/>
  <c r="H50"/>
  <c r="H30" s="1"/>
  <c r="I50"/>
  <c r="J50"/>
  <c r="K50"/>
  <c r="E39"/>
  <c r="E17" s="1"/>
  <c r="B22" i="1" s="1"/>
  <c r="L39" i="2"/>
  <c r="L17" s="1"/>
  <c r="I22" i="1" s="1"/>
  <c r="F39" i="2"/>
  <c r="G39"/>
  <c r="H39"/>
  <c r="I39"/>
  <c r="J39"/>
  <c r="K39"/>
  <c r="G55" i="8"/>
  <c r="H55"/>
  <c r="H29" s="1"/>
  <c r="I55"/>
  <c r="I29" s="1"/>
  <c r="J29"/>
  <c r="K29"/>
  <c r="I145"/>
  <c r="J145"/>
  <c r="K145"/>
  <c r="E14"/>
  <c r="K59"/>
  <c r="E59"/>
  <c r="L59"/>
  <c r="F59"/>
  <c r="G59"/>
  <c r="H59"/>
  <c r="I59"/>
  <c r="J59"/>
  <c r="I297" i="3"/>
  <c r="H297"/>
  <c r="K297"/>
  <c r="J297"/>
  <c r="L297"/>
  <c r="E297"/>
  <c r="D296"/>
  <c r="D295" s="1"/>
  <c r="K295"/>
  <c r="J295"/>
  <c r="I295"/>
  <c r="H295"/>
  <c r="G295"/>
  <c r="F295"/>
  <c r="L295"/>
  <c r="E295"/>
  <c r="M293"/>
  <c r="D293"/>
  <c r="M292"/>
  <c r="D292"/>
  <c r="K291"/>
  <c r="J291"/>
  <c r="I291"/>
  <c r="H291"/>
  <c r="G291"/>
  <c r="F291"/>
  <c r="L290"/>
  <c r="E290"/>
  <c r="M289"/>
  <c r="D289"/>
  <c r="M288"/>
  <c r="D288"/>
  <c r="F287"/>
  <c r="M286"/>
  <c r="D286"/>
  <c r="M285"/>
  <c r="D285"/>
  <c r="K284"/>
  <c r="J284"/>
  <c r="I284"/>
  <c r="H284"/>
  <c r="G284"/>
  <c r="F284"/>
  <c r="F283" s="1"/>
  <c r="L283"/>
  <c r="E283"/>
  <c r="K66" i="8"/>
  <c r="J66"/>
  <c r="I66"/>
  <c r="H66"/>
  <c r="G66"/>
  <c r="F66"/>
  <c r="L66"/>
  <c r="E66"/>
  <c r="K64"/>
  <c r="J64"/>
  <c r="J63" s="1"/>
  <c r="H15" i="10" s="1"/>
  <c r="I64" i="8"/>
  <c r="H64"/>
  <c r="H63" s="1"/>
  <c r="F15" i="10" s="1"/>
  <c r="G64" i="8"/>
  <c r="G63" s="1"/>
  <c r="E15" i="10" s="1"/>
  <c r="F64" i="8"/>
  <c r="F63" s="1"/>
  <c r="L64"/>
  <c r="E64"/>
  <c r="E63" s="1"/>
  <c r="C15" i="10" s="1"/>
  <c r="K61" i="8"/>
  <c r="J61"/>
  <c r="I61"/>
  <c r="H61"/>
  <c r="G61"/>
  <c r="L61"/>
  <c r="E61"/>
  <c r="H290" i="3"/>
  <c r="J290"/>
  <c r="I290"/>
  <c r="G297"/>
  <c r="D62" i="8"/>
  <c r="D61" s="1"/>
  <c r="I63"/>
  <c r="G15" i="10" s="1"/>
  <c r="D65" i="8"/>
  <c r="D67"/>
  <c r="D66" s="1"/>
  <c r="F61"/>
  <c r="M59"/>
  <c r="M58" s="1"/>
  <c r="G43" i="13"/>
  <c r="G25" s="1"/>
  <c r="M38"/>
  <c r="M37" s="1"/>
  <c r="G40"/>
  <c r="M40" s="1"/>
  <c r="I43"/>
  <c r="G29"/>
  <c r="G31"/>
  <c r="M31" s="1"/>
  <c r="G41" i="5"/>
  <c r="M41" s="1"/>
  <c r="D65" i="13"/>
  <c r="F70"/>
  <c r="F72"/>
  <c r="F25" s="1"/>
  <c r="H25"/>
  <c r="L13"/>
  <c r="L25"/>
  <c r="D298" i="3"/>
  <c r="D297" s="1"/>
  <c r="F297"/>
  <c r="L72" i="1"/>
  <c r="D252" i="3"/>
  <c r="D251" s="1"/>
  <c r="I682" i="2"/>
  <c r="J682"/>
  <c r="K682"/>
  <c r="D280" i="3"/>
  <c r="D279" s="1"/>
  <c r="K279"/>
  <c r="J279"/>
  <c r="I279"/>
  <c r="H279"/>
  <c r="G279"/>
  <c r="F279"/>
  <c r="L279"/>
  <c r="E279"/>
  <c r="D278"/>
  <c r="D277" s="1"/>
  <c r="K277"/>
  <c r="J277"/>
  <c r="I277"/>
  <c r="H277"/>
  <c r="G277"/>
  <c r="F277"/>
  <c r="L277"/>
  <c r="E277"/>
  <c r="K274"/>
  <c r="J274"/>
  <c r="H274"/>
  <c r="G274"/>
  <c r="L274"/>
  <c r="E274"/>
  <c r="K272"/>
  <c r="J272"/>
  <c r="H272"/>
  <c r="G272"/>
  <c r="L272"/>
  <c r="E272"/>
  <c r="D269"/>
  <c r="D268" s="1"/>
  <c r="K268"/>
  <c r="J268"/>
  <c r="I268"/>
  <c r="H268"/>
  <c r="G268"/>
  <c r="F268"/>
  <c r="L268"/>
  <c r="E268"/>
  <c r="K266"/>
  <c r="J266"/>
  <c r="I266"/>
  <c r="H266"/>
  <c r="G266"/>
  <c r="L266"/>
  <c r="L265" s="1"/>
  <c r="E266"/>
  <c r="M264"/>
  <c r="D264"/>
  <c r="M263"/>
  <c r="D263"/>
  <c r="K262"/>
  <c r="K261" s="1"/>
  <c r="J262"/>
  <c r="J261" s="1"/>
  <c r="I262"/>
  <c r="I261" s="1"/>
  <c r="H262"/>
  <c r="H261" s="1"/>
  <c r="G262"/>
  <c r="G261" s="1"/>
  <c r="F262"/>
  <c r="F261" s="1"/>
  <c r="L261"/>
  <c r="E261"/>
  <c r="M260"/>
  <c r="D260"/>
  <c r="M259"/>
  <c r="D259"/>
  <c r="K257"/>
  <c r="I257"/>
  <c r="F258"/>
  <c r="F257" s="1"/>
  <c r="L257"/>
  <c r="E257"/>
  <c r="D254"/>
  <c r="D253" s="1"/>
  <c r="K253"/>
  <c r="J253"/>
  <c r="I253"/>
  <c r="H253"/>
  <c r="G253"/>
  <c r="F253"/>
  <c r="L253"/>
  <c r="E253"/>
  <c r="K251"/>
  <c r="J251"/>
  <c r="J250" s="1"/>
  <c r="I251"/>
  <c r="H251"/>
  <c r="H250" s="1"/>
  <c r="G251"/>
  <c r="F251"/>
  <c r="L251"/>
  <c r="E251"/>
  <c r="M249"/>
  <c r="D249"/>
  <c r="M248"/>
  <c r="D248"/>
  <c r="K247"/>
  <c r="K246" s="1"/>
  <c r="J247"/>
  <c r="J246" s="1"/>
  <c r="I247"/>
  <c r="I246" s="1"/>
  <c r="H247"/>
  <c r="H246" s="1"/>
  <c r="G247"/>
  <c r="G246" s="1"/>
  <c r="F247"/>
  <c r="L246"/>
  <c r="E246"/>
  <c r="M245"/>
  <c r="D245"/>
  <c r="M244"/>
  <c r="D244"/>
  <c r="F243"/>
  <c r="D243" s="1"/>
  <c r="O243" s="1"/>
  <c r="M242"/>
  <c r="D242"/>
  <c r="M241"/>
  <c r="D241"/>
  <c r="G240"/>
  <c r="F240"/>
  <c r="D240" s="1"/>
  <c r="L239"/>
  <c r="E239"/>
  <c r="E22"/>
  <c r="J22"/>
  <c r="J21" s="1"/>
  <c r="K22"/>
  <c r="L21" i="9"/>
  <c r="L14"/>
  <c r="G257" i="3"/>
  <c r="I276"/>
  <c r="L271"/>
  <c r="G271"/>
  <c r="M272"/>
  <c r="F272"/>
  <c r="D273"/>
  <c r="D272" s="1"/>
  <c r="F274"/>
  <c r="D275"/>
  <c r="D274" s="1"/>
  <c r="M274"/>
  <c r="F246"/>
  <c r="D115" i="7"/>
  <c r="D114" s="1"/>
  <c r="D117"/>
  <c r="D116" s="1"/>
  <c r="E114"/>
  <c r="E116"/>
  <c r="E111"/>
  <c r="D112"/>
  <c r="D111" s="1"/>
  <c r="D109"/>
  <c r="D110"/>
  <c r="F415" i="2"/>
  <c r="F412"/>
  <c r="M412" s="1"/>
  <c r="M411" s="1"/>
  <c r="M408" s="1"/>
  <c r="F410"/>
  <c r="G400"/>
  <c r="G402"/>
  <c r="H405"/>
  <c r="H404" s="1"/>
  <c r="F406"/>
  <c r="G391"/>
  <c r="G388"/>
  <c r="G384"/>
  <c r="I64" i="7"/>
  <c r="I66"/>
  <c r="D67"/>
  <c r="D66" s="1"/>
  <c r="D65"/>
  <c r="D62"/>
  <c r="D61" s="1"/>
  <c r="D60"/>
  <c r="D59"/>
  <c r="I61"/>
  <c r="I57" s="1"/>
  <c r="I58"/>
  <c r="G86" i="3"/>
  <c r="H86"/>
  <c r="I86"/>
  <c r="I85" s="1"/>
  <c r="J86"/>
  <c r="K86"/>
  <c r="I88"/>
  <c r="J88"/>
  <c r="K88"/>
  <c r="I80"/>
  <c r="J80"/>
  <c r="K80"/>
  <c r="I83"/>
  <c r="J83"/>
  <c r="K83"/>
  <c r="M81"/>
  <c r="H274" i="2"/>
  <c r="H269"/>
  <c r="H266"/>
  <c r="D275"/>
  <c r="D274" s="1"/>
  <c r="G274"/>
  <c r="F274"/>
  <c r="L274"/>
  <c r="E274"/>
  <c r="D273"/>
  <c r="D272" s="1"/>
  <c r="F272"/>
  <c r="L272"/>
  <c r="E272"/>
  <c r="E271" s="1"/>
  <c r="G269"/>
  <c r="F269"/>
  <c r="L269"/>
  <c r="M268"/>
  <c r="D268"/>
  <c r="L266"/>
  <c r="E266"/>
  <c r="G318"/>
  <c r="M318" s="1"/>
  <c r="E225"/>
  <c r="D225" s="1"/>
  <c r="M84" i="3"/>
  <c r="M83" s="1"/>
  <c r="L271" i="2"/>
  <c r="G387"/>
  <c r="E13" i="9"/>
  <c r="G13"/>
  <c r="H13"/>
  <c r="I13"/>
  <c r="J13"/>
  <c r="D267"/>
  <c r="D266" s="1"/>
  <c r="D265"/>
  <c r="D264"/>
  <c r="F358" i="2"/>
  <c r="E360"/>
  <c r="L360"/>
  <c r="F360"/>
  <c r="E352"/>
  <c r="L352"/>
  <c r="F352"/>
  <c r="E355"/>
  <c r="L355"/>
  <c r="F355"/>
  <c r="E40"/>
  <c r="G40"/>
  <c r="I40"/>
  <c r="J40"/>
  <c r="K40"/>
  <c r="E48"/>
  <c r="G48"/>
  <c r="H48"/>
  <c r="I48"/>
  <c r="J48"/>
  <c r="K48"/>
  <c r="I16" i="3"/>
  <c r="J16"/>
  <c r="K16"/>
  <c r="L19"/>
  <c r="H19"/>
  <c r="J19"/>
  <c r="E224"/>
  <c r="L224"/>
  <c r="D236"/>
  <c r="D235" s="1"/>
  <c r="K235"/>
  <c r="J235"/>
  <c r="I235"/>
  <c r="H235"/>
  <c r="G235"/>
  <c r="F235"/>
  <c r="L235"/>
  <c r="E235"/>
  <c r="D234"/>
  <c r="D233" s="1"/>
  <c r="K233"/>
  <c r="J233"/>
  <c r="I233"/>
  <c r="H233"/>
  <c r="G233"/>
  <c r="F233"/>
  <c r="L233"/>
  <c r="E233"/>
  <c r="D231"/>
  <c r="D230"/>
  <c r="K229"/>
  <c r="K228" s="1"/>
  <c r="J229"/>
  <c r="J228" s="1"/>
  <c r="I229"/>
  <c r="I228" s="1"/>
  <c r="H229"/>
  <c r="H228" s="1"/>
  <c r="F229"/>
  <c r="L228"/>
  <c r="E228"/>
  <c r="D227"/>
  <c r="D226"/>
  <c r="H224"/>
  <c r="F225"/>
  <c r="D208"/>
  <c r="D211"/>
  <c r="D221"/>
  <c r="D220" s="1"/>
  <c r="K220"/>
  <c r="J220"/>
  <c r="I220"/>
  <c r="H220"/>
  <c r="G220"/>
  <c r="F220"/>
  <c r="L220"/>
  <c r="E220"/>
  <c r="K218"/>
  <c r="J218"/>
  <c r="I218"/>
  <c r="H218"/>
  <c r="F218"/>
  <c r="L218"/>
  <c r="L217" s="1"/>
  <c r="E218"/>
  <c r="D216"/>
  <c r="D215"/>
  <c r="K214"/>
  <c r="K213" s="1"/>
  <c r="J214"/>
  <c r="J213" s="1"/>
  <c r="I214"/>
  <c r="I213" s="1"/>
  <c r="H214"/>
  <c r="H213" s="1"/>
  <c r="F214"/>
  <c r="F213" s="1"/>
  <c r="L213"/>
  <c r="E213"/>
  <c r="M211"/>
  <c r="M208"/>
  <c r="F207"/>
  <c r="L206"/>
  <c r="L205" s="1"/>
  <c r="E206"/>
  <c r="L76" i="8"/>
  <c r="L85"/>
  <c r="D85" s="1"/>
  <c r="D84" s="1"/>
  <c r="D83" s="1"/>
  <c r="L82"/>
  <c r="L81" s="1"/>
  <c r="L80"/>
  <c r="L79" s="1"/>
  <c r="F29"/>
  <c r="L358" i="2"/>
  <c r="E358"/>
  <c r="E357" s="1"/>
  <c r="F206" i="3"/>
  <c r="F238" i="9"/>
  <c r="F235"/>
  <c r="M235" s="1"/>
  <c r="M234" s="1"/>
  <c r="F233"/>
  <c r="F232" s="1"/>
  <c r="G229"/>
  <c r="L220"/>
  <c r="G135" i="6"/>
  <c r="K131"/>
  <c r="J131"/>
  <c r="I131"/>
  <c r="H131"/>
  <c r="F131"/>
  <c r="G125"/>
  <c r="L159" i="9"/>
  <c r="L158" s="1"/>
  <c r="L163"/>
  <c r="I111" i="6"/>
  <c r="I103"/>
  <c r="G116"/>
  <c r="M116" s="1"/>
  <c r="G106"/>
  <c r="G115"/>
  <c r="M115" s="1"/>
  <c r="K112"/>
  <c r="J112"/>
  <c r="I112"/>
  <c r="G112"/>
  <c r="M112" s="1"/>
  <c r="G565" i="2"/>
  <c r="M565" s="1"/>
  <c r="M564" s="1"/>
  <c r="M563" s="1"/>
  <c r="G246" i="6"/>
  <c r="H173" i="3"/>
  <c r="G173"/>
  <c r="G169"/>
  <c r="D169" s="1"/>
  <c r="F169"/>
  <c r="H168"/>
  <c r="H167" s="1"/>
  <c r="G168"/>
  <c r="F168"/>
  <c r="H163"/>
  <c r="H162" s="1"/>
  <c r="L159"/>
  <c r="L12" i="7"/>
  <c r="L181" i="9"/>
  <c r="F51"/>
  <c r="L51"/>
  <c r="D58"/>
  <c r="D57" s="1"/>
  <c r="F57"/>
  <c r="L57"/>
  <c r="D53"/>
  <c r="F39"/>
  <c r="E39"/>
  <c r="D46"/>
  <c r="D45" s="1"/>
  <c r="K45"/>
  <c r="J45"/>
  <c r="I45"/>
  <c r="H45"/>
  <c r="H44" s="1"/>
  <c r="G45"/>
  <c r="F45"/>
  <c r="L45"/>
  <c r="D41"/>
  <c r="L39"/>
  <c r="D34"/>
  <c r="D33" s="1"/>
  <c r="K33"/>
  <c r="J33"/>
  <c r="I33"/>
  <c r="H33"/>
  <c r="H32" s="1"/>
  <c r="G33"/>
  <c r="F33"/>
  <c r="L33"/>
  <c r="E33"/>
  <c r="E27"/>
  <c r="D29"/>
  <c r="F27"/>
  <c r="L27"/>
  <c r="G20" i="7"/>
  <c r="F20"/>
  <c r="G14"/>
  <c r="F14"/>
  <c r="L8"/>
  <c r="H167"/>
  <c r="H165"/>
  <c r="H162"/>
  <c r="H160"/>
  <c r="G50"/>
  <c r="G48"/>
  <c r="G9" s="1"/>
  <c r="F130" i="2"/>
  <c r="F129" s="1"/>
  <c r="F81"/>
  <c r="L237"/>
  <c r="L232"/>
  <c r="L37"/>
  <c r="H13" i="7"/>
  <c r="H11" s="1"/>
  <c r="K14" i="8"/>
  <c r="K18"/>
  <c r="I47"/>
  <c r="I14" s="1"/>
  <c r="I49"/>
  <c r="I18" s="1"/>
  <c r="H47"/>
  <c r="H14" s="1"/>
  <c r="H49"/>
  <c r="H18" s="1"/>
  <c r="G47"/>
  <c r="G14" s="1"/>
  <c r="G49"/>
  <c r="L14"/>
  <c r="K23"/>
  <c r="I52"/>
  <c r="I23" s="1"/>
  <c r="H52"/>
  <c r="G52"/>
  <c r="G23" s="1"/>
  <c r="G18"/>
  <c r="L23"/>
  <c r="F73" i="6"/>
  <c r="D73" s="1"/>
  <c r="D72" s="1"/>
  <c r="L29"/>
  <c r="M37"/>
  <c r="F22" i="3"/>
  <c r="M444" i="2"/>
  <c r="L373"/>
  <c r="O457"/>
  <c r="H22" i="3"/>
  <c r="G22"/>
  <c r="D288" i="9"/>
  <c r="D287" s="1"/>
  <c r="D293"/>
  <c r="D292" s="1"/>
  <c r="K292"/>
  <c r="J292"/>
  <c r="I292"/>
  <c r="H292"/>
  <c r="G292"/>
  <c r="F292"/>
  <c r="L292"/>
  <c r="E292"/>
  <c r="D291"/>
  <c r="K290"/>
  <c r="J290"/>
  <c r="I290"/>
  <c r="I289" s="1"/>
  <c r="H290"/>
  <c r="G290"/>
  <c r="G289" s="1"/>
  <c r="F290"/>
  <c r="L290"/>
  <c r="E290"/>
  <c r="M287"/>
  <c r="K287"/>
  <c r="J287"/>
  <c r="I287"/>
  <c r="H287"/>
  <c r="G287"/>
  <c r="F287"/>
  <c r="E287"/>
  <c r="D286"/>
  <c r="D285"/>
  <c r="K284"/>
  <c r="J284"/>
  <c r="I284"/>
  <c r="H284"/>
  <c r="G284"/>
  <c r="F284"/>
  <c r="L284"/>
  <c r="L283" s="1"/>
  <c r="E284"/>
  <c r="D281"/>
  <c r="D280" s="1"/>
  <c r="D279" s="1"/>
  <c r="K280"/>
  <c r="J280"/>
  <c r="I280"/>
  <c r="H280"/>
  <c r="G280"/>
  <c r="F280"/>
  <c r="L280"/>
  <c r="E280"/>
  <c r="E279"/>
  <c r="M277"/>
  <c r="D278"/>
  <c r="D277" s="1"/>
  <c r="H277"/>
  <c r="F277"/>
  <c r="E277"/>
  <c r="M275"/>
  <c r="D276"/>
  <c r="D275" s="1"/>
  <c r="K275"/>
  <c r="J275"/>
  <c r="I275"/>
  <c r="H275"/>
  <c r="G275"/>
  <c r="F275"/>
  <c r="L275"/>
  <c r="E275"/>
  <c r="L274"/>
  <c r="J289"/>
  <c r="I279"/>
  <c r="E283"/>
  <c r="D290"/>
  <c r="K75" i="3"/>
  <c r="J75"/>
  <c r="I75"/>
  <c r="H75"/>
  <c r="K73"/>
  <c r="K72" s="1"/>
  <c r="J73"/>
  <c r="I73"/>
  <c r="I72" s="1"/>
  <c r="H73"/>
  <c r="K69"/>
  <c r="J69"/>
  <c r="I69"/>
  <c r="H69"/>
  <c r="E64"/>
  <c r="J68"/>
  <c r="I68"/>
  <c r="H63"/>
  <c r="I63"/>
  <c r="K63"/>
  <c r="M65"/>
  <c r="L69"/>
  <c r="E69"/>
  <c r="D203"/>
  <c r="D202" s="1"/>
  <c r="K202"/>
  <c r="J202"/>
  <c r="I202"/>
  <c r="H202"/>
  <c r="G202"/>
  <c r="F202"/>
  <c r="L202"/>
  <c r="E202"/>
  <c r="D201"/>
  <c r="D200" s="1"/>
  <c r="K200"/>
  <c r="J200"/>
  <c r="I200"/>
  <c r="H200"/>
  <c r="G200"/>
  <c r="F200"/>
  <c r="L200"/>
  <c r="E200"/>
  <c r="J197"/>
  <c r="J193" s="1"/>
  <c r="H197"/>
  <c r="G197"/>
  <c r="K197"/>
  <c r="L197"/>
  <c r="E197"/>
  <c r="K194"/>
  <c r="J194"/>
  <c r="H194"/>
  <c r="G194"/>
  <c r="F194"/>
  <c r="L194"/>
  <c r="E194"/>
  <c r="E176"/>
  <c r="L176"/>
  <c r="K188"/>
  <c r="J188"/>
  <c r="I188"/>
  <c r="H188"/>
  <c r="L188"/>
  <c r="E188"/>
  <c r="F180"/>
  <c r="D180" s="1"/>
  <c r="D182"/>
  <c r="D181"/>
  <c r="M182"/>
  <c r="M181"/>
  <c r="D196"/>
  <c r="O201" s="1"/>
  <c r="D198"/>
  <c r="D197" s="1"/>
  <c r="D195"/>
  <c r="M197"/>
  <c r="K184"/>
  <c r="J184"/>
  <c r="I184"/>
  <c r="H184"/>
  <c r="G184"/>
  <c r="M186"/>
  <c r="M179"/>
  <c r="G177"/>
  <c r="M177" s="1"/>
  <c r="F177"/>
  <c r="J176"/>
  <c r="H176"/>
  <c r="K190"/>
  <c r="J190"/>
  <c r="I190"/>
  <c r="H190"/>
  <c r="L190"/>
  <c r="E190"/>
  <c r="D186"/>
  <c r="H183"/>
  <c r="L183"/>
  <c r="E183"/>
  <c r="E175" s="1"/>
  <c r="D178"/>
  <c r="L442" i="2"/>
  <c r="L441" s="1"/>
  <c r="N55" i="4"/>
  <c r="K55"/>
  <c r="N20" i="10"/>
  <c r="K52" i="4"/>
  <c r="E30" i="7"/>
  <c r="E29" s="1"/>
  <c r="E22"/>
  <c r="L22"/>
  <c r="H22"/>
  <c r="I22"/>
  <c r="I21" s="1"/>
  <c r="J22"/>
  <c r="K22"/>
  <c r="K21" s="1"/>
  <c r="E34" i="6"/>
  <c r="E33" s="1"/>
  <c r="L109" i="9"/>
  <c r="D109" s="1"/>
  <c r="D108" s="1"/>
  <c r="D105" s="1"/>
  <c r="K19" i="7"/>
  <c r="E16"/>
  <c r="E15" s="1"/>
  <c r="L16"/>
  <c r="I61" i="1" s="1"/>
  <c r="I60" s="1"/>
  <c r="I16" i="7"/>
  <c r="J16"/>
  <c r="K16"/>
  <c r="J178"/>
  <c r="I178"/>
  <c r="H178"/>
  <c r="G178"/>
  <c r="L178"/>
  <c r="E178"/>
  <c r="E175" s="1"/>
  <c r="J176"/>
  <c r="I176"/>
  <c r="L176"/>
  <c r="E176"/>
  <c r="M173"/>
  <c r="J173"/>
  <c r="I173"/>
  <c r="H173"/>
  <c r="L173"/>
  <c r="E173"/>
  <c r="D171"/>
  <c r="J170"/>
  <c r="I170"/>
  <c r="H170"/>
  <c r="H169" s="1"/>
  <c r="L170"/>
  <c r="E170"/>
  <c r="E169" s="1"/>
  <c r="J166"/>
  <c r="I166"/>
  <c r="H166"/>
  <c r="L166"/>
  <c r="E166"/>
  <c r="J164"/>
  <c r="I164"/>
  <c r="G164"/>
  <c r="L164"/>
  <c r="E164"/>
  <c r="M161"/>
  <c r="J161"/>
  <c r="I161"/>
  <c r="H161"/>
  <c r="L161"/>
  <c r="E161"/>
  <c r="J158"/>
  <c r="I158"/>
  <c r="L158"/>
  <c r="L19"/>
  <c r="I169"/>
  <c r="D159"/>
  <c r="J169"/>
  <c r="L169"/>
  <c r="E158"/>
  <c r="L254" i="6"/>
  <c r="D254" s="1"/>
  <c r="F253"/>
  <c r="F252" s="1"/>
  <c r="F243" s="1"/>
  <c r="H46"/>
  <c r="D46" s="1"/>
  <c r="E44"/>
  <c r="H50"/>
  <c r="M50" s="1"/>
  <c r="E48"/>
  <c r="H55"/>
  <c r="D55" s="1"/>
  <c r="E53"/>
  <c r="D56"/>
  <c r="L61"/>
  <c r="M36"/>
  <c r="L40"/>
  <c r="M55"/>
  <c r="D36"/>
  <c r="F73" i="5"/>
  <c r="F72" s="1"/>
  <c r="H29" i="3"/>
  <c r="H30"/>
  <c r="E27"/>
  <c r="H35"/>
  <c r="M35" s="1"/>
  <c r="H36"/>
  <c r="I42"/>
  <c r="I41" s="1"/>
  <c r="I38" s="1"/>
  <c r="L22"/>
  <c r="H454" i="2"/>
  <c r="H455"/>
  <c r="H459"/>
  <c r="M459" s="1"/>
  <c r="H460"/>
  <c r="H448"/>
  <c r="H375" s="1"/>
  <c r="E442"/>
  <c r="I110" i="3"/>
  <c r="I112"/>
  <c r="I150"/>
  <c r="I149" s="1"/>
  <c r="I162"/>
  <c r="I161" s="1"/>
  <c r="I122"/>
  <c r="I124"/>
  <c r="I172"/>
  <c r="I171" s="1"/>
  <c r="E437" i="2"/>
  <c r="E436" s="1"/>
  <c r="E33" i="3"/>
  <c r="L73" i="8"/>
  <c r="L71"/>
  <c r="D270" i="9"/>
  <c r="D21" s="1"/>
  <c r="K269"/>
  <c r="J269"/>
  <c r="J268" s="1"/>
  <c r="I269"/>
  <c r="H269"/>
  <c r="G269"/>
  <c r="F269"/>
  <c r="L269"/>
  <c r="L263"/>
  <c r="L262" s="1"/>
  <c r="F263"/>
  <c r="G263"/>
  <c r="H263"/>
  <c r="G266"/>
  <c r="H266"/>
  <c r="I266"/>
  <c r="J266"/>
  <c r="K266"/>
  <c r="E258"/>
  <c r="E259"/>
  <c r="I263"/>
  <c r="J263"/>
  <c r="K263"/>
  <c r="K262" s="1"/>
  <c r="I259"/>
  <c r="H256"/>
  <c r="H254"/>
  <c r="I254"/>
  <c r="J254"/>
  <c r="K254"/>
  <c r="G254"/>
  <c r="K271"/>
  <c r="J271"/>
  <c r="I271"/>
  <c r="H271"/>
  <c r="G271"/>
  <c r="G268" s="1"/>
  <c r="F271"/>
  <c r="L271"/>
  <c r="E271"/>
  <c r="M266"/>
  <c r="F266"/>
  <c r="E266"/>
  <c r="D260"/>
  <c r="D259" s="1"/>
  <c r="D258" s="1"/>
  <c r="K259"/>
  <c r="J259"/>
  <c r="H259"/>
  <c r="G259"/>
  <c r="F259"/>
  <c r="L259"/>
  <c r="M256"/>
  <c r="D257"/>
  <c r="D256" s="1"/>
  <c r="F256"/>
  <c r="E256"/>
  <c r="D255"/>
  <c r="D254" s="1"/>
  <c r="F254"/>
  <c r="L254"/>
  <c r="E254"/>
  <c r="L253"/>
  <c r="I258"/>
  <c r="L258"/>
  <c r="I268"/>
  <c r="L155"/>
  <c r="L154" s="1"/>
  <c r="F13" i="13"/>
  <c r="L190" i="9"/>
  <c r="D190" s="1"/>
  <c r="D189" s="1"/>
  <c r="D188" s="1"/>
  <c r="I18" i="7"/>
  <c r="K18"/>
  <c r="I11"/>
  <c r="L18"/>
  <c r="J18"/>
  <c r="D153"/>
  <c r="E151"/>
  <c r="L151"/>
  <c r="F151"/>
  <c r="G151"/>
  <c r="H151"/>
  <c r="I151"/>
  <c r="J151"/>
  <c r="L144"/>
  <c r="F144"/>
  <c r="F143" s="1"/>
  <c r="G144"/>
  <c r="H144"/>
  <c r="H143" s="1"/>
  <c r="I144"/>
  <c r="J144"/>
  <c r="K144"/>
  <c r="D147"/>
  <c r="D155"/>
  <c r="D154" s="1"/>
  <c r="J154"/>
  <c r="J150" s="1"/>
  <c r="I154"/>
  <c r="H154"/>
  <c r="H150" s="1"/>
  <c r="G154"/>
  <c r="F154"/>
  <c r="F150" s="1"/>
  <c r="L154"/>
  <c r="E154"/>
  <c r="E150" s="1"/>
  <c r="D152"/>
  <c r="D149"/>
  <c r="D148" s="1"/>
  <c r="M148"/>
  <c r="J148"/>
  <c r="I148"/>
  <c r="I143" s="1"/>
  <c r="H148"/>
  <c r="G148"/>
  <c r="G143" s="1"/>
  <c r="F148"/>
  <c r="L148"/>
  <c r="L143" s="1"/>
  <c r="D146"/>
  <c r="D145"/>
  <c r="E7"/>
  <c r="L40"/>
  <c r="L39" s="1"/>
  <c r="F40"/>
  <c r="F39" s="1"/>
  <c r="L34"/>
  <c r="L33" s="1"/>
  <c r="G45" i="2"/>
  <c r="H45"/>
  <c r="I45"/>
  <c r="I44" s="1"/>
  <c r="J45"/>
  <c r="K45"/>
  <c r="G38"/>
  <c r="H38"/>
  <c r="I38"/>
  <c r="J38"/>
  <c r="K38"/>
  <c r="K36" s="1"/>
  <c r="K35" s="1"/>
  <c r="F176"/>
  <c r="L176"/>
  <c r="G254"/>
  <c r="D261"/>
  <c r="D260" s="1"/>
  <c r="F260"/>
  <c r="L260"/>
  <c r="M256"/>
  <c r="D256"/>
  <c r="F580"/>
  <c r="F579" s="1"/>
  <c r="L581"/>
  <c r="K21" i="3"/>
  <c r="I150" i="7"/>
  <c r="G150"/>
  <c r="L150"/>
  <c r="M144"/>
  <c r="M143" s="1"/>
  <c r="L254" i="2"/>
  <c r="L257"/>
  <c r="L262"/>
  <c r="F379"/>
  <c r="F381"/>
  <c r="L103" i="13"/>
  <c r="F103"/>
  <c r="M103" s="1"/>
  <c r="F52" i="4"/>
  <c r="L173" i="3"/>
  <c r="L169"/>
  <c r="L168"/>
  <c r="L163"/>
  <c r="L23" s="1"/>
  <c r="H160"/>
  <c r="L158"/>
  <c r="D170"/>
  <c r="G84" i="8"/>
  <c r="F84"/>
  <c r="L84"/>
  <c r="L83" s="1"/>
  <c r="E84"/>
  <c r="M81"/>
  <c r="D82"/>
  <c r="D81" s="1"/>
  <c r="G81"/>
  <c r="F81"/>
  <c r="E81"/>
  <c r="M79"/>
  <c r="D80"/>
  <c r="D79" s="1"/>
  <c r="G79"/>
  <c r="F79"/>
  <c r="E79"/>
  <c r="I10"/>
  <c r="J10"/>
  <c r="K10"/>
  <c r="L20"/>
  <c r="F20"/>
  <c r="G20"/>
  <c r="H20"/>
  <c r="I20"/>
  <c r="J20"/>
  <c r="K20"/>
  <c r="H75"/>
  <c r="G75"/>
  <c r="F75"/>
  <c r="F74" s="1"/>
  <c r="F145" s="1"/>
  <c r="E75"/>
  <c r="H72"/>
  <c r="G72"/>
  <c r="F72"/>
  <c r="E72"/>
  <c r="M70"/>
  <c r="D71"/>
  <c r="D70" s="1"/>
  <c r="H70"/>
  <c r="G70"/>
  <c r="F70"/>
  <c r="L70"/>
  <c r="E70"/>
  <c r="D106"/>
  <c r="E106"/>
  <c r="L106"/>
  <c r="F106"/>
  <c r="G106"/>
  <c r="H106"/>
  <c r="I106"/>
  <c r="M78"/>
  <c r="J23"/>
  <c r="F14"/>
  <c r="J18"/>
  <c r="J16" s="1"/>
  <c r="M49"/>
  <c r="M18" s="1"/>
  <c r="J14"/>
  <c r="M47"/>
  <c r="M14" s="1"/>
  <c r="F18"/>
  <c r="F16" s="1"/>
  <c r="F23"/>
  <c r="L537" i="2"/>
  <c r="E581"/>
  <c r="K20" i="10"/>
  <c r="L20"/>
  <c r="L10"/>
  <c r="L8"/>
  <c r="F16"/>
  <c r="G16"/>
  <c r="H16"/>
  <c r="I16"/>
  <c r="F17"/>
  <c r="G17"/>
  <c r="H17"/>
  <c r="I17"/>
  <c r="K13" i="9"/>
  <c r="E20"/>
  <c r="L20"/>
  <c r="F20"/>
  <c r="G20"/>
  <c r="H20"/>
  <c r="I20"/>
  <c r="J20"/>
  <c r="K20"/>
  <c r="E15" i="8"/>
  <c r="L15"/>
  <c r="F15"/>
  <c r="G15"/>
  <c r="H15"/>
  <c r="I15"/>
  <c r="J15"/>
  <c r="K15"/>
  <c r="K12" s="1"/>
  <c r="E20"/>
  <c r="E25"/>
  <c r="E22" s="1"/>
  <c r="L25"/>
  <c r="L22" s="1"/>
  <c r="F25"/>
  <c r="G25"/>
  <c r="H25"/>
  <c r="I25"/>
  <c r="J25"/>
  <c r="K25"/>
  <c r="E31"/>
  <c r="E28" s="1"/>
  <c r="L31"/>
  <c r="G31"/>
  <c r="H31"/>
  <c r="I31"/>
  <c r="J31"/>
  <c r="K31"/>
  <c r="K28" s="1"/>
  <c r="F54"/>
  <c r="F51"/>
  <c r="F50" s="1"/>
  <c r="D13" i="10" s="1"/>
  <c r="F48" i="8"/>
  <c r="F46"/>
  <c r="K105" i="4"/>
  <c r="J105"/>
  <c r="L105"/>
  <c r="E52"/>
  <c r="L52"/>
  <c r="J52"/>
  <c r="L53"/>
  <c r="I56" i="1" s="1"/>
  <c r="G53" i="4"/>
  <c r="H53"/>
  <c r="I53"/>
  <c r="J53"/>
  <c r="K53"/>
  <c r="E54"/>
  <c r="L54"/>
  <c r="F54"/>
  <c r="G54"/>
  <c r="H54"/>
  <c r="I54"/>
  <c r="F57" i="1" s="1"/>
  <c r="J54" i="4"/>
  <c r="K54"/>
  <c r="H57" i="1" s="1"/>
  <c r="E55" i="4"/>
  <c r="L55"/>
  <c r="F55"/>
  <c r="G55"/>
  <c r="H55"/>
  <c r="I55"/>
  <c r="J55"/>
  <c r="E57"/>
  <c r="L57"/>
  <c r="F57"/>
  <c r="G57"/>
  <c r="H57"/>
  <c r="I57"/>
  <c r="J57"/>
  <c r="K57"/>
  <c r="E58"/>
  <c r="L58"/>
  <c r="F58"/>
  <c r="G58"/>
  <c r="H58"/>
  <c r="I58"/>
  <c r="J58"/>
  <c r="K58"/>
  <c r="E62"/>
  <c r="L62"/>
  <c r="F62"/>
  <c r="G62"/>
  <c r="H62"/>
  <c r="I62"/>
  <c r="J62"/>
  <c r="K62"/>
  <c r="E63"/>
  <c r="L63"/>
  <c r="F63"/>
  <c r="G63"/>
  <c r="H63"/>
  <c r="I63"/>
  <c r="J63"/>
  <c r="K63"/>
  <c r="E64"/>
  <c r="L64"/>
  <c r="F64"/>
  <c r="G64"/>
  <c r="H64"/>
  <c r="I64"/>
  <c r="J64"/>
  <c r="K64"/>
  <c r="E48"/>
  <c r="L48"/>
  <c r="L47" s="1"/>
  <c r="F48"/>
  <c r="G48"/>
  <c r="G47" s="1"/>
  <c r="H48"/>
  <c r="I48"/>
  <c r="I47" s="1"/>
  <c r="J48"/>
  <c r="K48"/>
  <c r="K47" s="1"/>
  <c r="K6"/>
  <c r="J6"/>
  <c r="H61"/>
  <c r="H60" s="1"/>
  <c r="G61"/>
  <c r="G60" s="1"/>
  <c r="E12" i="8"/>
  <c r="J12"/>
  <c r="J11" s="1"/>
  <c r="I41" i="2"/>
  <c r="F138"/>
  <c r="L45"/>
  <c r="E45"/>
  <c r="E372"/>
  <c r="E366"/>
  <c r="E138"/>
  <c r="E149"/>
  <c r="E146"/>
  <c r="E154"/>
  <c r="E151" s="1"/>
  <c r="G160" i="6"/>
  <c r="H160"/>
  <c r="I160"/>
  <c r="J160"/>
  <c r="K160"/>
  <c r="L161"/>
  <c r="L160" s="1"/>
  <c r="F161"/>
  <c r="D162"/>
  <c r="M162"/>
  <c r="G164"/>
  <c r="G163" s="1"/>
  <c r="H164"/>
  <c r="H163" s="1"/>
  <c r="I164"/>
  <c r="I163" s="1"/>
  <c r="J164"/>
  <c r="J163" s="1"/>
  <c r="K164"/>
  <c r="K163" s="1"/>
  <c r="L165"/>
  <c r="L164" s="1"/>
  <c r="L163" s="1"/>
  <c r="F165"/>
  <c r="L167"/>
  <c r="F167"/>
  <c r="G167"/>
  <c r="H167"/>
  <c r="I167"/>
  <c r="J167"/>
  <c r="K167"/>
  <c r="D168"/>
  <c r="G170"/>
  <c r="G169" s="1"/>
  <c r="H170"/>
  <c r="H169" s="1"/>
  <c r="I170"/>
  <c r="I169" s="1"/>
  <c r="I166" s="1"/>
  <c r="J170"/>
  <c r="J169" s="1"/>
  <c r="K170"/>
  <c r="K169" s="1"/>
  <c r="K166" s="1"/>
  <c r="L171"/>
  <c r="L170" s="1"/>
  <c r="F171"/>
  <c r="F170" s="1"/>
  <c r="F169" s="1"/>
  <c r="M56"/>
  <c r="M46"/>
  <c r="M64" i="13"/>
  <c r="M66"/>
  <c r="D301" i="9"/>
  <c r="M211"/>
  <c r="M207"/>
  <c r="M206" s="1"/>
  <c r="M198"/>
  <c r="M197" s="1"/>
  <c r="M194"/>
  <c r="M124" i="8"/>
  <c r="M35"/>
  <c r="M15" s="1"/>
  <c r="M102" i="6"/>
  <c r="M104"/>
  <c r="M134"/>
  <c r="M133"/>
  <c r="M132"/>
  <c r="E15"/>
  <c r="I15"/>
  <c r="J15"/>
  <c r="K15"/>
  <c r="E16"/>
  <c r="E22"/>
  <c r="G22"/>
  <c r="I22"/>
  <c r="J22"/>
  <c r="K22"/>
  <c r="M233"/>
  <c r="M231"/>
  <c r="M57" i="5"/>
  <c r="M72" i="4"/>
  <c r="M57" s="1"/>
  <c r="M71"/>
  <c r="M55" s="1"/>
  <c r="M118" i="3"/>
  <c r="M116" s="1"/>
  <c r="M106"/>
  <c r="M94"/>
  <c r="M82"/>
  <c r="M558" i="2"/>
  <c r="M557"/>
  <c r="M410"/>
  <c r="M403"/>
  <c r="M401"/>
  <c r="M220"/>
  <c r="M150"/>
  <c r="M147"/>
  <c r="M120"/>
  <c r="M116"/>
  <c r="M108"/>
  <c r="M106"/>
  <c r="M97"/>
  <c r="M95"/>
  <c r="M94"/>
  <c r="M73"/>
  <c r="M71"/>
  <c r="M70"/>
  <c r="M69" s="1"/>
  <c r="M60"/>
  <c r="M57"/>
  <c r="M56"/>
  <c r="J166" i="3"/>
  <c r="J165" s="1"/>
  <c r="L60" i="9"/>
  <c r="M51"/>
  <c r="L48"/>
  <c r="L36"/>
  <c r="G224" i="2"/>
  <c r="G226"/>
  <c r="L227"/>
  <c r="F141"/>
  <c r="L191"/>
  <c r="D191" s="1"/>
  <c r="D190" s="1"/>
  <c r="I644"/>
  <c r="I531" s="1"/>
  <c r="I530" s="1"/>
  <c r="I529" s="1"/>
  <c r="I643"/>
  <c r="H644"/>
  <c r="H643" s="1"/>
  <c r="H642" s="1"/>
  <c r="G644"/>
  <c r="I602"/>
  <c r="I601" s="1"/>
  <c r="I527" s="1"/>
  <c r="H602"/>
  <c r="H601" s="1"/>
  <c r="M644"/>
  <c r="M643" s="1"/>
  <c r="M642" s="1"/>
  <c r="I642"/>
  <c r="K111" i="6"/>
  <c r="E128"/>
  <c r="E127" s="1"/>
  <c r="E124"/>
  <c r="E105"/>
  <c r="E98" s="1"/>
  <c r="L99"/>
  <c r="D133"/>
  <c r="D132"/>
  <c r="E14"/>
  <c r="K99"/>
  <c r="M17" i="13"/>
  <c r="L21"/>
  <c r="L20" s="1"/>
  <c r="D304" i="9"/>
  <c r="D303" s="1"/>
  <c r="D56" i="8"/>
  <c r="D127" i="7"/>
  <c r="D134"/>
  <c r="D47"/>
  <c r="D28"/>
  <c r="D27" s="1"/>
  <c r="D133"/>
  <c r="D44" i="5"/>
  <c r="D43" s="1"/>
  <c r="D123" i="3"/>
  <c r="D118"/>
  <c r="D111"/>
  <c r="D106"/>
  <c r="D43"/>
  <c r="D40"/>
  <c r="D39" s="1"/>
  <c r="D37"/>
  <c r="D31"/>
  <c r="D524" i="2"/>
  <c r="D521"/>
  <c r="D519"/>
  <c r="D506"/>
  <c r="D505" s="1"/>
  <c r="D504" s="1"/>
  <c r="D503"/>
  <c r="D501"/>
  <c r="D500" s="1"/>
  <c r="D497"/>
  <c r="D496"/>
  <c r="D495"/>
  <c r="D493"/>
  <c r="D492"/>
  <c r="D491"/>
  <c r="D488"/>
  <c r="D487"/>
  <c r="D485"/>
  <c r="D484"/>
  <c r="D483"/>
  <c r="D592"/>
  <c r="D589"/>
  <c r="D588"/>
  <c r="D577"/>
  <c r="D574"/>
  <c r="D573"/>
  <c r="D333"/>
  <c r="D361"/>
  <c r="D360" s="1"/>
  <c r="D359"/>
  <c r="D356"/>
  <c r="D354"/>
  <c r="D353"/>
  <c r="D321"/>
  <c r="D316"/>
  <c r="D249"/>
  <c r="D244"/>
  <c r="D237"/>
  <c r="D126"/>
  <c r="D124"/>
  <c r="D123"/>
  <c r="D102"/>
  <c r="D65"/>
  <c r="D59"/>
  <c r="D57"/>
  <c r="E185" i="6"/>
  <c r="E184" s="1"/>
  <c r="E182"/>
  <c r="E174"/>
  <c r="E178"/>
  <c r="E177" s="1"/>
  <c r="E147"/>
  <c r="E146" s="1"/>
  <c r="E23"/>
  <c r="E21" s="1"/>
  <c r="M15" i="1"/>
  <c r="G19" i="10"/>
  <c r="H19"/>
  <c r="I19"/>
  <c r="E154" i="6"/>
  <c r="E25" s="1"/>
  <c r="E246"/>
  <c r="E245" s="1"/>
  <c r="E244" s="1"/>
  <c r="E21" i="13"/>
  <c r="E20" s="1"/>
  <c r="E14"/>
  <c r="E21" i="7"/>
  <c r="E24" i="5"/>
  <c r="E18"/>
  <c r="E14"/>
  <c r="E13" s="1"/>
  <c r="E540" i="2"/>
  <c r="E539"/>
  <c r="E538"/>
  <c r="E533"/>
  <c r="B58" i="1" s="1"/>
  <c r="E28" i="2"/>
  <c r="E110" i="13"/>
  <c r="E109" s="1"/>
  <c r="E71"/>
  <c r="E69"/>
  <c r="E52"/>
  <c r="E39"/>
  <c r="E37"/>
  <c r="E30"/>
  <c r="E28"/>
  <c r="D115"/>
  <c r="D51"/>
  <c r="D72"/>
  <c r="D71" s="1"/>
  <c r="D70"/>
  <c r="D69" s="1"/>
  <c r="D67"/>
  <c r="D66" s="1"/>
  <c r="D64"/>
  <c r="D48"/>
  <c r="D31"/>
  <c r="E312" i="9"/>
  <c r="E311" s="1"/>
  <c r="E308"/>
  <c r="E307" s="1"/>
  <c r="E250"/>
  <c r="E249" s="1"/>
  <c r="E237"/>
  <c r="E236" s="1"/>
  <c r="E234"/>
  <c r="E232"/>
  <c r="E228"/>
  <c r="E215"/>
  <c r="E214" s="1"/>
  <c r="E210"/>
  <c r="E202"/>
  <c r="E201" s="1"/>
  <c r="E197"/>
  <c r="E193"/>
  <c r="E176"/>
  <c r="E152"/>
  <c r="E154"/>
  <c r="E149"/>
  <c r="E146"/>
  <c r="E142"/>
  <c r="E141" s="1"/>
  <c r="E139"/>
  <c r="E137"/>
  <c r="E108"/>
  <c r="E105" s="1"/>
  <c r="E92"/>
  <c r="E89"/>
  <c r="E87"/>
  <c r="E47"/>
  <c r="E44" s="1"/>
  <c r="E35"/>
  <c r="E32" s="1"/>
  <c r="D313"/>
  <c r="D238"/>
  <c r="D203"/>
  <c r="D202" s="1"/>
  <c r="D201" s="1"/>
  <c r="D153"/>
  <c r="D140"/>
  <c r="D139" s="1"/>
  <c r="D93"/>
  <c r="D92" s="1"/>
  <c r="D91" s="1"/>
  <c r="E54" i="8"/>
  <c r="E51"/>
  <c r="E48"/>
  <c r="E45"/>
  <c r="E41"/>
  <c r="E39"/>
  <c r="E38" s="1"/>
  <c r="C17" i="10" s="1"/>
  <c r="E36" i="8"/>
  <c r="E34"/>
  <c r="E123"/>
  <c r="E122" s="1"/>
  <c r="E107" s="1"/>
  <c r="D128"/>
  <c r="D127" s="1"/>
  <c r="D126" s="1"/>
  <c r="D124"/>
  <c r="D113" s="1"/>
  <c r="D53"/>
  <c r="E120" i="7"/>
  <c r="E54"/>
  <c r="E49"/>
  <c r="E46"/>
  <c r="D121"/>
  <c r="D124"/>
  <c r="D123" s="1"/>
  <c r="D53"/>
  <c r="D52" s="1"/>
  <c r="D50"/>
  <c r="D49" s="1"/>
  <c r="D129"/>
  <c r="D55"/>
  <c r="D54" s="1"/>
  <c r="D31"/>
  <c r="E263" i="6"/>
  <c r="E262" s="1"/>
  <c r="E257"/>
  <c r="E256" s="1"/>
  <c r="E253"/>
  <c r="E252" s="1"/>
  <c r="E243" s="1"/>
  <c r="E237"/>
  <c r="E235"/>
  <c r="E232"/>
  <c r="E230"/>
  <c r="E226"/>
  <c r="E224"/>
  <c r="E221"/>
  <c r="E217"/>
  <c r="E151"/>
  <c r="E142"/>
  <c r="E138"/>
  <c r="E137" s="1"/>
  <c r="E123"/>
  <c r="E119"/>
  <c r="E118" s="1"/>
  <c r="E94"/>
  <c r="E92"/>
  <c r="E89"/>
  <c r="E87"/>
  <c r="E83"/>
  <c r="E81"/>
  <c r="E78"/>
  <c r="E76"/>
  <c r="E72"/>
  <c r="E70"/>
  <c r="E60"/>
  <c r="E58"/>
  <c r="E52"/>
  <c r="E43"/>
  <c r="E39"/>
  <c r="E38" s="1"/>
  <c r="E28"/>
  <c r="D90"/>
  <c r="D40"/>
  <c r="D264"/>
  <c r="D263" s="1"/>
  <c r="D262" s="1"/>
  <c r="O261" s="1"/>
  <c r="D238"/>
  <c r="D236"/>
  <c r="D233"/>
  <c r="D231"/>
  <c r="D104"/>
  <c r="D102"/>
  <c r="D100"/>
  <c r="D95"/>
  <c r="D93"/>
  <c r="D88"/>
  <c r="D71"/>
  <c r="D70" s="1"/>
  <c r="D68"/>
  <c r="D67" s="1"/>
  <c r="D66"/>
  <c r="O66" s="1"/>
  <c r="D65"/>
  <c r="D61"/>
  <c r="D60" s="1"/>
  <c r="D59"/>
  <c r="E73" i="5"/>
  <c r="E72" s="1"/>
  <c r="E70"/>
  <c r="E69" s="1"/>
  <c r="E59"/>
  <c r="E58" s="1"/>
  <c r="E56"/>
  <c r="E55" s="1"/>
  <c r="E43"/>
  <c r="E45"/>
  <c r="E40"/>
  <c r="E38"/>
  <c r="D60"/>
  <c r="D88" i="4"/>
  <c r="E91"/>
  <c r="E90" s="1"/>
  <c r="E86"/>
  <c r="E85" s="1"/>
  <c r="E81"/>
  <c r="E80" s="1"/>
  <c r="E68"/>
  <c r="E67" s="1"/>
  <c r="E76"/>
  <c r="E75"/>
  <c r="D92"/>
  <c r="D87"/>
  <c r="D83"/>
  <c r="D82"/>
  <c r="D62"/>
  <c r="D72"/>
  <c r="D57" s="1"/>
  <c r="D71"/>
  <c r="D55" s="1"/>
  <c r="D70"/>
  <c r="D54" s="1"/>
  <c r="D69"/>
  <c r="E172" i="3"/>
  <c r="E122"/>
  <c r="E124"/>
  <c r="E119"/>
  <c r="E116"/>
  <c r="E110"/>
  <c r="E112"/>
  <c r="E107"/>
  <c r="E103" s="1"/>
  <c r="E104"/>
  <c r="E98"/>
  <c r="E100"/>
  <c r="E95"/>
  <c r="E92"/>
  <c r="E86"/>
  <c r="E88"/>
  <c r="E83"/>
  <c r="E80"/>
  <c r="E73"/>
  <c r="E75"/>
  <c r="E63"/>
  <c r="E26"/>
  <c r="D93"/>
  <c r="E45" i="7"/>
  <c r="E119"/>
  <c r="E205" i="9"/>
  <c r="D64" i="6"/>
  <c r="E47" i="4"/>
  <c r="E127" i="8"/>
  <c r="E126" s="1"/>
  <c r="D101" i="3"/>
  <c r="D96"/>
  <c r="D151"/>
  <c r="E580" i="2"/>
  <c r="E579" s="1"/>
  <c r="E667"/>
  <c r="E666" s="1"/>
  <c r="E610"/>
  <c r="E609" s="1"/>
  <c r="E602"/>
  <c r="E601" s="1"/>
  <c r="E568"/>
  <c r="E567" s="1"/>
  <c r="E564"/>
  <c r="E563" s="1"/>
  <c r="E560"/>
  <c r="E559" s="1"/>
  <c r="E556"/>
  <c r="E555" s="1"/>
  <c r="E543"/>
  <c r="E542" s="1"/>
  <c r="E462"/>
  <c r="E461" s="1"/>
  <c r="E441"/>
  <c r="E432"/>
  <c r="E429"/>
  <c r="E428"/>
  <c r="E423"/>
  <c r="E422" s="1"/>
  <c r="E420"/>
  <c r="E417"/>
  <c r="E414"/>
  <c r="E413" s="1"/>
  <c r="E411"/>
  <c r="E409"/>
  <c r="E405"/>
  <c r="E404" s="1"/>
  <c r="E402"/>
  <c r="E400"/>
  <c r="E396"/>
  <c r="E394"/>
  <c r="E391"/>
  <c r="E388"/>
  <c r="E383"/>
  <c r="E379"/>
  <c r="E322"/>
  <c r="E320"/>
  <c r="E226"/>
  <c r="E224"/>
  <c r="E221"/>
  <c r="E202"/>
  <c r="E200"/>
  <c r="E197"/>
  <c r="E194"/>
  <c r="E190"/>
  <c r="E173"/>
  <c r="E170"/>
  <c r="E166"/>
  <c r="E161"/>
  <c r="E158"/>
  <c r="E134"/>
  <c r="E130"/>
  <c r="E125"/>
  <c r="E119"/>
  <c r="E115"/>
  <c r="E114" s="1"/>
  <c r="E110"/>
  <c r="E109" s="1"/>
  <c r="E107"/>
  <c r="E105"/>
  <c r="D675"/>
  <c r="D674" s="1"/>
  <c r="D673" s="1"/>
  <c r="D668"/>
  <c r="D667" s="1"/>
  <c r="D666" s="1"/>
  <c r="D660"/>
  <c r="D584"/>
  <c r="D583" s="1"/>
  <c r="D582" s="1"/>
  <c r="D569"/>
  <c r="D561"/>
  <c r="D558"/>
  <c r="D557"/>
  <c r="D548"/>
  <c r="D547" s="1"/>
  <c r="D546" s="1"/>
  <c r="D463"/>
  <c r="D462" s="1"/>
  <c r="D461" s="1"/>
  <c r="D433"/>
  <c r="D432" s="1"/>
  <c r="D431" s="1"/>
  <c r="D430"/>
  <c r="D424"/>
  <c r="D421"/>
  <c r="D420" s="1"/>
  <c r="D419"/>
  <c r="D395"/>
  <c r="D390"/>
  <c r="D339"/>
  <c r="D227"/>
  <c r="D222"/>
  <c r="D221" s="1"/>
  <c r="D220"/>
  <c r="D140"/>
  <c r="D133"/>
  <c r="D132"/>
  <c r="D120"/>
  <c r="D111"/>
  <c r="D108"/>
  <c r="D100"/>
  <c r="D97"/>
  <c r="D95"/>
  <c r="D90"/>
  <c r="D88"/>
  <c r="D85"/>
  <c r="D84" s="1"/>
  <c r="D83"/>
  <c r="D76"/>
  <c r="D73"/>
  <c r="D71"/>
  <c r="D78"/>
  <c r="D66"/>
  <c r="D63"/>
  <c r="D60"/>
  <c r="D58" s="1"/>
  <c r="E223"/>
  <c r="E399"/>
  <c r="E122"/>
  <c r="E157"/>
  <c r="J372"/>
  <c r="I372"/>
  <c r="H372"/>
  <c r="G372"/>
  <c r="F372"/>
  <c r="L372"/>
  <c r="D664"/>
  <c r="F538"/>
  <c r="G538"/>
  <c r="H538"/>
  <c r="I538"/>
  <c r="J538"/>
  <c r="K538"/>
  <c r="F532"/>
  <c r="G532"/>
  <c r="H532"/>
  <c r="I532"/>
  <c r="J532"/>
  <c r="K532"/>
  <c r="F651"/>
  <c r="G651"/>
  <c r="H651"/>
  <c r="J651"/>
  <c r="K651"/>
  <c r="L655"/>
  <c r="L654" s="1"/>
  <c r="K655"/>
  <c r="K654" s="1"/>
  <c r="J655"/>
  <c r="J654" s="1"/>
  <c r="I655"/>
  <c r="I654" s="1"/>
  <c r="H655"/>
  <c r="H654" s="1"/>
  <c r="G655"/>
  <c r="G654" s="1"/>
  <c r="F655"/>
  <c r="F654" s="1"/>
  <c r="D581"/>
  <c r="L583"/>
  <c r="L582" s="1"/>
  <c r="F583"/>
  <c r="F582" s="1"/>
  <c r="G583"/>
  <c r="G582" s="1"/>
  <c r="H583"/>
  <c r="H582" s="1"/>
  <c r="I583"/>
  <c r="I582" s="1"/>
  <c r="J583"/>
  <c r="J582" s="1"/>
  <c r="K583"/>
  <c r="K582" s="1"/>
  <c r="D652"/>
  <c r="D656"/>
  <c r="D655" s="1"/>
  <c r="D654" s="1"/>
  <c r="L532"/>
  <c r="D653"/>
  <c r="D532" s="1"/>
  <c r="L651"/>
  <c r="L538"/>
  <c r="D20" i="9"/>
  <c r="F409" i="2"/>
  <c r="G414"/>
  <c r="G413" s="1"/>
  <c r="L415"/>
  <c r="D415" s="1"/>
  <c r="F400"/>
  <c r="F399" s="1"/>
  <c r="G405"/>
  <c r="G404" s="1"/>
  <c r="L406"/>
  <c r="F402"/>
  <c r="L403"/>
  <c r="L402" s="1"/>
  <c r="F391"/>
  <c r="G396"/>
  <c r="D385"/>
  <c r="D384" s="1"/>
  <c r="D383" s="1"/>
  <c r="G393"/>
  <c r="D403"/>
  <c r="D410"/>
  <c r="D391"/>
  <c r="F322"/>
  <c r="F319" s="1"/>
  <c r="L323"/>
  <c r="L51" s="1"/>
  <c r="D82"/>
  <c r="D81" s="1"/>
  <c r="D80" s="1"/>
  <c r="D56"/>
  <c r="D106"/>
  <c r="D105" s="1"/>
  <c r="D94"/>
  <c r="D318"/>
  <c r="D317" s="1"/>
  <c r="D127"/>
  <c r="D116"/>
  <c r="D239"/>
  <c r="D238" s="1"/>
  <c r="D155"/>
  <c r="D154" s="1"/>
  <c r="D150"/>
  <c r="D147"/>
  <c r="D174"/>
  <c r="D198"/>
  <c r="D195"/>
  <c r="D136"/>
  <c r="D134" s="1"/>
  <c r="L122" i="7"/>
  <c r="L9" s="1"/>
  <c r="L7" s="1"/>
  <c r="D141"/>
  <c r="D140" s="1"/>
  <c r="J140"/>
  <c r="I140"/>
  <c r="H140"/>
  <c r="H137" s="1"/>
  <c r="G140"/>
  <c r="F140"/>
  <c r="F137" s="1"/>
  <c r="L140"/>
  <c r="J138"/>
  <c r="I138"/>
  <c r="H138"/>
  <c r="G138"/>
  <c r="F138"/>
  <c r="L138"/>
  <c r="M135"/>
  <c r="J135"/>
  <c r="I135"/>
  <c r="H135"/>
  <c r="G135"/>
  <c r="F135"/>
  <c r="L135"/>
  <c r="D132"/>
  <c r="J132"/>
  <c r="I132"/>
  <c r="H132"/>
  <c r="G132"/>
  <c r="F132"/>
  <c r="F131" s="1"/>
  <c r="G87" i="9"/>
  <c r="G89"/>
  <c r="L90"/>
  <c r="D90" s="1"/>
  <c r="D89" s="1"/>
  <c r="L88"/>
  <c r="L87" s="1"/>
  <c r="D60"/>
  <c r="D59" s="1"/>
  <c r="D55"/>
  <c r="D54" s="1"/>
  <c r="D52"/>
  <c r="D43"/>
  <c r="D42" s="1"/>
  <c r="D40"/>
  <c r="D39" s="1"/>
  <c r="D28"/>
  <c r="L13" i="7"/>
  <c r="I57" i="1" s="1"/>
  <c r="J137" i="7"/>
  <c r="F120"/>
  <c r="D122"/>
  <c r="D231" i="2"/>
  <c r="D159"/>
  <c r="D167"/>
  <c r="D31" i="9"/>
  <c r="D36"/>
  <c r="D139" i="7"/>
  <c r="D138" s="1"/>
  <c r="D26"/>
  <c r="L131"/>
  <c r="L137"/>
  <c r="D162" i="2"/>
  <c r="D171"/>
  <c r="D179"/>
  <c r="D178" s="1"/>
  <c r="D234"/>
  <c r="E140" i="7"/>
  <c r="E135"/>
  <c r="E131" s="1"/>
  <c r="E138"/>
  <c r="L246" i="9"/>
  <c r="L245" s="1"/>
  <c r="K250"/>
  <c r="J250"/>
  <c r="I250"/>
  <c r="H250"/>
  <c r="F250"/>
  <c r="L250"/>
  <c r="K246"/>
  <c r="J246"/>
  <c r="I246"/>
  <c r="H246"/>
  <c r="K242"/>
  <c r="K241" s="1"/>
  <c r="J242"/>
  <c r="J241" s="1"/>
  <c r="I242"/>
  <c r="I241" s="1"/>
  <c r="H242"/>
  <c r="H241" s="1"/>
  <c r="L242"/>
  <c r="L241" s="1"/>
  <c r="D136" i="7"/>
  <c r="D135" s="1"/>
  <c r="E137"/>
  <c r="L134" i="6"/>
  <c r="D134" s="1"/>
  <c r="F135"/>
  <c r="M135" s="1"/>
  <c r="F125"/>
  <c r="J103"/>
  <c r="M130"/>
  <c r="D115"/>
  <c r="L109"/>
  <c r="L108" s="1"/>
  <c r="L105"/>
  <c r="D130"/>
  <c r="D84"/>
  <c r="D79"/>
  <c r="D78" s="1"/>
  <c r="D77"/>
  <c r="D82"/>
  <c r="D81" s="1"/>
  <c r="F152" i="9"/>
  <c r="L152"/>
  <c r="L146"/>
  <c r="H146"/>
  <c r="I146"/>
  <c r="J146"/>
  <c r="K146"/>
  <c r="F234"/>
  <c r="D234" s="1"/>
  <c r="L237"/>
  <c r="L236" s="1"/>
  <c r="F237"/>
  <c r="F236" s="1"/>
  <c r="G237"/>
  <c r="H237"/>
  <c r="H236" s="1"/>
  <c r="I237"/>
  <c r="J237"/>
  <c r="J236" s="1"/>
  <c r="K237"/>
  <c r="K236" s="1"/>
  <c r="L232"/>
  <c r="G232"/>
  <c r="G231" s="1"/>
  <c r="H232"/>
  <c r="H231" s="1"/>
  <c r="I232"/>
  <c r="J232"/>
  <c r="J231" s="1"/>
  <c r="K232"/>
  <c r="K231" s="1"/>
  <c r="L228"/>
  <c r="G228"/>
  <c r="I228"/>
  <c r="I227" s="1"/>
  <c r="J228"/>
  <c r="K228"/>
  <c r="K227" s="1"/>
  <c r="L224"/>
  <c r="L223" s="1"/>
  <c r="G224"/>
  <c r="H224"/>
  <c r="I224"/>
  <c r="I223" s="1"/>
  <c r="J224"/>
  <c r="K224"/>
  <c r="H220"/>
  <c r="I220"/>
  <c r="I219" s="1"/>
  <c r="J220"/>
  <c r="K220"/>
  <c r="K219" s="1"/>
  <c r="G236"/>
  <c r="I236"/>
  <c r="L231"/>
  <c r="J227"/>
  <c r="I231"/>
  <c r="J223"/>
  <c r="L219"/>
  <c r="M674" i="2"/>
  <c r="M673" s="1"/>
  <c r="L674"/>
  <c r="L673" s="1"/>
  <c r="F674"/>
  <c r="F673" s="1"/>
  <c r="G674"/>
  <c r="G673" s="1"/>
  <c r="H674"/>
  <c r="H673" s="1"/>
  <c r="I674"/>
  <c r="I673" s="1"/>
  <c r="I528" s="1"/>
  <c r="J674"/>
  <c r="J673" s="1"/>
  <c r="J528" s="1"/>
  <c r="K674"/>
  <c r="K673" s="1"/>
  <c r="K528" s="1"/>
  <c r="H611"/>
  <c r="H607"/>
  <c r="M607" s="1"/>
  <c r="D544"/>
  <c r="D545"/>
  <c r="D534" s="1"/>
  <c r="G21" i="13"/>
  <c r="G20" s="1"/>
  <c r="H21"/>
  <c r="H20" s="1"/>
  <c r="I21"/>
  <c r="I20" s="1"/>
  <c r="J21"/>
  <c r="J20" s="1"/>
  <c r="D61"/>
  <c r="D60" s="1"/>
  <c r="L64"/>
  <c r="L66"/>
  <c r="F69"/>
  <c r="F71"/>
  <c r="L453" i="2"/>
  <c r="L458"/>
  <c r="L457" s="1"/>
  <c r="L369" s="1"/>
  <c r="D59" i="13"/>
  <c r="F21"/>
  <c r="F20" s="1"/>
  <c r="H28" i="6"/>
  <c r="H34"/>
  <c r="H33" s="1"/>
  <c r="H44"/>
  <c r="H48"/>
  <c r="H15" s="1"/>
  <c r="H53"/>
  <c r="H52" s="1"/>
  <c r="G462" i="2"/>
  <c r="H462"/>
  <c r="F462"/>
  <c r="D58" i="6"/>
  <c r="F58"/>
  <c r="G58"/>
  <c r="H58"/>
  <c r="I58"/>
  <c r="L58"/>
  <c r="F60"/>
  <c r="G60"/>
  <c r="H60"/>
  <c r="I60"/>
  <c r="L60"/>
  <c r="L44"/>
  <c r="F44"/>
  <c r="G44"/>
  <c r="L48"/>
  <c r="L15" s="1"/>
  <c r="F48"/>
  <c r="F15" s="1"/>
  <c r="G48"/>
  <c r="L53"/>
  <c r="L52" s="1"/>
  <c r="F53"/>
  <c r="F52" s="1"/>
  <c r="G53"/>
  <c r="G52" s="1"/>
  <c r="L64"/>
  <c r="H203"/>
  <c r="H201" s="1"/>
  <c r="G203"/>
  <c r="G144" s="1"/>
  <c r="G16" s="1"/>
  <c r="H210"/>
  <c r="G210"/>
  <c r="D612" i="2"/>
  <c r="D608"/>
  <c r="F539"/>
  <c r="G539"/>
  <c r="H539"/>
  <c r="I539"/>
  <c r="J539"/>
  <c r="K539"/>
  <c r="K533"/>
  <c r="J533"/>
  <c r="G58" i="1" s="1"/>
  <c r="I533" i="2"/>
  <c r="H533"/>
  <c r="G533"/>
  <c r="F533"/>
  <c r="C58" i="1" s="1"/>
  <c r="L533" i="2"/>
  <c r="L539"/>
  <c r="L663"/>
  <c r="L662" s="1"/>
  <c r="L690" s="1"/>
  <c r="D663"/>
  <c r="D662" s="1"/>
  <c r="K659"/>
  <c r="J659"/>
  <c r="I659"/>
  <c r="H659"/>
  <c r="H658" s="1"/>
  <c r="G659"/>
  <c r="F659"/>
  <c r="F658" s="1"/>
  <c r="L659"/>
  <c r="H116" i="3"/>
  <c r="H119"/>
  <c r="H166"/>
  <c r="H165" s="1"/>
  <c r="D183" i="9"/>
  <c r="D187"/>
  <c r="D186"/>
  <c r="D34" i="13"/>
  <c r="D43"/>
  <c r="J119"/>
  <c r="K119"/>
  <c r="D37" i="6"/>
  <c r="L137" i="9"/>
  <c r="D155"/>
  <c r="D154" s="1"/>
  <c r="D131" i="2"/>
  <c r="L87" i="6"/>
  <c r="L89"/>
  <c r="L92"/>
  <c r="L94"/>
  <c r="H99" i="13"/>
  <c r="H98" s="1"/>
  <c r="I99"/>
  <c r="J99"/>
  <c r="J98" s="1"/>
  <c r="K99"/>
  <c r="M114"/>
  <c r="M113" s="1"/>
  <c r="F114"/>
  <c r="F113" s="1"/>
  <c r="L114"/>
  <c r="L113" s="1"/>
  <c r="J34" i="6"/>
  <c r="I34"/>
  <c r="I33" s="1"/>
  <c r="G34"/>
  <c r="G33" s="1"/>
  <c r="L34"/>
  <c r="G59" i="9"/>
  <c r="F59"/>
  <c r="L59"/>
  <c r="F54"/>
  <c r="L54"/>
  <c r="K146" i="3"/>
  <c r="K145" s="1"/>
  <c r="K140" s="1"/>
  <c r="H146"/>
  <c r="H145" s="1"/>
  <c r="K172"/>
  <c r="K171" s="1"/>
  <c r="J172"/>
  <c r="H172"/>
  <c r="H171" s="1"/>
  <c r="G172"/>
  <c r="L172"/>
  <c r="L171" s="1"/>
  <c r="K162"/>
  <c r="K161" s="1"/>
  <c r="J162"/>
  <c r="F162"/>
  <c r="F161" s="1"/>
  <c r="L162"/>
  <c r="D150"/>
  <c r="D149" s="1"/>
  <c r="K150"/>
  <c r="K149" s="1"/>
  <c r="J150"/>
  <c r="J149" s="1"/>
  <c r="H150"/>
  <c r="G150"/>
  <c r="G149" s="1"/>
  <c r="F150"/>
  <c r="F149" s="1"/>
  <c r="L150"/>
  <c r="L149" s="1"/>
  <c r="D148"/>
  <c r="D147"/>
  <c r="J146"/>
  <c r="I146"/>
  <c r="G146"/>
  <c r="L146"/>
  <c r="D144"/>
  <c r="D143"/>
  <c r="G142"/>
  <c r="G141" s="1"/>
  <c r="L142"/>
  <c r="L141" s="1"/>
  <c r="I154"/>
  <c r="I153" s="1"/>
  <c r="J154"/>
  <c r="J153" s="1"/>
  <c r="K154"/>
  <c r="K153" s="1"/>
  <c r="J145"/>
  <c r="I141"/>
  <c r="H141"/>
  <c r="K141"/>
  <c r="J141"/>
  <c r="H104"/>
  <c r="H107"/>
  <c r="H80"/>
  <c r="H83"/>
  <c r="K166"/>
  <c r="K165" s="1"/>
  <c r="L161"/>
  <c r="H149"/>
  <c r="J161"/>
  <c r="L166"/>
  <c r="L165" s="1"/>
  <c r="G145"/>
  <c r="M92"/>
  <c r="M95"/>
  <c r="M119"/>
  <c r="M667" i="2"/>
  <c r="M666" s="1"/>
  <c r="H667"/>
  <c r="H666" s="1"/>
  <c r="G667"/>
  <c r="G666" s="1"/>
  <c r="F667"/>
  <c r="F666" s="1"/>
  <c r="L667"/>
  <c r="L666" s="1"/>
  <c r="K114" i="6"/>
  <c r="O108"/>
  <c r="O98"/>
  <c r="K527" i="2"/>
  <c r="L534"/>
  <c r="F534"/>
  <c r="G534"/>
  <c r="H534"/>
  <c r="I534"/>
  <c r="J534"/>
  <c r="K534"/>
  <c r="L540"/>
  <c r="I66" i="1" s="1"/>
  <c r="F540" i="2"/>
  <c r="C66" i="1" s="1"/>
  <c r="G540" i="2"/>
  <c r="D66" i="1" s="1"/>
  <c r="H540" i="2"/>
  <c r="E66" i="1" s="1"/>
  <c r="I540" i="2"/>
  <c r="F66" i="1" s="1"/>
  <c r="J540" i="2"/>
  <c r="G66" i="1" s="1"/>
  <c r="K540" i="2"/>
  <c r="H66" i="1" s="1"/>
  <c r="G543" i="2"/>
  <c r="G542" s="1"/>
  <c r="H543"/>
  <c r="H542" s="1"/>
  <c r="F543"/>
  <c r="L546"/>
  <c r="F546"/>
  <c r="G546"/>
  <c r="H546"/>
  <c r="I547"/>
  <c r="I546" s="1"/>
  <c r="I689" s="1"/>
  <c r="J547"/>
  <c r="J546" s="1"/>
  <c r="J689" s="1"/>
  <c r="K547"/>
  <c r="K546" s="1"/>
  <c r="K689" s="1"/>
  <c r="H88" i="1" s="1"/>
  <c r="D540" i="2"/>
  <c r="M543"/>
  <c r="M542" s="1"/>
  <c r="L543"/>
  <c r="L542" s="1"/>
  <c r="L330"/>
  <c r="L42" s="1"/>
  <c r="L41" s="1"/>
  <c r="L335"/>
  <c r="L328"/>
  <c r="D328" s="1"/>
  <c r="H349"/>
  <c r="H110" i="3"/>
  <c r="H112"/>
  <c r="H122"/>
  <c r="H124"/>
  <c r="F346" i="2"/>
  <c r="F345" s="1"/>
  <c r="L346"/>
  <c r="L48" s="1"/>
  <c r="H343"/>
  <c r="H340"/>
  <c r="F340"/>
  <c r="F338" s="1"/>
  <c r="L340"/>
  <c r="M343"/>
  <c r="F48"/>
  <c r="H40"/>
  <c r="D349"/>
  <c r="D348" s="1"/>
  <c r="L91" i="4"/>
  <c r="L90" s="1"/>
  <c r="F91"/>
  <c r="F90" s="1"/>
  <c r="G91"/>
  <c r="G90" s="1"/>
  <c r="H91"/>
  <c r="H90" s="1"/>
  <c r="I91"/>
  <c r="I90" s="1"/>
  <c r="J91"/>
  <c r="J90" s="1"/>
  <c r="K91"/>
  <c r="K90" s="1"/>
  <c r="H33" i="10"/>
  <c r="I33"/>
  <c r="H34"/>
  <c r="I34"/>
  <c r="D125" i="3"/>
  <c r="L21"/>
  <c r="L18" s="1"/>
  <c r="L38"/>
  <c r="L73"/>
  <c r="L75"/>
  <c r="L86"/>
  <c r="L88"/>
  <c r="L110"/>
  <c r="L112"/>
  <c r="L100"/>
  <c r="L97" s="1"/>
  <c r="L122"/>
  <c r="L124"/>
  <c r="D108"/>
  <c r="D105"/>
  <c r="D113"/>
  <c r="D120"/>
  <c r="D117"/>
  <c r="D210" i="9"/>
  <c r="D215"/>
  <c r="D214" s="1"/>
  <c r="M193"/>
  <c r="D193"/>
  <c r="F193"/>
  <c r="G193"/>
  <c r="L193"/>
  <c r="D197"/>
  <c r="F197"/>
  <c r="G197"/>
  <c r="L197"/>
  <c r="L202"/>
  <c r="L201" s="1"/>
  <c r="M210"/>
  <c r="L206"/>
  <c r="D206"/>
  <c r="F210"/>
  <c r="G210"/>
  <c r="H210"/>
  <c r="L210"/>
  <c r="F215"/>
  <c r="G215"/>
  <c r="H215"/>
  <c r="L215"/>
  <c r="L214" s="1"/>
  <c r="F442" i="2"/>
  <c r="G442"/>
  <c r="I31"/>
  <c r="H31"/>
  <c r="J31"/>
  <c r="K31"/>
  <c r="F22" i="6"/>
  <c r="L22"/>
  <c r="M131"/>
  <c r="K126"/>
  <c r="J126"/>
  <c r="J124" s="1"/>
  <c r="J123" s="1"/>
  <c r="I126"/>
  <c r="H126"/>
  <c r="H124" s="1"/>
  <c r="H123" s="1"/>
  <c r="G126"/>
  <c r="F126"/>
  <c r="F124" s="1"/>
  <c r="F123" s="1"/>
  <c r="L126"/>
  <c r="L124" s="1"/>
  <c r="L123" s="1"/>
  <c r="K136"/>
  <c r="K128" s="1"/>
  <c r="J136"/>
  <c r="J128" s="1"/>
  <c r="I136"/>
  <c r="I128" s="1"/>
  <c r="H136"/>
  <c r="H128" s="1"/>
  <c r="G136"/>
  <c r="G128" s="1"/>
  <c r="F136"/>
  <c r="L136"/>
  <c r="G119"/>
  <c r="G118" s="1"/>
  <c r="L119"/>
  <c r="L118" s="1"/>
  <c r="K117"/>
  <c r="K109" s="1"/>
  <c r="K292" s="1"/>
  <c r="J117"/>
  <c r="I117"/>
  <c r="H117"/>
  <c r="G117"/>
  <c r="F117"/>
  <c r="J114"/>
  <c r="I114"/>
  <c r="H114"/>
  <c r="G114"/>
  <c r="J113"/>
  <c r="I113"/>
  <c r="J111"/>
  <c r="K107"/>
  <c r="K105" s="1"/>
  <c r="J107"/>
  <c r="J105" s="1"/>
  <c r="I107"/>
  <c r="H107"/>
  <c r="H105" s="1"/>
  <c r="G107"/>
  <c r="F107"/>
  <c r="F105" s="1"/>
  <c r="F17" s="1"/>
  <c r="G99"/>
  <c r="H101"/>
  <c r="M101" s="1"/>
  <c r="M37" i="8"/>
  <c r="M20" s="1"/>
  <c r="D71" i="5"/>
  <c r="D74"/>
  <c r="D73" s="1"/>
  <c r="D72" s="1"/>
  <c r="D39"/>
  <c r="D14" s="1"/>
  <c r="D13" s="1"/>
  <c r="D41"/>
  <c r="D40" s="1"/>
  <c r="D46"/>
  <c r="D45" s="1"/>
  <c r="D42" s="1"/>
  <c r="L33" i="3"/>
  <c r="L16" s="1"/>
  <c r="F27"/>
  <c r="G27"/>
  <c r="G64"/>
  <c r="H27"/>
  <c r="I176" i="9"/>
  <c r="J176"/>
  <c r="J175" s="1"/>
  <c r="K176"/>
  <c r="H173"/>
  <c r="I173"/>
  <c r="I170" s="1"/>
  <c r="J173"/>
  <c r="K173"/>
  <c r="K170" s="1"/>
  <c r="H171"/>
  <c r="I171"/>
  <c r="J171"/>
  <c r="K171"/>
  <c r="L30"/>
  <c r="L26" s="1"/>
  <c r="L149"/>
  <c r="L171"/>
  <c r="L173"/>
  <c r="F101"/>
  <c r="F30"/>
  <c r="F149"/>
  <c r="F87"/>
  <c r="F89"/>
  <c r="H145"/>
  <c r="I101"/>
  <c r="I145"/>
  <c r="J101"/>
  <c r="J145"/>
  <c r="K145"/>
  <c r="L136"/>
  <c r="L180"/>
  <c r="L184"/>
  <c r="F142"/>
  <c r="F141" s="1"/>
  <c r="H136"/>
  <c r="H157"/>
  <c r="H179"/>
  <c r="I136"/>
  <c r="I157"/>
  <c r="I179"/>
  <c r="J136"/>
  <c r="J157"/>
  <c r="J179"/>
  <c r="K136"/>
  <c r="K157"/>
  <c r="K179"/>
  <c r="D84" i="3"/>
  <c r="D83" s="1"/>
  <c r="D128" i="7"/>
  <c r="J128"/>
  <c r="I128"/>
  <c r="H128"/>
  <c r="G128"/>
  <c r="F128"/>
  <c r="L128"/>
  <c r="D126"/>
  <c r="J126"/>
  <c r="I126"/>
  <c r="H126"/>
  <c r="G126"/>
  <c r="F126"/>
  <c r="L126"/>
  <c r="M123"/>
  <c r="J123"/>
  <c r="I123"/>
  <c r="H123"/>
  <c r="G123"/>
  <c r="F123"/>
  <c r="F119" s="1"/>
  <c r="L123"/>
  <c r="M120"/>
  <c r="M119" s="1"/>
  <c r="J120"/>
  <c r="I120"/>
  <c r="H120"/>
  <c r="G120"/>
  <c r="L120"/>
  <c r="L119" s="1"/>
  <c r="J48"/>
  <c r="K189" i="9"/>
  <c r="J189"/>
  <c r="J188" s="1"/>
  <c r="I189"/>
  <c r="H189"/>
  <c r="G189"/>
  <c r="G188" s="1"/>
  <c r="F189"/>
  <c r="L189"/>
  <c r="L176"/>
  <c r="L167"/>
  <c r="I167"/>
  <c r="J167"/>
  <c r="K167"/>
  <c r="F203" i="6"/>
  <c r="H206"/>
  <c r="H205" s="1"/>
  <c r="G206"/>
  <c r="F207"/>
  <c r="F210"/>
  <c r="H213"/>
  <c r="G213"/>
  <c r="G212" s="1"/>
  <c r="F214"/>
  <c r="H447" i="2"/>
  <c r="H446" s="1"/>
  <c r="L332"/>
  <c r="L329"/>
  <c r="L92" i="9"/>
  <c r="L91" s="1"/>
  <c r="F92"/>
  <c r="G92"/>
  <c r="H300"/>
  <c r="I300"/>
  <c r="J300"/>
  <c r="K300"/>
  <c r="E300"/>
  <c r="L300"/>
  <c r="F300"/>
  <c r="G300"/>
  <c r="D300"/>
  <c r="M312"/>
  <c r="M311" s="1"/>
  <c r="K312"/>
  <c r="J312"/>
  <c r="I312"/>
  <c r="H312"/>
  <c r="G312"/>
  <c r="F312"/>
  <c r="L312"/>
  <c r="D312"/>
  <c r="K311"/>
  <c r="J311"/>
  <c r="I311"/>
  <c r="H311"/>
  <c r="G311"/>
  <c r="F311"/>
  <c r="L311"/>
  <c r="D311"/>
  <c r="D203" i="2"/>
  <c r="L250"/>
  <c r="D248"/>
  <c r="F248"/>
  <c r="L248"/>
  <c r="M245"/>
  <c r="L245"/>
  <c r="M244"/>
  <c r="M242"/>
  <c r="F242"/>
  <c r="L242"/>
  <c r="F238"/>
  <c r="L238"/>
  <c r="D236"/>
  <c r="F236"/>
  <c r="L236"/>
  <c r="M233"/>
  <c r="M229" s="1"/>
  <c r="F233"/>
  <c r="L233"/>
  <c r="D233"/>
  <c r="F230"/>
  <c r="L230"/>
  <c r="L229" s="1"/>
  <c r="D226"/>
  <c r="F226"/>
  <c r="L226"/>
  <c r="F224"/>
  <c r="L224"/>
  <c r="M221"/>
  <c r="F221"/>
  <c r="L221"/>
  <c r="L218"/>
  <c r="F214"/>
  <c r="F212"/>
  <c r="L209"/>
  <c r="L214"/>
  <c r="L212"/>
  <c r="D70"/>
  <c r="D69" s="1"/>
  <c r="D224"/>
  <c r="M133" i="8"/>
  <c r="M132" s="1"/>
  <c r="M131" s="1"/>
  <c r="J106"/>
  <c r="K106"/>
  <c r="D110"/>
  <c r="E120"/>
  <c r="B66" i="1" s="1"/>
  <c r="E119" i="8"/>
  <c r="L119"/>
  <c r="L116" s="1"/>
  <c r="L115" s="1"/>
  <c r="F119"/>
  <c r="G119"/>
  <c r="G116" s="1"/>
  <c r="G115" s="1"/>
  <c r="H119"/>
  <c r="H116" s="1"/>
  <c r="H115" s="1"/>
  <c r="I119"/>
  <c r="I116" s="1"/>
  <c r="I115" s="1"/>
  <c r="J119"/>
  <c r="J116" s="1"/>
  <c r="J115" s="1"/>
  <c r="K119"/>
  <c r="E113"/>
  <c r="L113"/>
  <c r="F113"/>
  <c r="G113"/>
  <c r="H113"/>
  <c r="I113"/>
  <c r="J113"/>
  <c r="K113"/>
  <c r="L127"/>
  <c r="L126" s="1"/>
  <c r="F127"/>
  <c r="F126" s="1"/>
  <c r="G127"/>
  <c r="G126" s="1"/>
  <c r="H127"/>
  <c r="H126" s="1"/>
  <c r="I127"/>
  <c r="I126" s="1"/>
  <c r="J127"/>
  <c r="J126" s="1"/>
  <c r="K127"/>
  <c r="K126" s="1"/>
  <c r="L123"/>
  <c r="L122" s="1"/>
  <c r="L107" s="1"/>
  <c r="L105" s="1"/>
  <c r="F123"/>
  <c r="F122" s="1"/>
  <c r="F107" s="1"/>
  <c r="G123"/>
  <c r="G122" s="1"/>
  <c r="G107" s="1"/>
  <c r="G105" s="1"/>
  <c r="H123"/>
  <c r="H122" s="1"/>
  <c r="H107" s="1"/>
  <c r="H105" s="1"/>
  <c r="I123"/>
  <c r="I122" s="1"/>
  <c r="I107" s="1"/>
  <c r="J123"/>
  <c r="J122" s="1"/>
  <c r="J107" s="1"/>
  <c r="J105" s="1"/>
  <c r="K123"/>
  <c r="K122" s="1"/>
  <c r="K107" s="1"/>
  <c r="K105" s="1"/>
  <c r="K110"/>
  <c r="G110"/>
  <c r="G109" s="1"/>
  <c r="G108" s="1"/>
  <c r="I110"/>
  <c r="L110"/>
  <c r="E110"/>
  <c r="J110"/>
  <c r="H110"/>
  <c r="F110"/>
  <c r="M81" i="4"/>
  <c r="M80" s="1"/>
  <c r="I26" i="3"/>
  <c r="I25" s="1"/>
  <c r="G41"/>
  <c r="F88"/>
  <c r="L83"/>
  <c r="F80"/>
  <c r="F83"/>
  <c r="B130" i="1"/>
  <c r="B142"/>
  <c r="D237" i="6"/>
  <c r="D232"/>
  <c r="D92" i="3"/>
  <c r="D366" i="2"/>
  <c r="D332"/>
  <c r="M86" i="4"/>
  <c r="M85" s="1"/>
  <c r="M30" i="13"/>
  <c r="M265" i="6"/>
  <c r="M76"/>
  <c r="M64" i="5"/>
  <c r="M63" s="1"/>
  <c r="M62" s="1"/>
  <c r="L14"/>
  <c r="L13" s="1"/>
  <c r="M659" i="2"/>
  <c r="M658" s="1"/>
  <c r="M640"/>
  <c r="M639" s="1"/>
  <c r="M638" s="1"/>
  <c r="M636"/>
  <c r="M635" s="1"/>
  <c r="M634" s="1"/>
  <c r="M629"/>
  <c r="M628"/>
  <c r="M621"/>
  <c r="M596"/>
  <c r="M595" s="1"/>
  <c r="M594" s="1"/>
  <c r="M330"/>
  <c r="M329" s="1"/>
  <c r="M328"/>
  <c r="M326" s="1"/>
  <c r="M355"/>
  <c r="M206"/>
  <c r="M81"/>
  <c r="M80" s="1"/>
  <c r="L28" i="6"/>
  <c r="I28"/>
  <c r="G143"/>
  <c r="D76" i="3"/>
  <c r="L580" i="2"/>
  <c r="L579" s="1"/>
  <c r="M409"/>
  <c r="L115"/>
  <c r="L114" s="1"/>
  <c r="M149"/>
  <c r="D38" i="13"/>
  <c r="J33" i="6"/>
  <c r="I39"/>
  <c r="I38" s="1"/>
  <c r="J39"/>
  <c r="J38" s="1"/>
  <c r="H30" i="10" s="1"/>
  <c r="K39" i="6"/>
  <c r="K38" s="1"/>
  <c r="I30" i="10" s="1"/>
  <c r="L180" i="6"/>
  <c r="L148" s="1"/>
  <c r="D180"/>
  <c r="D148" s="1"/>
  <c r="L187"/>
  <c r="D187"/>
  <c r="D156" s="1"/>
  <c r="L253"/>
  <c r="L252" s="1"/>
  <c r="L243" s="1"/>
  <c r="L95" i="3"/>
  <c r="L92"/>
  <c r="G88"/>
  <c r="H88"/>
  <c r="G83"/>
  <c r="G80"/>
  <c r="I54" i="7"/>
  <c r="J54"/>
  <c r="I52"/>
  <c r="J52"/>
  <c r="I49"/>
  <c r="J49"/>
  <c r="I46"/>
  <c r="F30"/>
  <c r="F29" s="1"/>
  <c r="F237" i="6"/>
  <c r="L237"/>
  <c r="L235"/>
  <c r="F235"/>
  <c r="M232"/>
  <c r="F232"/>
  <c r="L232"/>
  <c r="F230"/>
  <c r="M230" s="1"/>
  <c r="L230"/>
  <c r="K124" i="3"/>
  <c r="K121" s="1"/>
  <c r="J124"/>
  <c r="G124"/>
  <c r="F124"/>
  <c r="K122"/>
  <c r="J122"/>
  <c r="G122"/>
  <c r="G121" s="1"/>
  <c r="F122"/>
  <c r="K119"/>
  <c r="J119"/>
  <c r="G119"/>
  <c r="F119"/>
  <c r="L119"/>
  <c r="K116"/>
  <c r="K115" s="1"/>
  <c r="J116"/>
  <c r="G116"/>
  <c r="F116"/>
  <c r="L116"/>
  <c r="L55" i="2"/>
  <c r="L54" s="1"/>
  <c r="L69"/>
  <c r="L68" s="1"/>
  <c r="L81"/>
  <c r="L80" s="1"/>
  <c r="L93"/>
  <c r="L92" s="1"/>
  <c r="L105"/>
  <c r="L104" s="1"/>
  <c r="M173"/>
  <c r="M185"/>
  <c r="M181" s="1"/>
  <c r="M182"/>
  <c r="F139" i="9"/>
  <c r="K154"/>
  <c r="K151" s="1"/>
  <c r="J154"/>
  <c r="J151" s="1"/>
  <c r="I154"/>
  <c r="I151" s="1"/>
  <c r="H154"/>
  <c r="H151" s="1"/>
  <c r="F154"/>
  <c r="F151" s="1"/>
  <c r="K142"/>
  <c r="K141" s="1"/>
  <c r="J142"/>
  <c r="J141" s="1"/>
  <c r="I142"/>
  <c r="I141" s="1"/>
  <c r="H142"/>
  <c r="G142"/>
  <c r="G141" s="1"/>
  <c r="L142"/>
  <c r="L556" i="2"/>
  <c r="L555" s="1"/>
  <c r="G348"/>
  <c r="G345"/>
  <c r="H345"/>
  <c r="G338"/>
  <c r="G337" s="1"/>
  <c r="G342"/>
  <c r="H342"/>
  <c r="H338"/>
  <c r="M340"/>
  <c r="M338" s="1"/>
  <c r="G658"/>
  <c r="L658"/>
  <c r="F650"/>
  <c r="G650"/>
  <c r="H650"/>
  <c r="L650"/>
  <c r="H564"/>
  <c r="H563"/>
  <c r="M620"/>
  <c r="H50" i="13"/>
  <c r="M50" s="1"/>
  <c r="H56"/>
  <c r="J112" i="3"/>
  <c r="K23" i="13"/>
  <c r="I16"/>
  <c r="J16"/>
  <c r="K16"/>
  <c r="I14"/>
  <c r="I12" s="1"/>
  <c r="I11" s="1"/>
  <c r="J14"/>
  <c r="J12" s="1"/>
  <c r="K14"/>
  <c r="K12" s="1"/>
  <c r="L42"/>
  <c r="F42"/>
  <c r="F41" s="1"/>
  <c r="G42"/>
  <c r="H42"/>
  <c r="I42"/>
  <c r="L37"/>
  <c r="F37"/>
  <c r="G37"/>
  <c r="H37"/>
  <c r="L39"/>
  <c r="F39"/>
  <c r="G39"/>
  <c r="H39"/>
  <c r="F33"/>
  <c r="G33"/>
  <c r="H33"/>
  <c r="L33"/>
  <c r="L30"/>
  <c r="F30"/>
  <c r="G30"/>
  <c r="L28"/>
  <c r="F28"/>
  <c r="G28"/>
  <c r="G47" i="9"/>
  <c r="F47"/>
  <c r="F44" s="1"/>
  <c r="L130" i="2"/>
  <c r="D71" i="3"/>
  <c r="D70"/>
  <c r="D65"/>
  <c r="F69"/>
  <c r="G69"/>
  <c r="D66"/>
  <c r="L64"/>
  <c r="F64"/>
  <c r="F75"/>
  <c r="G75"/>
  <c r="F73"/>
  <c r="F72" s="1"/>
  <c r="O72" s="1"/>
  <c r="G73"/>
  <c r="G72" s="1"/>
  <c r="F36" i="8"/>
  <c r="G36"/>
  <c r="F34"/>
  <c r="G34"/>
  <c r="G33" s="1"/>
  <c r="E16" i="10" s="1"/>
  <c r="G41" i="8"/>
  <c r="G39"/>
  <c r="G38" s="1"/>
  <c r="E17" i="10" s="1"/>
  <c r="D40" i="8"/>
  <c r="D25" s="1"/>
  <c r="L308" i="9"/>
  <c r="L307" s="1"/>
  <c r="F308"/>
  <c r="F307" s="1"/>
  <c r="G308"/>
  <c r="G307" s="1"/>
  <c r="L437" i="2"/>
  <c r="H610"/>
  <c r="H609" s="1"/>
  <c r="H689" s="1"/>
  <c r="G602"/>
  <c r="G601" s="1"/>
  <c r="G564"/>
  <c r="G563" s="1"/>
  <c r="D648"/>
  <c r="D647" s="1"/>
  <c r="D646" s="1"/>
  <c r="L647"/>
  <c r="L646" s="1"/>
  <c r="K372"/>
  <c r="L366"/>
  <c r="F366"/>
  <c r="G366"/>
  <c r="H366"/>
  <c r="I366"/>
  <c r="J366"/>
  <c r="J15" s="1"/>
  <c r="K366"/>
  <c r="J364"/>
  <c r="J363" s="1"/>
  <c r="H27" i="10" s="1"/>
  <c r="F202" i="2"/>
  <c r="L202"/>
  <c r="D201"/>
  <c r="D200" s="1"/>
  <c r="M197"/>
  <c r="F197"/>
  <c r="L197"/>
  <c r="D196"/>
  <c r="D194" s="1"/>
  <c r="M194"/>
  <c r="F194"/>
  <c r="L194"/>
  <c r="F190"/>
  <c r="L190"/>
  <c r="D189"/>
  <c r="D188" s="1"/>
  <c r="L185"/>
  <c r="D184"/>
  <c r="F182"/>
  <c r="L182"/>
  <c r="F178"/>
  <c r="D177"/>
  <c r="F173"/>
  <c r="L173"/>
  <c r="D172"/>
  <c r="F170"/>
  <c r="L170"/>
  <c r="F166"/>
  <c r="F161"/>
  <c r="F158"/>
  <c r="L166"/>
  <c r="L163" s="1"/>
  <c r="D165"/>
  <c r="D164" s="1"/>
  <c r="M161"/>
  <c r="L161"/>
  <c r="D160"/>
  <c r="M158"/>
  <c r="L158"/>
  <c r="H432"/>
  <c r="G432"/>
  <c r="G431" s="1"/>
  <c r="F432"/>
  <c r="F431" s="1"/>
  <c r="L432"/>
  <c r="M429"/>
  <c r="G429"/>
  <c r="F429"/>
  <c r="L429"/>
  <c r="M427"/>
  <c r="M426" s="1"/>
  <c r="G427"/>
  <c r="F427"/>
  <c r="L427"/>
  <c r="H423"/>
  <c r="F423"/>
  <c r="G423"/>
  <c r="F420"/>
  <c r="G420"/>
  <c r="F418"/>
  <c r="F417" s="1"/>
  <c r="G418"/>
  <c r="L423"/>
  <c r="M420"/>
  <c r="L420"/>
  <c r="M418"/>
  <c r="L418"/>
  <c r="F414"/>
  <c r="L414"/>
  <c r="L411"/>
  <c r="L409"/>
  <c r="F405"/>
  <c r="F404" s="1"/>
  <c r="M402"/>
  <c r="M400"/>
  <c r="L400"/>
  <c r="M647"/>
  <c r="M646" s="1"/>
  <c r="F647"/>
  <c r="F646" s="1"/>
  <c r="F388"/>
  <c r="F387" s="1"/>
  <c r="F396"/>
  <c r="M388"/>
  <c r="F384"/>
  <c r="F383" s="1"/>
  <c r="L381"/>
  <c r="L379"/>
  <c r="D394"/>
  <c r="D372"/>
  <c r="D371" s="1"/>
  <c r="H54" i="8"/>
  <c r="I54"/>
  <c r="J54"/>
  <c r="K54"/>
  <c r="H51"/>
  <c r="H50" s="1"/>
  <c r="I51"/>
  <c r="J51"/>
  <c r="J50" s="1"/>
  <c r="K51"/>
  <c r="H48"/>
  <c r="I48"/>
  <c r="J48"/>
  <c r="K48"/>
  <c r="H45"/>
  <c r="H44" s="1"/>
  <c r="I45"/>
  <c r="J45"/>
  <c r="K45"/>
  <c r="D210" i="6"/>
  <c r="D209" s="1"/>
  <c r="L18" i="5"/>
  <c r="L16" s="1"/>
  <c r="F18"/>
  <c r="F16" s="1"/>
  <c r="F12" s="1"/>
  <c r="G18"/>
  <c r="G16" s="1"/>
  <c r="H18"/>
  <c r="I18"/>
  <c r="I16" s="1"/>
  <c r="J18"/>
  <c r="K18"/>
  <c r="K16" s="1"/>
  <c r="L24"/>
  <c r="L22" s="1"/>
  <c r="L19" s="1"/>
  <c r="F24"/>
  <c r="G24"/>
  <c r="G22" s="1"/>
  <c r="G19" s="1"/>
  <c r="H24"/>
  <c r="I24"/>
  <c r="J24"/>
  <c r="J22" s="1"/>
  <c r="J19" s="1"/>
  <c r="K24"/>
  <c r="K22" s="1"/>
  <c r="K19" s="1"/>
  <c r="K21" i="13"/>
  <c r="K20" s="1"/>
  <c r="K19" s="1"/>
  <c r="I9"/>
  <c r="J9"/>
  <c r="K9"/>
  <c r="I58"/>
  <c r="I60"/>
  <c r="L58"/>
  <c r="F58"/>
  <c r="G58"/>
  <c r="H58"/>
  <c r="L60"/>
  <c r="F60"/>
  <c r="G60"/>
  <c r="H60"/>
  <c r="L143" i="6"/>
  <c r="H194"/>
  <c r="G194"/>
  <c r="F194"/>
  <c r="F193" s="1"/>
  <c r="F192" s="1"/>
  <c r="H198"/>
  <c r="H302" s="1"/>
  <c r="G198"/>
  <c r="G302" s="1"/>
  <c r="F198"/>
  <c r="M70" i="5"/>
  <c r="M69" s="1"/>
  <c r="F217" i="6"/>
  <c r="M342" i="2"/>
  <c r="E303" i="6"/>
  <c r="E306" s="1"/>
  <c r="J302"/>
  <c r="J301"/>
  <c r="I302"/>
  <c r="I301"/>
  <c r="F301"/>
  <c r="F226"/>
  <c r="L224"/>
  <c r="F221"/>
  <c r="L221"/>
  <c r="F447" i="2"/>
  <c r="F446" s="1"/>
  <c r="G447"/>
  <c r="L447"/>
  <c r="L446" s="1"/>
  <c r="L348"/>
  <c r="F348"/>
  <c r="L342"/>
  <c r="F342"/>
  <c r="L345"/>
  <c r="L338"/>
  <c r="D327"/>
  <c r="F317"/>
  <c r="F314"/>
  <c r="D183" i="6"/>
  <c r="G201"/>
  <c r="L201"/>
  <c r="I201"/>
  <c r="J201"/>
  <c r="K201"/>
  <c r="L209"/>
  <c r="G209"/>
  <c r="H209"/>
  <c r="I209"/>
  <c r="J209"/>
  <c r="K209"/>
  <c r="H143"/>
  <c r="I143"/>
  <c r="J143"/>
  <c r="K143"/>
  <c r="L144"/>
  <c r="H144"/>
  <c r="I144"/>
  <c r="I16" s="1"/>
  <c r="J144"/>
  <c r="J16" s="1"/>
  <c r="K144"/>
  <c r="K16" s="1"/>
  <c r="L147"/>
  <c r="I147"/>
  <c r="I304" s="1"/>
  <c r="J147"/>
  <c r="K147"/>
  <c r="F148"/>
  <c r="G148"/>
  <c r="H148"/>
  <c r="I148"/>
  <c r="J148"/>
  <c r="K148"/>
  <c r="L149"/>
  <c r="G149"/>
  <c r="H149"/>
  <c r="I149"/>
  <c r="J149"/>
  <c r="K149"/>
  <c r="L152"/>
  <c r="L23" s="1"/>
  <c r="L21" s="1"/>
  <c r="G152"/>
  <c r="G151" s="1"/>
  <c r="H152"/>
  <c r="H23" s="1"/>
  <c r="I152"/>
  <c r="J152"/>
  <c r="J23" s="1"/>
  <c r="K152"/>
  <c r="L155"/>
  <c r="I155"/>
  <c r="J155"/>
  <c r="K155"/>
  <c r="F156"/>
  <c r="G156"/>
  <c r="H156"/>
  <c r="I156"/>
  <c r="J156"/>
  <c r="K156"/>
  <c r="L157"/>
  <c r="G157"/>
  <c r="H157"/>
  <c r="I157"/>
  <c r="J157"/>
  <c r="K157"/>
  <c r="L174"/>
  <c r="F174"/>
  <c r="G174"/>
  <c r="H174"/>
  <c r="I174"/>
  <c r="J174"/>
  <c r="K174"/>
  <c r="F178"/>
  <c r="F177" s="1"/>
  <c r="G178"/>
  <c r="H178"/>
  <c r="H177" s="1"/>
  <c r="I178"/>
  <c r="I177" s="1"/>
  <c r="I173" s="1"/>
  <c r="J178"/>
  <c r="J177" s="1"/>
  <c r="J173" s="1"/>
  <c r="K178"/>
  <c r="K177" s="1"/>
  <c r="K173" s="1"/>
  <c r="D176"/>
  <c r="D175"/>
  <c r="L182"/>
  <c r="F182"/>
  <c r="G182"/>
  <c r="H182"/>
  <c r="I182"/>
  <c r="J182"/>
  <c r="K182"/>
  <c r="F185"/>
  <c r="F184" s="1"/>
  <c r="F181" s="1"/>
  <c r="G185"/>
  <c r="G184" s="1"/>
  <c r="H185"/>
  <c r="I185"/>
  <c r="I184" s="1"/>
  <c r="J185"/>
  <c r="K185"/>
  <c r="K184" s="1"/>
  <c r="L190"/>
  <c r="F190"/>
  <c r="G190"/>
  <c r="H190"/>
  <c r="I190"/>
  <c r="J190"/>
  <c r="K190"/>
  <c r="D191"/>
  <c r="L193"/>
  <c r="L192" s="1"/>
  <c r="L189" s="1"/>
  <c r="I193"/>
  <c r="I192" s="1"/>
  <c r="J193"/>
  <c r="J192" s="1"/>
  <c r="K193"/>
  <c r="K192" s="1"/>
  <c r="L197"/>
  <c r="L196" s="1"/>
  <c r="L195" s="1"/>
  <c r="I197"/>
  <c r="I196" s="1"/>
  <c r="I195" s="1"/>
  <c r="J197"/>
  <c r="J196" s="1"/>
  <c r="J195" s="1"/>
  <c r="K197"/>
  <c r="K196" s="1"/>
  <c r="K195" s="1"/>
  <c r="D202"/>
  <c r="L205"/>
  <c r="I205"/>
  <c r="I204" s="1"/>
  <c r="J205"/>
  <c r="J204" s="1"/>
  <c r="K205"/>
  <c r="K204" s="1"/>
  <c r="L212"/>
  <c r="L211" s="1"/>
  <c r="I212"/>
  <c r="I211" s="1"/>
  <c r="J212"/>
  <c r="J211" s="1"/>
  <c r="K212"/>
  <c r="K211" s="1"/>
  <c r="I108" i="9"/>
  <c r="K98" i="13"/>
  <c r="I98"/>
  <c r="G110"/>
  <c r="G109" s="1"/>
  <c r="G99" s="1"/>
  <c r="F110"/>
  <c r="F109" s="1"/>
  <c r="F606" i="2"/>
  <c r="F605" s="1"/>
  <c r="L110" i="13"/>
  <c r="L109" s="1"/>
  <c r="M110"/>
  <c r="M109" s="1"/>
  <c r="H107"/>
  <c r="H106" s="1"/>
  <c r="H105" s="1"/>
  <c r="G107"/>
  <c r="G106" s="1"/>
  <c r="G105" s="1"/>
  <c r="F107"/>
  <c r="F106" s="1"/>
  <c r="F105" s="1"/>
  <c r="L107"/>
  <c r="L106" s="1"/>
  <c r="L105" s="1"/>
  <c r="D107"/>
  <c r="D106" s="1"/>
  <c r="D105" s="1"/>
  <c r="H104"/>
  <c r="G104"/>
  <c r="F104"/>
  <c r="L104"/>
  <c r="D104"/>
  <c r="D110"/>
  <c r="D109" s="1"/>
  <c r="F38" i="5"/>
  <c r="G38"/>
  <c r="F40"/>
  <c r="G40"/>
  <c r="F43"/>
  <c r="K523" i="2"/>
  <c r="K522" s="1"/>
  <c r="J523"/>
  <c r="J522" s="1"/>
  <c r="I523"/>
  <c r="I522" s="1"/>
  <c r="K520"/>
  <c r="J520"/>
  <c r="I520"/>
  <c r="K518"/>
  <c r="J518"/>
  <c r="I518"/>
  <c r="K530"/>
  <c r="K529" s="1"/>
  <c r="K267" i="6"/>
  <c r="K266" s="1"/>
  <c r="K305" i="9"/>
  <c r="J267" i="6"/>
  <c r="J266" s="1"/>
  <c r="I267"/>
  <c r="I266" s="1"/>
  <c r="I305" i="9"/>
  <c r="I304" s="1"/>
  <c r="I303" s="1"/>
  <c r="K263" i="6"/>
  <c r="K262" s="1"/>
  <c r="J263"/>
  <c r="J262" s="1"/>
  <c r="I263"/>
  <c r="I262" s="1"/>
  <c r="I86" i="4"/>
  <c r="I85" s="1"/>
  <c r="J86"/>
  <c r="J85" s="1"/>
  <c r="K86"/>
  <c r="K85" s="1"/>
  <c r="H86"/>
  <c r="H85" s="1"/>
  <c r="G86"/>
  <c r="G85" s="1"/>
  <c r="F86"/>
  <c r="F85" s="1"/>
  <c r="L86"/>
  <c r="L85" s="1"/>
  <c r="K76"/>
  <c r="K75" s="1"/>
  <c r="J76"/>
  <c r="J75" s="1"/>
  <c r="I76"/>
  <c r="I75" s="1"/>
  <c r="K68"/>
  <c r="K67" s="1"/>
  <c r="J68"/>
  <c r="J67" s="1"/>
  <c r="I68"/>
  <c r="I67" s="1"/>
  <c r="O571" i="2"/>
  <c r="D576"/>
  <c r="D575" s="1"/>
  <c r="I38" i="5"/>
  <c r="I40"/>
  <c r="I37" s="1"/>
  <c r="I45"/>
  <c r="I42" s="1"/>
  <c r="I146" s="1"/>
  <c r="J146"/>
  <c r="J148" s="1"/>
  <c r="K146"/>
  <c r="I49"/>
  <c r="J49"/>
  <c r="K49"/>
  <c r="I52"/>
  <c r="I51" s="1"/>
  <c r="J52"/>
  <c r="J51" s="1"/>
  <c r="H42" i="10" s="1"/>
  <c r="K52" i="5"/>
  <c r="K51" s="1"/>
  <c r="I56"/>
  <c r="I55" s="1"/>
  <c r="J56"/>
  <c r="J55" s="1"/>
  <c r="K56"/>
  <c r="K55" s="1"/>
  <c r="I59"/>
  <c r="J59"/>
  <c r="K59"/>
  <c r="I105"/>
  <c r="I103" s="1"/>
  <c r="J105"/>
  <c r="K105"/>
  <c r="K103" s="1"/>
  <c r="I111"/>
  <c r="J111"/>
  <c r="K111"/>
  <c r="I107"/>
  <c r="J107"/>
  <c r="K107"/>
  <c r="I117"/>
  <c r="I113" s="1"/>
  <c r="J117"/>
  <c r="J113" s="1"/>
  <c r="K117"/>
  <c r="K113" s="1"/>
  <c r="I129"/>
  <c r="J129"/>
  <c r="K129"/>
  <c r="I135"/>
  <c r="J135"/>
  <c r="K135"/>
  <c r="I142"/>
  <c r="I141" s="1"/>
  <c r="J142"/>
  <c r="J141"/>
  <c r="K142"/>
  <c r="K141"/>
  <c r="I63"/>
  <c r="J63"/>
  <c r="K63"/>
  <c r="I66"/>
  <c r="I65" s="1"/>
  <c r="J66"/>
  <c r="J65" s="1"/>
  <c r="K66"/>
  <c r="K65" s="1"/>
  <c r="H66"/>
  <c r="G66"/>
  <c r="F66"/>
  <c r="F65" s="1"/>
  <c r="L66"/>
  <c r="L65" s="1"/>
  <c r="H65"/>
  <c r="G65"/>
  <c r="H63"/>
  <c r="G63"/>
  <c r="F63"/>
  <c r="L63"/>
  <c r="L62" s="1"/>
  <c r="F105"/>
  <c r="G105"/>
  <c r="G103" s="1"/>
  <c r="H105"/>
  <c r="H305" i="9"/>
  <c r="H304" s="1"/>
  <c r="H303" s="1"/>
  <c r="J305"/>
  <c r="J304" s="1"/>
  <c r="J303" s="1"/>
  <c r="G305"/>
  <c r="G304" s="1"/>
  <c r="G303" s="1"/>
  <c r="I307"/>
  <c r="I297" s="1"/>
  <c r="J307"/>
  <c r="J297" s="1"/>
  <c r="K307"/>
  <c r="J108"/>
  <c r="J105" s="1"/>
  <c r="J326" s="1"/>
  <c r="K108"/>
  <c r="F86" i="3"/>
  <c r="D86"/>
  <c r="D98"/>
  <c r="D95"/>
  <c r="F150" i="1"/>
  <c r="G150"/>
  <c r="H150"/>
  <c r="F142"/>
  <c r="G142"/>
  <c r="H142"/>
  <c r="F130"/>
  <c r="G130"/>
  <c r="H130"/>
  <c r="I130"/>
  <c r="C130"/>
  <c r="C140" s="1"/>
  <c r="D130"/>
  <c r="E130"/>
  <c r="E140" s="1"/>
  <c r="I142"/>
  <c r="C142"/>
  <c r="D142"/>
  <c r="E142"/>
  <c r="B150"/>
  <c r="I150"/>
  <c r="C150"/>
  <c r="D150"/>
  <c r="E150"/>
  <c r="J150"/>
  <c r="J130"/>
  <c r="J142"/>
  <c r="K138" i="6"/>
  <c r="K137" s="1"/>
  <c r="J138"/>
  <c r="J137" s="1"/>
  <c r="I138"/>
  <c r="I137" s="1"/>
  <c r="K119"/>
  <c r="K118" s="1"/>
  <c r="J119"/>
  <c r="J118" s="1"/>
  <c r="J23" i="13"/>
  <c r="I301" i="9"/>
  <c r="F55" i="1" s="1"/>
  <c r="J301" i="9"/>
  <c r="G55" i="1" s="1"/>
  <c r="K301" i="9"/>
  <c r="H55" i="1" s="1"/>
  <c r="I302" i="9"/>
  <c r="I299" s="1"/>
  <c r="I298" s="1"/>
  <c r="J302"/>
  <c r="K302"/>
  <c r="K299" s="1"/>
  <c r="K298" s="1"/>
  <c r="I15" i="7"/>
  <c r="J15"/>
  <c r="K15"/>
  <c r="J21"/>
  <c r="J17" s="1"/>
  <c r="F59" i="1"/>
  <c r="H58"/>
  <c r="F61"/>
  <c r="F60" s="1"/>
  <c r="H61"/>
  <c r="H60" s="1"/>
  <c r="G64"/>
  <c r="F65"/>
  <c r="G65"/>
  <c r="F69"/>
  <c r="F68" s="1"/>
  <c r="G69"/>
  <c r="G68" s="1"/>
  <c r="H69"/>
  <c r="H68" s="1"/>
  <c r="I81" i="4"/>
  <c r="I80" s="1"/>
  <c r="J81"/>
  <c r="J80" s="1"/>
  <c r="K81"/>
  <c r="K80" s="1"/>
  <c r="I14" i="5"/>
  <c r="J14"/>
  <c r="K14"/>
  <c r="K13" s="1"/>
  <c r="G61" i="1"/>
  <c r="G60" s="1"/>
  <c r="J47" i="4"/>
  <c r="K112" i="3"/>
  <c r="J110"/>
  <c r="J109" s="1"/>
  <c r="K110"/>
  <c r="I107"/>
  <c r="J107"/>
  <c r="K107"/>
  <c r="I104"/>
  <c r="J104"/>
  <c r="K104"/>
  <c r="I467" i="2"/>
  <c r="J467"/>
  <c r="K467"/>
  <c r="I468"/>
  <c r="I14"/>
  <c r="J468"/>
  <c r="J14"/>
  <c r="K468"/>
  <c r="I469"/>
  <c r="J469"/>
  <c r="J16"/>
  <c r="K469"/>
  <c r="I471"/>
  <c r="J471"/>
  <c r="J20"/>
  <c r="K471"/>
  <c r="I472"/>
  <c r="I21" s="1"/>
  <c r="J472"/>
  <c r="J21" s="1"/>
  <c r="K472"/>
  <c r="K21" s="1"/>
  <c r="I475"/>
  <c r="I24" s="1"/>
  <c r="J475"/>
  <c r="J24" s="1"/>
  <c r="K475"/>
  <c r="I476"/>
  <c r="J476"/>
  <c r="K476"/>
  <c r="I478"/>
  <c r="J478"/>
  <c r="K478"/>
  <c r="I479"/>
  <c r="I33" s="1"/>
  <c r="J479"/>
  <c r="K479"/>
  <c r="K33" s="1"/>
  <c r="I510"/>
  <c r="I509" s="1"/>
  <c r="J510"/>
  <c r="K510"/>
  <c r="I512"/>
  <c r="J512"/>
  <c r="J19" s="1"/>
  <c r="K512"/>
  <c r="I515"/>
  <c r="I514" s="1"/>
  <c r="I513" s="1"/>
  <c r="J515"/>
  <c r="J514" s="1"/>
  <c r="J513" s="1"/>
  <c r="K515"/>
  <c r="K514" s="1"/>
  <c r="K513" s="1"/>
  <c r="K17"/>
  <c r="K27"/>
  <c r="K30"/>
  <c r="I17"/>
  <c r="J17"/>
  <c r="G22" i="1" s="1"/>
  <c r="I28" i="2"/>
  <c r="J28"/>
  <c r="I30"/>
  <c r="K28"/>
  <c r="F110" i="3"/>
  <c r="G110"/>
  <c r="F112"/>
  <c r="G112"/>
  <c r="G109" s="1"/>
  <c r="F107"/>
  <c r="G107"/>
  <c r="F104"/>
  <c r="G104"/>
  <c r="M123" i="6"/>
  <c r="M105"/>
  <c r="H138"/>
  <c r="H137" s="1"/>
  <c r="G138"/>
  <c r="G137" s="1"/>
  <c r="F138"/>
  <c r="F137" s="1"/>
  <c r="L138"/>
  <c r="L137" s="1"/>
  <c r="H119"/>
  <c r="H118" s="1"/>
  <c r="F119"/>
  <c r="F118" s="1"/>
  <c r="F47" i="4"/>
  <c r="M78" i="13"/>
  <c r="M125" i="8"/>
  <c r="M123" s="1"/>
  <c r="M122" s="1"/>
  <c r="M114"/>
  <c r="M49" i="7"/>
  <c r="M61"/>
  <c r="M73"/>
  <c r="M85"/>
  <c r="M111"/>
  <c r="M108"/>
  <c r="M107" s="1"/>
  <c r="M82"/>
  <c r="M81" s="1"/>
  <c r="M70"/>
  <c r="M69" s="1"/>
  <c r="M15"/>
  <c r="M89" i="6"/>
  <c r="M87"/>
  <c r="M67"/>
  <c r="M488" i="2"/>
  <c r="M589"/>
  <c r="M588"/>
  <c r="M587" s="1"/>
  <c r="M586" s="1"/>
  <c r="M580"/>
  <c r="M579" s="1"/>
  <c r="M574"/>
  <c r="M573"/>
  <c r="M568"/>
  <c r="M567" s="1"/>
  <c r="M521"/>
  <c r="M520" s="1"/>
  <c r="M519"/>
  <c r="M518" s="1"/>
  <c r="M503"/>
  <c r="M502" s="1"/>
  <c r="M501"/>
  <c r="M500" s="1"/>
  <c r="M487"/>
  <c r="M483"/>
  <c r="M485"/>
  <c r="M484"/>
  <c r="M317"/>
  <c r="M313" s="1"/>
  <c r="M134"/>
  <c r="M130"/>
  <c r="M119"/>
  <c r="M115"/>
  <c r="M107"/>
  <c r="M105"/>
  <c r="M96"/>
  <c r="M72"/>
  <c r="M58"/>
  <c r="K119" i="1"/>
  <c r="K120"/>
  <c r="K121"/>
  <c r="K122"/>
  <c r="K124"/>
  <c r="K125"/>
  <c r="M78" i="6"/>
  <c r="M75" s="1"/>
  <c r="M93" i="2"/>
  <c r="M92" s="1"/>
  <c r="K130" i="1"/>
  <c r="M316" i="9"/>
  <c r="M315" s="1"/>
  <c r="M30"/>
  <c r="M142" i="5"/>
  <c r="M141" s="1"/>
  <c r="M56"/>
  <c r="M55" s="1"/>
  <c r="M49"/>
  <c r="M48" s="1"/>
  <c r="M40"/>
  <c r="M132"/>
  <c r="M129"/>
  <c r="M128"/>
  <c r="M122"/>
  <c r="M121"/>
  <c r="M120" s="1"/>
  <c r="M104"/>
  <c r="M38"/>
  <c r="M37" i="3"/>
  <c r="M31"/>
  <c r="I59" i="1"/>
  <c r="M308" i="9"/>
  <c r="M307" s="1"/>
  <c r="M25" i="7"/>
  <c r="M24" s="1"/>
  <c r="F39" i="8"/>
  <c r="F38" s="1"/>
  <c r="D17" i="10" s="1"/>
  <c r="H108" i="9"/>
  <c r="G108"/>
  <c r="F108"/>
  <c r="F105" s="1"/>
  <c r="L108"/>
  <c r="L384" i="2"/>
  <c r="D469"/>
  <c r="L317"/>
  <c r="L322"/>
  <c r="L314"/>
  <c r="L313" s="1"/>
  <c r="G45" i="8"/>
  <c r="G48"/>
  <c r="G51"/>
  <c r="G54"/>
  <c r="L46"/>
  <c r="L13" s="1"/>
  <c r="L154" i="2"/>
  <c r="L149"/>
  <c r="L146"/>
  <c r="D153"/>
  <c r="D148"/>
  <c r="L134"/>
  <c r="L138"/>
  <c r="L141"/>
  <c r="D142"/>
  <c r="D139"/>
  <c r="D138" s="1"/>
  <c r="L122"/>
  <c r="L125"/>
  <c r="D118"/>
  <c r="D117"/>
  <c r="D59" i="5"/>
  <c r="D58" s="1"/>
  <c r="H59"/>
  <c r="H58" s="1"/>
  <c r="G59"/>
  <c r="G58" s="1"/>
  <c r="F59"/>
  <c r="F58" s="1"/>
  <c r="L59"/>
  <c r="L58" s="1"/>
  <c r="D56"/>
  <c r="D55" s="1"/>
  <c r="H56"/>
  <c r="G56"/>
  <c r="F56"/>
  <c r="L56"/>
  <c r="L55" s="1"/>
  <c r="E301" i="9"/>
  <c r="F301"/>
  <c r="G301"/>
  <c r="D55" i="1" s="1"/>
  <c r="H301" i="9"/>
  <c r="H307"/>
  <c r="H296" s="1"/>
  <c r="H316"/>
  <c r="H315" s="1"/>
  <c r="G316"/>
  <c r="G315" s="1"/>
  <c r="F316"/>
  <c r="F315" s="1"/>
  <c r="H319"/>
  <c r="H318" s="1"/>
  <c r="G319"/>
  <c r="G318" s="1"/>
  <c r="F319"/>
  <c r="L610" i="2"/>
  <c r="L609" s="1"/>
  <c r="F610"/>
  <c r="F609" s="1"/>
  <c r="H66" i="7"/>
  <c r="H64"/>
  <c r="H61"/>
  <c r="H58"/>
  <c r="G66"/>
  <c r="G64"/>
  <c r="G61"/>
  <c r="G58"/>
  <c r="H78"/>
  <c r="H76"/>
  <c r="H70"/>
  <c r="H69" s="1"/>
  <c r="G76"/>
  <c r="G75" s="1"/>
  <c r="G70"/>
  <c r="G69" s="1"/>
  <c r="H116"/>
  <c r="H114"/>
  <c r="H111"/>
  <c r="H108"/>
  <c r="G116"/>
  <c r="G114"/>
  <c r="G111"/>
  <c r="G108"/>
  <c r="H90"/>
  <c r="H88"/>
  <c r="H85"/>
  <c r="H82"/>
  <c r="G88"/>
  <c r="G87" s="1"/>
  <c r="G85"/>
  <c r="G82"/>
  <c r="H49"/>
  <c r="H46"/>
  <c r="G49"/>
  <c r="G46"/>
  <c r="H54"/>
  <c r="H52"/>
  <c r="G54"/>
  <c r="G52"/>
  <c r="G25"/>
  <c r="G24" s="1"/>
  <c r="H25"/>
  <c r="H24" s="1"/>
  <c r="L15"/>
  <c r="H21"/>
  <c r="F23" i="13"/>
  <c r="H23"/>
  <c r="L23"/>
  <c r="G23"/>
  <c r="E110" i="5"/>
  <c r="E27"/>
  <c r="M27"/>
  <c r="M29"/>
  <c r="G14"/>
  <c r="G13" s="1"/>
  <c r="H14"/>
  <c r="H34"/>
  <c r="G34"/>
  <c r="H32"/>
  <c r="H31" s="1"/>
  <c r="G32"/>
  <c r="H29"/>
  <c r="G29"/>
  <c r="H27"/>
  <c r="H26" s="1"/>
  <c r="G27"/>
  <c r="H38"/>
  <c r="H40"/>
  <c r="G45"/>
  <c r="G42" s="1"/>
  <c r="H45"/>
  <c r="H42" s="1"/>
  <c r="G49"/>
  <c r="H49"/>
  <c r="G52"/>
  <c r="G51" s="1"/>
  <c r="H52"/>
  <c r="H51" s="1"/>
  <c r="H48" s="1"/>
  <c r="G109"/>
  <c r="G107" s="1"/>
  <c r="H109"/>
  <c r="M109" s="1"/>
  <c r="G111"/>
  <c r="H111"/>
  <c r="G117"/>
  <c r="H117"/>
  <c r="G114"/>
  <c r="H114"/>
  <c r="H135"/>
  <c r="G135"/>
  <c r="H129"/>
  <c r="G129"/>
  <c r="H142"/>
  <c r="H141" s="1"/>
  <c r="G142"/>
  <c r="G141" s="1"/>
  <c r="H302" i="9"/>
  <c r="G302"/>
  <c r="F302"/>
  <c r="G35"/>
  <c r="F35"/>
  <c r="F32" s="1"/>
  <c r="L35"/>
  <c r="L32" s="1"/>
  <c r="E34" i="5"/>
  <c r="E31" s="1"/>
  <c r="E29"/>
  <c r="E26" s="1"/>
  <c r="L76" i="4"/>
  <c r="F76"/>
  <c r="G76"/>
  <c r="H76"/>
  <c r="L75"/>
  <c r="F75"/>
  <c r="G75"/>
  <c r="H75"/>
  <c r="L68"/>
  <c r="F68"/>
  <c r="F67" s="1"/>
  <c r="G68"/>
  <c r="G67" s="1"/>
  <c r="H68"/>
  <c r="H67" s="1"/>
  <c r="L67"/>
  <c r="G81"/>
  <c r="G80" s="1"/>
  <c r="H81"/>
  <c r="H80" s="1"/>
  <c r="E69" i="1"/>
  <c r="E68" s="1"/>
  <c r="C64"/>
  <c r="E64"/>
  <c r="D59"/>
  <c r="H47" i="4"/>
  <c r="M67" i="3"/>
  <c r="G643" i="2"/>
  <c r="G642" s="1"/>
  <c r="H606"/>
  <c r="H605" s="1"/>
  <c r="G606"/>
  <c r="G605" s="1"/>
  <c r="H568"/>
  <c r="H567" s="1"/>
  <c r="G568"/>
  <c r="G567" s="1"/>
  <c r="E58" i="1"/>
  <c r="H520" i="2"/>
  <c r="H518"/>
  <c r="G520"/>
  <c r="G518"/>
  <c r="H523"/>
  <c r="H522" s="1"/>
  <c r="G523"/>
  <c r="G522" s="1"/>
  <c r="H515"/>
  <c r="H514" s="1"/>
  <c r="H513" s="1"/>
  <c r="H512"/>
  <c r="H510"/>
  <c r="H509" s="1"/>
  <c r="G515"/>
  <c r="G514" s="1"/>
  <c r="G513" s="1"/>
  <c r="G512"/>
  <c r="G510"/>
  <c r="G509" s="1"/>
  <c r="F515"/>
  <c r="F514" s="1"/>
  <c r="F513" s="1"/>
  <c r="F512"/>
  <c r="F511" s="1"/>
  <c r="F510"/>
  <c r="F509" s="1"/>
  <c r="H494"/>
  <c r="H490"/>
  <c r="H486"/>
  <c r="H482"/>
  <c r="G494"/>
  <c r="G490"/>
  <c r="G486"/>
  <c r="G482"/>
  <c r="F494"/>
  <c r="F490"/>
  <c r="F486"/>
  <c r="F482"/>
  <c r="L494"/>
  <c r="L490"/>
  <c r="L486"/>
  <c r="L482"/>
  <c r="H472"/>
  <c r="H21" s="1"/>
  <c r="H471"/>
  <c r="H469"/>
  <c r="H16" s="1"/>
  <c r="H468"/>
  <c r="H14" s="1"/>
  <c r="H467"/>
  <c r="G472"/>
  <c r="G21" s="1"/>
  <c r="G471"/>
  <c r="G469"/>
  <c r="G468"/>
  <c r="G14" s="1"/>
  <c r="G467"/>
  <c r="H479"/>
  <c r="H478"/>
  <c r="H476"/>
  <c r="H26" s="1"/>
  <c r="H475"/>
  <c r="G479"/>
  <c r="G478"/>
  <c r="G476"/>
  <c r="G475"/>
  <c r="G24" s="1"/>
  <c r="G17"/>
  <c r="H17"/>
  <c r="E22" i="1" s="1"/>
  <c r="G27" i="2"/>
  <c r="D32" i="1" s="1"/>
  <c r="D123" s="1"/>
  <c r="D169" s="1"/>
  <c r="G28" i="2"/>
  <c r="H28"/>
  <c r="G30"/>
  <c r="E475"/>
  <c r="E65" i="1"/>
  <c r="E468" i="2"/>
  <c r="E14" s="1"/>
  <c r="E512"/>
  <c r="E19" s="1"/>
  <c r="E520"/>
  <c r="L250" i="6"/>
  <c r="L249" s="1"/>
  <c r="L248" s="1"/>
  <c r="F250"/>
  <c r="F249" s="1"/>
  <c r="F248" s="1"/>
  <c r="G250"/>
  <c r="G249" s="1"/>
  <c r="G248" s="1"/>
  <c r="H250"/>
  <c r="H249" s="1"/>
  <c r="H248" s="1"/>
  <c r="H267"/>
  <c r="H266" s="1"/>
  <c r="G267"/>
  <c r="G266" s="1"/>
  <c r="F267"/>
  <c r="F266" s="1"/>
  <c r="H263"/>
  <c r="H262" s="1"/>
  <c r="G263"/>
  <c r="G262" s="1"/>
  <c r="F263"/>
  <c r="F262" s="1"/>
  <c r="L262"/>
  <c r="L247"/>
  <c r="F247"/>
  <c r="G247"/>
  <c r="H247"/>
  <c r="H246"/>
  <c r="H245" s="1"/>
  <c r="H244" s="1"/>
  <c r="G245"/>
  <c r="G244" s="1"/>
  <c r="G243"/>
  <c r="H243"/>
  <c r="G94"/>
  <c r="H94"/>
  <c r="G92"/>
  <c r="G91" s="1"/>
  <c r="H92"/>
  <c r="G89"/>
  <c r="H89"/>
  <c r="G87"/>
  <c r="G86" s="1"/>
  <c r="H87"/>
  <c r="H83"/>
  <c r="G83"/>
  <c r="H81"/>
  <c r="G81"/>
  <c r="H78"/>
  <c r="G78"/>
  <c r="H76"/>
  <c r="G76"/>
  <c r="H64"/>
  <c r="H72"/>
  <c r="G72"/>
  <c r="F72"/>
  <c r="L72"/>
  <c r="H70"/>
  <c r="G70"/>
  <c r="F70"/>
  <c r="F69" s="1"/>
  <c r="L70"/>
  <c r="H69"/>
  <c r="L69"/>
  <c r="H67"/>
  <c r="G67"/>
  <c r="F67"/>
  <c r="L67"/>
  <c r="L63" s="1"/>
  <c r="G64"/>
  <c r="F64"/>
  <c r="H39"/>
  <c r="H38" s="1"/>
  <c r="G39"/>
  <c r="F39"/>
  <c r="F38" s="1"/>
  <c r="L39"/>
  <c r="L38" s="1"/>
  <c r="F33"/>
  <c r="L33"/>
  <c r="H257"/>
  <c r="H256" s="1"/>
  <c r="G257"/>
  <c r="G256" s="1"/>
  <c r="F94"/>
  <c r="F89"/>
  <c r="F92"/>
  <c r="F87"/>
  <c r="D83"/>
  <c r="L83"/>
  <c r="F83"/>
  <c r="L81"/>
  <c r="F81"/>
  <c r="F80" s="1"/>
  <c r="L78"/>
  <c r="F78"/>
  <c r="L76"/>
  <c r="F76"/>
  <c r="F70" i="7"/>
  <c r="L70"/>
  <c r="L81" i="4"/>
  <c r="L80" s="1"/>
  <c r="F81"/>
  <c r="F80" s="1"/>
  <c r="D42" i="13"/>
  <c r="D41" s="1"/>
  <c r="O41" s="1"/>
  <c r="D37"/>
  <c r="D30"/>
  <c r="L302" i="9"/>
  <c r="L299" s="1"/>
  <c r="L298" s="1"/>
  <c r="E114" i="8"/>
  <c r="L54"/>
  <c r="L51"/>
  <c r="L48"/>
  <c r="L41"/>
  <c r="L39"/>
  <c r="L38" s="1"/>
  <c r="J17" i="10" s="1"/>
  <c r="L34" i="8"/>
  <c r="F116" i="7"/>
  <c r="L116"/>
  <c r="L113" s="1"/>
  <c r="F114"/>
  <c r="L114"/>
  <c r="F111"/>
  <c r="L111"/>
  <c r="L107" s="1"/>
  <c r="F108"/>
  <c r="F90"/>
  <c r="L90"/>
  <c r="F88"/>
  <c r="L88"/>
  <c r="F85"/>
  <c r="L85"/>
  <c r="F82"/>
  <c r="F81" s="1"/>
  <c r="L82"/>
  <c r="L78"/>
  <c r="F76"/>
  <c r="F75" s="1"/>
  <c r="L76"/>
  <c r="L75" s="1"/>
  <c r="F73"/>
  <c r="L73"/>
  <c r="F66"/>
  <c r="L66"/>
  <c r="L63" s="1"/>
  <c r="F64"/>
  <c r="L64"/>
  <c r="F61"/>
  <c r="L61"/>
  <c r="F58"/>
  <c r="L58"/>
  <c r="L57" s="1"/>
  <c r="F54"/>
  <c r="L54"/>
  <c r="F52"/>
  <c r="L52"/>
  <c r="F49"/>
  <c r="L49"/>
  <c r="F46"/>
  <c r="L46"/>
  <c r="L45" s="1"/>
  <c r="F25"/>
  <c r="F24" s="1"/>
  <c r="L25"/>
  <c r="L24" s="1"/>
  <c r="F257" i="6"/>
  <c r="F256" s="1"/>
  <c r="L257"/>
  <c r="L256" s="1"/>
  <c r="L242" s="1"/>
  <c r="M253"/>
  <c r="M252" s="1"/>
  <c r="F142" i="5"/>
  <c r="F141" s="1"/>
  <c r="D115"/>
  <c r="F135"/>
  <c r="F129"/>
  <c r="F121"/>
  <c r="F120" s="1"/>
  <c r="F117"/>
  <c r="F114"/>
  <c r="F111"/>
  <c r="F109"/>
  <c r="F107" s="1"/>
  <c r="F106" s="1"/>
  <c r="F52"/>
  <c r="F51" s="1"/>
  <c r="L52"/>
  <c r="L51" s="1"/>
  <c r="F49"/>
  <c r="L49"/>
  <c r="L48" s="1"/>
  <c r="F45"/>
  <c r="F34"/>
  <c r="L34"/>
  <c r="F32"/>
  <c r="F31" s="1"/>
  <c r="L32"/>
  <c r="F29"/>
  <c r="L29"/>
  <c r="F27"/>
  <c r="L27"/>
  <c r="D73" i="4"/>
  <c r="L107" i="3"/>
  <c r="L104"/>
  <c r="L103" s="1"/>
  <c r="F643" i="2"/>
  <c r="F642" s="1"/>
  <c r="L643"/>
  <c r="L642" s="1"/>
  <c r="L606"/>
  <c r="L605" s="1"/>
  <c r="F602"/>
  <c r="F601" s="1"/>
  <c r="L602"/>
  <c r="L601" s="1"/>
  <c r="D591"/>
  <c r="D590" s="1"/>
  <c r="F568"/>
  <c r="F567" s="1"/>
  <c r="L568"/>
  <c r="L567" s="1"/>
  <c r="F564"/>
  <c r="F563" s="1"/>
  <c r="L564"/>
  <c r="L563" s="1"/>
  <c r="F542"/>
  <c r="C65" i="1"/>
  <c r="F523" i="2"/>
  <c r="F522" s="1"/>
  <c r="L523"/>
  <c r="L522" s="1"/>
  <c r="F520"/>
  <c r="L520"/>
  <c r="F518"/>
  <c r="L518"/>
  <c r="L515"/>
  <c r="L514" s="1"/>
  <c r="L513" s="1"/>
  <c r="L512"/>
  <c r="L510"/>
  <c r="L509" s="1"/>
  <c r="F479"/>
  <c r="F33" s="1"/>
  <c r="L479"/>
  <c r="L33" s="1"/>
  <c r="F478"/>
  <c r="L478"/>
  <c r="F476"/>
  <c r="L476"/>
  <c r="F475"/>
  <c r="L475"/>
  <c r="L24" s="1"/>
  <c r="F472"/>
  <c r="L472"/>
  <c r="L21" s="1"/>
  <c r="F471"/>
  <c r="M471" s="1"/>
  <c r="L471"/>
  <c r="F469"/>
  <c r="L469"/>
  <c r="F468"/>
  <c r="L468"/>
  <c r="F467"/>
  <c r="M467" s="1"/>
  <c r="L467"/>
  <c r="D320"/>
  <c r="F30"/>
  <c r="L30"/>
  <c r="F28"/>
  <c r="L28"/>
  <c r="F27"/>
  <c r="D568"/>
  <c r="D567" s="1"/>
  <c r="D77"/>
  <c r="D89"/>
  <c r="D476"/>
  <c r="E105" i="5"/>
  <c r="E112"/>
  <c r="E111" s="1"/>
  <c r="D112"/>
  <c r="D111" s="1"/>
  <c r="E142"/>
  <c r="E141" s="1"/>
  <c r="E132"/>
  <c r="E116"/>
  <c r="E114" s="1"/>
  <c r="E113" s="1"/>
  <c r="E109"/>
  <c r="E138"/>
  <c r="E118"/>
  <c r="E117" s="1"/>
  <c r="E139" i="8"/>
  <c r="D120"/>
  <c r="D64" i="4"/>
  <c r="D63"/>
  <c r="E247" i="6"/>
  <c r="E267"/>
  <c r="E266" s="1"/>
  <c r="E250"/>
  <c r="E249" s="1"/>
  <c r="E248" s="1"/>
  <c r="D67" i="3"/>
  <c r="D74"/>
  <c r="D73" s="1"/>
  <c r="D616" i="2"/>
  <c r="E77"/>
  <c r="O586"/>
  <c r="O499"/>
  <c r="D247" i="6"/>
  <c r="D109" i="5"/>
  <c r="D114" i="8"/>
  <c r="D130" i="2"/>
  <c r="O481"/>
  <c r="D347"/>
  <c r="E490"/>
  <c r="E489" s="1"/>
  <c r="E476"/>
  <c r="E502"/>
  <c r="E515"/>
  <c r="E523"/>
  <c r="E522" s="1"/>
  <c r="D105" i="5"/>
  <c r="D103" s="1"/>
  <c r="D110" i="3"/>
  <c r="E115" i="5"/>
  <c r="E135"/>
  <c r="E134" s="1"/>
  <c r="E129"/>
  <c r="E108"/>
  <c r="E107" s="1"/>
  <c r="D77" i="3"/>
  <c r="E504" i="2"/>
  <c r="E87"/>
  <c r="D341"/>
  <c r="D110"/>
  <c r="D109" s="1"/>
  <c r="E96"/>
  <c r="E89"/>
  <c r="E478"/>
  <c r="E486"/>
  <c r="E471"/>
  <c r="E469"/>
  <c r="E500"/>
  <c r="E499" s="1"/>
  <c r="D250" i="6"/>
  <c r="D249" s="1"/>
  <c r="D248" s="1"/>
  <c r="D267"/>
  <c r="D266" s="1"/>
  <c r="D139" i="8"/>
  <c r="D118" i="5"/>
  <c r="D117" s="1"/>
  <c r="D38"/>
  <c r="D110"/>
  <c r="D515" i="2"/>
  <c r="D514" s="1"/>
  <c r="D513" s="1"/>
  <c r="D58" i="4"/>
  <c r="D28" i="2"/>
  <c r="D87"/>
  <c r="D560"/>
  <c r="D559" s="1"/>
  <c r="N15" i="1"/>
  <c r="D87" i="6"/>
  <c r="D92"/>
  <c r="J103" i="5"/>
  <c r="G98" i="13"/>
  <c r="J9" i="7"/>
  <c r="J7" s="1"/>
  <c r="M48"/>
  <c r="M46" s="1"/>
  <c r="M45" s="1"/>
  <c r="H13" i="5"/>
  <c r="M69" i="3"/>
  <c r="M68" s="1"/>
  <c r="D22" i="1"/>
  <c r="D31" i="2"/>
  <c r="H431"/>
  <c r="J13" i="5"/>
  <c r="G301" i="6"/>
  <c r="H41" i="13"/>
  <c r="F187" i="2"/>
  <c r="H75" i="6"/>
  <c r="L45" i="8"/>
  <c r="L44" s="1"/>
  <c r="B140" i="1"/>
  <c r="I44" i="8"/>
  <c r="G36" i="13"/>
  <c r="H91" i="6"/>
  <c r="I41" i="13"/>
  <c r="F107" i="7"/>
  <c r="L175" i="2"/>
  <c r="L41" i="13"/>
  <c r="H109" i="8"/>
  <c r="H108" s="1"/>
  <c r="J102" i="13"/>
  <c r="J101" s="1"/>
  <c r="F87" i="7"/>
  <c r="L87"/>
  <c r="G37" i="5"/>
  <c r="H103"/>
  <c r="M110"/>
  <c r="G113"/>
  <c r="L105" i="9"/>
  <c r="L32" i="13"/>
  <c r="F477" i="2"/>
  <c r="J46" i="7"/>
  <c r="J13"/>
  <c r="G57" i="1" s="1"/>
  <c r="D24" i="5"/>
  <c r="D22" s="1"/>
  <c r="D439" i="2"/>
  <c r="M439"/>
  <c r="G437"/>
  <c r="G41" i="13"/>
  <c r="G32"/>
  <c r="J273" i="6"/>
  <c r="H113" i="5"/>
  <c r="G42" i="10"/>
  <c r="F113" i="5"/>
  <c r="F62"/>
  <c r="I62"/>
  <c r="G31"/>
  <c r="E42" i="10" s="1"/>
  <c r="L26" i="5"/>
  <c r="G26"/>
  <c r="F103" i="3"/>
  <c r="F393" i="2"/>
  <c r="I140" i="1"/>
  <c r="H62" i="5"/>
  <c r="D152" i="2"/>
  <c r="H57" i="13"/>
  <c r="L57"/>
  <c r="K364" i="2"/>
  <c r="G48" i="5"/>
  <c r="I42" i="10"/>
  <c r="F26" i="5"/>
  <c r="L31"/>
  <c r="F57" i="7"/>
  <c r="F86" i="6"/>
  <c r="H86"/>
  <c r="H170" i="9"/>
  <c r="J106" i="5"/>
  <c r="L422" i="2"/>
  <c r="L517"/>
  <c r="F199"/>
  <c r="M627"/>
  <c r="M626" s="1"/>
  <c r="L470"/>
  <c r="F517"/>
  <c r="M619"/>
  <c r="M618" s="1"/>
  <c r="M417"/>
  <c r="E128" i="5"/>
  <c r="L477" i="2"/>
  <c r="F63" i="7"/>
  <c r="H87"/>
  <c r="H107"/>
  <c r="H57"/>
  <c r="G55" i="5"/>
  <c r="G155" i="6"/>
  <c r="H47" i="13"/>
  <c r="H14" s="1"/>
  <c r="F344" i="2"/>
  <c r="F109" i="8"/>
  <c r="F108" s="1"/>
  <c r="H26" i="3"/>
  <c r="K109"/>
  <c r="L75" i="6"/>
  <c r="F103" i="5"/>
  <c r="M105"/>
  <c r="M103" s="1"/>
  <c r="F193" i="2"/>
  <c r="K15"/>
  <c r="G25"/>
  <c r="G15"/>
  <c r="F116" i="8"/>
  <c r="F115" s="1"/>
  <c r="D198" i="6"/>
  <c r="G197"/>
  <c r="G196" s="1"/>
  <c r="K116" i="8"/>
  <c r="K115" s="1"/>
  <c r="G299" i="9"/>
  <c r="G298" s="1"/>
  <c r="H37" i="5"/>
  <c r="L474" i="2"/>
  <c r="F45" i="7"/>
  <c r="H53" i="13"/>
  <c r="H18" s="1"/>
  <c r="D140" i="1"/>
  <c r="G32" i="9"/>
  <c r="G51" i="7"/>
  <c r="F51"/>
  <c r="G45"/>
  <c r="F163" i="2"/>
  <c r="K140" i="1"/>
  <c r="J45" i="7"/>
  <c r="E103" i="5"/>
  <c r="H107"/>
  <c r="L247" i="2"/>
  <c r="L47" i="13"/>
  <c r="L46" s="1"/>
  <c r="I119" i="6"/>
  <c r="I118" s="1"/>
  <c r="K470" i="2"/>
  <c r="F53" i="13"/>
  <c r="F52" s="1"/>
  <c r="L53"/>
  <c r="L18" s="1"/>
  <c r="D55"/>
  <c r="M510" i="2"/>
  <c r="M509" s="1"/>
  <c r="G68" i="3"/>
  <c r="G50" i="8"/>
  <c r="D42"/>
  <c r="D41" s="1"/>
  <c r="F31"/>
  <c r="G489" i="2"/>
  <c r="D48" i="7"/>
  <c r="G441" i="2"/>
  <c r="L489"/>
  <c r="J470"/>
  <c r="I474"/>
  <c r="D176"/>
  <c r="G12" i="10"/>
  <c r="K148" i="5"/>
  <c r="C55" i="1"/>
  <c r="D37" i="8"/>
  <c r="D49"/>
  <c r="E116"/>
  <c r="E115" s="1"/>
  <c r="L36"/>
  <c r="L33" s="1"/>
  <c r="F41"/>
  <c r="D47"/>
  <c r="D14" s="1"/>
  <c r="J109"/>
  <c r="J108" s="1"/>
  <c r="L16" i="6"/>
  <c r="L204"/>
  <c r="L200" s="1"/>
  <c r="F337" i="2"/>
  <c r="F17"/>
  <c r="F169"/>
  <c r="D448"/>
  <c r="F19"/>
  <c r="D174" i="6"/>
  <c r="I142"/>
  <c r="J151"/>
  <c r="M117"/>
  <c r="D126"/>
  <c r="D218"/>
  <c r="F245"/>
  <c r="F244" s="1"/>
  <c r="D207"/>
  <c r="F99"/>
  <c r="M206"/>
  <c r="D107"/>
  <c r="D112"/>
  <c r="M148"/>
  <c r="J17"/>
  <c r="G23" i="1" s="1"/>
  <c r="M17" i="6"/>
  <c r="D106"/>
  <c r="G105"/>
  <c r="G98" s="1"/>
  <c r="I105"/>
  <c r="F109"/>
  <c r="D116"/>
  <c r="D125"/>
  <c r="D135"/>
  <c r="G124"/>
  <c r="I124"/>
  <c r="K124"/>
  <c r="K123" s="1"/>
  <c r="L234"/>
  <c r="H99"/>
  <c r="I99"/>
  <c r="I14" s="1"/>
  <c r="G109"/>
  <c r="G108" s="1"/>
  <c r="D117"/>
  <c r="D131"/>
  <c r="L128"/>
  <c r="M217"/>
  <c r="M37" i="5"/>
  <c r="F26" i="3"/>
  <c r="L36" i="13"/>
  <c r="F27"/>
  <c r="F32"/>
  <c r="G27"/>
  <c r="D40"/>
  <c r="O43" s="1"/>
  <c r="D50"/>
  <c r="D49"/>
  <c r="G57"/>
  <c r="K11"/>
  <c r="D35" i="8"/>
  <c r="D15" s="1"/>
  <c r="H119" i="7"/>
  <c r="L125"/>
  <c r="G125"/>
  <c r="I125"/>
  <c r="G113"/>
  <c r="H75"/>
  <c r="L229" i="6"/>
  <c r="D220"/>
  <c r="F229"/>
  <c r="L178"/>
  <c r="L177" s="1"/>
  <c r="L173" s="1"/>
  <c r="D103"/>
  <c r="D219"/>
  <c r="M221"/>
  <c r="D222"/>
  <c r="D221" s="1"/>
  <c r="D225"/>
  <c r="L226"/>
  <c r="D227"/>
  <c r="D226" s="1"/>
  <c r="J48" i="5"/>
  <c r="I48"/>
  <c r="H44" i="10"/>
  <c r="G62" i="5"/>
  <c r="G44" i="10"/>
  <c r="M68" i="4"/>
  <c r="M67" s="1"/>
  <c r="D81" i="3"/>
  <c r="D80" s="1"/>
  <c r="D89"/>
  <c r="D42"/>
  <c r="D22" s="1"/>
  <c r="G103"/>
  <c r="L431" i="2"/>
  <c r="M482"/>
  <c r="M157"/>
  <c r="E86"/>
  <c r="D523"/>
  <c r="D522" s="1"/>
  <c r="E16"/>
  <c r="E511"/>
  <c r="L370"/>
  <c r="J28" i="10" s="1"/>
  <c r="E26" i="2"/>
  <c r="D603"/>
  <c r="L146" i="6"/>
  <c r="L19" s="1"/>
  <c r="L18" s="1"/>
  <c r="D108" i="5"/>
  <c r="D116"/>
  <c r="D114" s="1"/>
  <c r="D113" s="1"/>
  <c r="M104" i="3"/>
  <c r="G119" i="7"/>
  <c r="L81"/>
  <c r="G81"/>
  <c r="G63"/>
  <c r="F125"/>
  <c r="H125"/>
  <c r="J125"/>
  <c r="D125"/>
  <c r="M58"/>
  <c r="M57" s="1"/>
  <c r="J51"/>
  <c r="D120"/>
  <c r="D119" s="1"/>
  <c r="G474" i="2"/>
  <c r="L393"/>
  <c r="L145"/>
  <c r="I470"/>
  <c r="L151" i="6"/>
  <c r="F224"/>
  <c r="F223" s="1"/>
  <c r="D615" i="2"/>
  <c r="D614" s="1"/>
  <c r="L101" i="9"/>
  <c r="K297"/>
  <c r="K304"/>
  <c r="K303" s="1"/>
  <c r="L188"/>
  <c r="L42"/>
  <c r="L38" s="1"/>
  <c r="M42"/>
  <c r="F42"/>
  <c r="F38" s="1"/>
  <c r="I188"/>
  <c r="H141"/>
  <c r="F188"/>
  <c r="H188"/>
  <c r="H205"/>
  <c r="L192"/>
  <c r="H214"/>
  <c r="L481" i="2"/>
  <c r="F481"/>
  <c r="F313"/>
  <c r="D202"/>
  <c r="D199" s="1"/>
  <c r="K517"/>
  <c r="K9" s="1"/>
  <c r="K8" s="1"/>
  <c r="F489"/>
  <c r="M379"/>
  <c r="M337"/>
  <c r="H466"/>
  <c r="B61" i="1"/>
  <c r="B60" s="1"/>
  <c r="F57" i="13"/>
  <c r="G53"/>
  <c r="M53" s="1"/>
  <c r="M52" s="1"/>
  <c r="F47"/>
  <c r="F46" s="1"/>
  <c r="H46"/>
  <c r="M39"/>
  <c r="G47"/>
  <c r="G14" s="1"/>
  <c r="F216" i="6"/>
  <c r="D230"/>
  <c r="I151"/>
  <c r="I23"/>
  <c r="F212"/>
  <c r="F211" s="1"/>
  <c r="F157"/>
  <c r="D214"/>
  <c r="D157" s="1"/>
  <c r="H301"/>
  <c r="H212"/>
  <c r="F149"/>
  <c r="F205"/>
  <c r="F204" s="1"/>
  <c r="H147"/>
  <c r="H304" s="1"/>
  <c r="H204"/>
  <c r="D186"/>
  <c r="E293"/>
  <c r="M247"/>
  <c r="G23"/>
  <c r="G21" s="1"/>
  <c r="D213"/>
  <c r="D179"/>
  <c r="D147" s="1"/>
  <c r="D304" s="1"/>
  <c r="F302"/>
  <c r="F303" s="1"/>
  <c r="F155"/>
  <c r="F197"/>
  <c r="H155"/>
  <c r="H197"/>
  <c r="H196" s="1"/>
  <c r="H195" s="1"/>
  <c r="D194"/>
  <c r="G193"/>
  <c r="G192" s="1"/>
  <c r="G189" s="1"/>
  <c r="F147"/>
  <c r="L142"/>
  <c r="L217"/>
  <c r="L216" s="1"/>
  <c r="D235"/>
  <c r="D234" s="1"/>
  <c r="D539" i="2"/>
  <c r="G481"/>
  <c r="B65" i="1"/>
  <c r="M104" i="2"/>
  <c r="F67" i="1"/>
  <c r="F122" s="1"/>
  <c r="F168" s="1"/>
  <c r="I536" i="2"/>
  <c r="I535" s="1"/>
  <c r="L206"/>
  <c r="L205" s="1"/>
  <c r="L531"/>
  <c r="L530" s="1"/>
  <c r="L529" s="1"/>
  <c r="F413"/>
  <c r="H481"/>
  <c r="H489"/>
  <c r="G177" i="6"/>
  <c r="G173" s="1"/>
  <c r="H151"/>
  <c r="G142"/>
  <c r="D185"/>
  <c r="M64"/>
  <c r="D63"/>
  <c r="O63" s="1"/>
  <c r="K146"/>
  <c r="K145" s="1"/>
  <c r="I146"/>
  <c r="K142"/>
  <c r="E304"/>
  <c r="M190"/>
  <c r="D190"/>
  <c r="J184"/>
  <c r="J181" s="1"/>
  <c r="J154"/>
  <c r="H184"/>
  <c r="H181" s="1"/>
  <c r="K154"/>
  <c r="K25" s="1"/>
  <c r="D107" i="3"/>
  <c r="L63"/>
  <c r="F121"/>
  <c r="G85"/>
  <c r="G38"/>
  <c r="M80"/>
  <c r="L80"/>
  <c r="F41"/>
  <c r="F38" s="1"/>
  <c r="D34" i="10" s="1"/>
  <c r="H41" i="3"/>
  <c r="H38" s="1"/>
  <c r="F34" i="10" s="1"/>
  <c r="F68" i="3"/>
  <c r="D100"/>
  <c r="D97" s="1"/>
  <c r="J34" i="10"/>
  <c r="L27" i="3"/>
  <c r="L91"/>
  <c r="I154" i="6"/>
  <c r="M129" i="2"/>
  <c r="M86" i="6"/>
  <c r="L80"/>
  <c r="D253"/>
  <c r="D252" s="1"/>
  <c r="D243" s="1"/>
  <c r="L246"/>
  <c r="L245" s="1"/>
  <c r="L244" s="1"/>
  <c r="L27"/>
  <c r="G293"/>
  <c r="G127"/>
  <c r="I127"/>
  <c r="I293"/>
  <c r="K127"/>
  <c r="K293"/>
  <c r="G115" i="3"/>
  <c r="J115"/>
  <c r="D122"/>
  <c r="H33"/>
  <c r="H16" s="1"/>
  <c r="J121"/>
  <c r="G33"/>
  <c r="M33" s="1"/>
  <c r="M32" s="1"/>
  <c r="D104"/>
  <c r="D119"/>
  <c r="L32"/>
  <c r="D124"/>
  <c r="F115"/>
  <c r="J140" i="1"/>
  <c r="E64" i="2"/>
  <c r="E62"/>
  <c r="K477"/>
  <c r="J517"/>
  <c r="J9" s="1"/>
  <c r="D396"/>
  <c r="D393" s="1"/>
  <c r="M193"/>
  <c r="D479"/>
  <c r="D33" s="1"/>
  <c r="E479"/>
  <c r="E33" s="1"/>
  <c r="G33"/>
  <c r="G477"/>
  <c r="G473"/>
  <c r="H33"/>
  <c r="H477"/>
  <c r="M517"/>
  <c r="K19"/>
  <c r="K511"/>
  <c r="I19"/>
  <c r="I511"/>
  <c r="D572"/>
  <c r="D571" s="1"/>
  <c r="G422"/>
  <c r="L181"/>
  <c r="G466"/>
  <c r="H470"/>
  <c r="H465" s="1"/>
  <c r="L383"/>
  <c r="J30"/>
  <c r="J27"/>
  <c r="G32" i="1" s="1"/>
  <c r="G123" s="1"/>
  <c r="G169" s="1"/>
  <c r="J511" i="2"/>
  <c r="K24"/>
  <c r="H29" i="1" s="1"/>
  <c r="K14" i="2"/>
  <c r="K466"/>
  <c r="D358"/>
  <c r="D418"/>
  <c r="H422"/>
  <c r="L426"/>
  <c r="G426"/>
  <c r="L169"/>
  <c r="D170"/>
  <c r="D72"/>
  <c r="I466"/>
  <c r="L337"/>
  <c r="L193"/>
  <c r="M602"/>
  <c r="M601" s="1"/>
  <c r="I517"/>
  <c r="M499"/>
  <c r="L387"/>
  <c r="D161"/>
  <c r="L157"/>
  <c r="L199"/>
  <c r="L217"/>
  <c r="L223"/>
  <c r="L235"/>
  <c r="E518"/>
  <c r="E510"/>
  <c r="D166"/>
  <c r="D175"/>
  <c r="L121"/>
  <c r="M606"/>
  <c r="M605" s="1"/>
  <c r="G344"/>
  <c r="E58"/>
  <c r="E69"/>
  <c r="D99"/>
  <c r="E99"/>
  <c r="D149"/>
  <c r="L151"/>
  <c r="L137"/>
  <c r="L319"/>
  <c r="D587"/>
  <c r="D586" s="1"/>
  <c r="M146"/>
  <c r="M145" s="1"/>
  <c r="L399"/>
  <c r="L413"/>
  <c r="L417"/>
  <c r="L187"/>
  <c r="O517"/>
  <c r="D478"/>
  <c r="D477" s="1"/>
  <c r="D107"/>
  <c r="D86"/>
  <c r="D414"/>
  <c r="D413" s="1"/>
  <c r="D197"/>
  <c r="D193" s="1"/>
  <c r="D115"/>
  <c r="D502"/>
  <c r="D471"/>
  <c r="D96"/>
  <c r="D381"/>
  <c r="E472"/>
  <c r="E470" s="1"/>
  <c r="D543"/>
  <c r="D542" s="1"/>
  <c r="G26"/>
  <c r="D402"/>
  <c r="G610"/>
  <c r="G609" s="1"/>
  <c r="G689" s="1"/>
  <c r="D326"/>
  <c r="L241"/>
  <c r="G19"/>
  <c r="J466"/>
  <c r="J465" s="1"/>
  <c r="G16"/>
  <c r="K16"/>
  <c r="I26"/>
  <c r="M325"/>
  <c r="D86" i="4"/>
  <c r="D85" s="1"/>
  <c r="L68" i="3"/>
  <c r="J166" i="9"/>
  <c r="I166"/>
  <c r="L175"/>
  <c r="I175"/>
  <c r="D94" i="6"/>
  <c r="D91" s="1"/>
  <c r="O91" s="1"/>
  <c r="F91"/>
  <c r="F436" i="2"/>
  <c r="L436"/>
  <c r="L115" i="3"/>
  <c r="D39" i="13"/>
  <c r="L119"/>
  <c r="L121" s="1"/>
  <c r="G16" i="3"/>
  <c r="D88"/>
  <c r="D85" s="1"/>
  <c r="G119" i="13"/>
  <c r="G121" s="1"/>
  <c r="G102"/>
  <c r="G101" s="1"/>
  <c r="K102"/>
  <c r="K101" s="1"/>
  <c r="L146" i="5"/>
  <c r="L148" s="1"/>
  <c r="G106"/>
  <c r="H106"/>
  <c r="H52" i="13"/>
  <c r="I10" i="5"/>
  <c r="I9" s="1"/>
  <c r="H13" i="10"/>
  <c r="D447" i="2"/>
  <c r="D178" i="6"/>
  <c r="H102" i="13"/>
  <c r="H101" s="1"/>
  <c r="L473" i="2"/>
  <c r="M216" i="6"/>
  <c r="D224"/>
  <c r="G32" i="3"/>
  <c r="L145" i="6"/>
  <c r="L31" i="2"/>
  <c r="L14" i="13"/>
  <c r="L12" s="1"/>
  <c r="E509" i="2"/>
  <c r="E508" s="1"/>
  <c r="M368"/>
  <c r="F304" i="6"/>
  <c r="I123"/>
  <c r="L16" i="13"/>
  <c r="O30" i="8"/>
  <c r="O24"/>
  <c r="M36"/>
  <c r="L223" i="6"/>
  <c r="L79" i="3"/>
  <c r="D442" i="2"/>
  <c r="D441" s="1"/>
  <c r="E21"/>
  <c r="E30"/>
  <c r="E27"/>
  <c r="B32" i="1" s="1"/>
  <c r="B123" s="1"/>
  <c r="B169" s="1"/>
  <c r="B69"/>
  <c r="B68" s="1"/>
  <c r="D30" i="7"/>
  <c r="D29" s="1"/>
  <c r="D25"/>
  <c r="E72" i="2"/>
  <c r="D119"/>
  <c r="D114" s="1"/>
  <c r="D62"/>
  <c r="D39" i="6"/>
  <c r="D38" s="1"/>
  <c r="O38" s="1"/>
  <c r="D217"/>
  <c r="I21"/>
  <c r="E75" i="2"/>
  <c r="E74" s="1"/>
  <c r="G31"/>
  <c r="F31"/>
  <c r="I9"/>
  <c r="D89" i="6"/>
  <c r="D86" s="1"/>
  <c r="O86" s="1"/>
  <c r="D76"/>
  <c r="D533" i="2"/>
  <c r="O533" s="1"/>
  <c r="K153" i="6"/>
  <c r="I145"/>
  <c r="I102" i="13"/>
  <c r="I101" s="1"/>
  <c r="D112" i="3"/>
  <c r="D75"/>
  <c r="D93" i="2"/>
  <c r="D92" s="1"/>
  <c r="E93"/>
  <c r="E92" s="1"/>
  <c r="D602"/>
  <c r="D601" s="1"/>
  <c r="E81"/>
  <c r="E477"/>
  <c r="D173"/>
  <c r="D429"/>
  <c r="E467"/>
  <c r="E466" s="1"/>
  <c r="E482"/>
  <c r="E481" s="1"/>
  <c r="D379"/>
  <c r="D378" s="1"/>
  <c r="E55"/>
  <c r="O465"/>
  <c r="D510"/>
  <c r="D509" s="1"/>
  <c r="D518"/>
  <c r="D400"/>
  <c r="E101"/>
  <c r="E98" s="1"/>
  <c r="D409"/>
  <c r="E84"/>
  <c r="E80" s="1"/>
  <c r="D472"/>
  <c r="D21" s="1"/>
  <c r="B64" i="1"/>
  <c r="D76" i="4"/>
  <c r="D61"/>
  <c r="D75"/>
  <c r="F102" i="13"/>
  <c r="F101" s="1"/>
  <c r="D75" i="2"/>
  <c r="D74" s="1"/>
  <c r="D470"/>
  <c r="D556"/>
  <c r="D555" s="1"/>
  <c r="K141" i="6"/>
  <c r="D101" i="2"/>
  <c r="D98" s="1"/>
  <c r="D580"/>
  <c r="D579" s="1"/>
  <c r="D355"/>
  <c r="D388"/>
  <c r="O374"/>
  <c r="L102" i="13"/>
  <c r="L101" s="1"/>
  <c r="D47" i="6"/>
  <c r="M47"/>
  <c r="D91" i="7"/>
  <c r="D90" s="1"/>
  <c r="D87" s="1"/>
  <c r="D79"/>
  <c r="D78" s="1"/>
  <c r="D75" s="1"/>
  <c r="G22"/>
  <c r="G21" s="1"/>
  <c r="F22"/>
  <c r="C69" i="1" s="1"/>
  <c r="C68" s="1"/>
  <c r="H16" i="7"/>
  <c r="E61" i="1" s="1"/>
  <c r="E60" s="1"/>
  <c r="D74" i="7"/>
  <c r="D73" s="1"/>
  <c r="D12"/>
  <c r="G40"/>
  <c r="G39" s="1"/>
  <c r="D41"/>
  <c r="D40" s="1"/>
  <c r="D39" s="1"/>
  <c r="D42"/>
  <c r="M35"/>
  <c r="M34" s="1"/>
  <c r="M33" s="1"/>
  <c r="F8"/>
  <c r="D35"/>
  <c r="D34" s="1"/>
  <c r="D33" s="1"/>
  <c r="L11"/>
  <c r="D179"/>
  <c r="D178" s="1"/>
  <c r="H176"/>
  <c r="H175" s="1"/>
  <c r="F176"/>
  <c r="F175" s="1"/>
  <c r="D177"/>
  <c r="D176" s="1"/>
  <c r="G16"/>
  <c r="G15" s="1"/>
  <c r="D174"/>
  <c r="D173" s="1"/>
  <c r="F16"/>
  <c r="F15" s="1"/>
  <c r="F169"/>
  <c r="M170"/>
  <c r="M169" s="1"/>
  <c r="G170"/>
  <c r="G169" s="1"/>
  <c r="F13"/>
  <c r="C57" i="1" s="1"/>
  <c r="C109" s="1"/>
  <c r="D172" i="7"/>
  <c r="F9"/>
  <c r="G166"/>
  <c r="G163" s="1"/>
  <c r="D167"/>
  <c r="D166" s="1"/>
  <c r="F166"/>
  <c r="F163" s="1"/>
  <c r="D165"/>
  <c r="D164" s="1"/>
  <c r="G161"/>
  <c r="C61" i="1"/>
  <c r="C60" s="1"/>
  <c r="F161" i="7"/>
  <c r="G158"/>
  <c r="G13"/>
  <c r="G8"/>
  <c r="G7" s="1"/>
  <c r="G26" i="3"/>
  <c r="M27"/>
  <c r="M26" s="1"/>
  <c r="F33"/>
  <c r="M36"/>
  <c r="J32" i="10"/>
  <c r="L682" i="2"/>
  <c r="O448"/>
  <c r="G436"/>
  <c r="M437"/>
  <c r="M436" s="1"/>
  <c r="D437"/>
  <c r="F441"/>
  <c r="F176" i="9"/>
  <c r="F175" s="1"/>
  <c r="H176"/>
  <c r="H175" s="1"/>
  <c r="G173"/>
  <c r="D177"/>
  <c r="D176" s="1"/>
  <c r="D175" s="1"/>
  <c r="D172"/>
  <c r="D171" s="1"/>
  <c r="G167"/>
  <c r="D168"/>
  <c r="D167" s="1"/>
  <c r="D166" s="1"/>
  <c r="D165"/>
  <c r="F163"/>
  <c r="G159"/>
  <c r="G158" s="1"/>
  <c r="F159"/>
  <c r="F158" s="1"/>
  <c r="L162"/>
  <c r="H36" i="2"/>
  <c r="K49"/>
  <c r="E68"/>
  <c r="K20"/>
  <c r="D163"/>
  <c r="J25"/>
  <c r="D169"/>
  <c r="F229"/>
  <c r="F235"/>
  <c r="E229"/>
  <c r="E175"/>
  <c r="E163"/>
  <c r="D315"/>
  <c r="D314" s="1"/>
  <c r="G314"/>
  <c r="G265"/>
  <c r="D267"/>
  <c r="D266" s="1"/>
  <c r="G295"/>
  <c r="D299"/>
  <c r="D298" s="1"/>
  <c r="D295" s="1"/>
  <c r="M294"/>
  <c r="M293" s="1"/>
  <c r="G293"/>
  <c r="M291"/>
  <c r="M290" s="1"/>
  <c r="G51"/>
  <c r="G305"/>
  <c r="G301" s="1"/>
  <c r="D306"/>
  <c r="D305" s="1"/>
  <c r="M306"/>
  <c r="M305" s="1"/>
  <c r="G190"/>
  <c r="G187" s="1"/>
  <c r="F181"/>
  <c r="E185"/>
  <c r="D186"/>
  <c r="D185" s="1"/>
  <c r="D183"/>
  <c r="D182" s="1"/>
  <c r="G257"/>
  <c r="M253"/>
  <c r="D258"/>
  <c r="D257" s="1"/>
  <c r="D255"/>
  <c r="D254" s="1"/>
  <c r="F253"/>
  <c r="F25"/>
  <c r="P25" s="1"/>
  <c r="F44"/>
  <c r="D213"/>
  <c r="D212" s="1"/>
  <c r="G205"/>
  <c r="M210"/>
  <c r="M209" s="1"/>
  <c r="M205" s="1"/>
  <c r="F209"/>
  <c r="D210"/>
  <c r="D209" s="1"/>
  <c r="F38"/>
  <c r="F15" s="1"/>
  <c r="D207"/>
  <c r="F206"/>
  <c r="G281"/>
  <c r="F42"/>
  <c r="F41" s="1"/>
  <c r="G278"/>
  <c r="G277" s="1"/>
  <c r="M279"/>
  <c r="M278" s="1"/>
  <c r="M277" s="1"/>
  <c r="E137"/>
  <c r="D143"/>
  <c r="D141" s="1"/>
  <c r="D137" s="1"/>
  <c r="G42"/>
  <c r="G41" s="1"/>
  <c r="G217"/>
  <c r="G37"/>
  <c r="G36" s="1"/>
  <c r="G35" s="1"/>
  <c r="M219"/>
  <c r="M218" s="1"/>
  <c r="M217" s="1"/>
  <c r="D219"/>
  <c r="D218" s="1"/>
  <c r="D217" s="1"/>
  <c r="F218"/>
  <c r="F37"/>
  <c r="F247"/>
  <c r="D251"/>
  <c r="D250" s="1"/>
  <c r="D247" s="1"/>
  <c r="F245"/>
  <c r="D246"/>
  <c r="E37"/>
  <c r="F171" i="3"/>
  <c r="D173"/>
  <c r="D172" s="1"/>
  <c r="D171" s="1"/>
  <c r="D163"/>
  <c r="D162" s="1"/>
  <c r="D161" s="1"/>
  <c r="O161"/>
  <c r="M160"/>
  <c r="M159"/>
  <c r="M158"/>
  <c r="D157"/>
  <c r="M156"/>
  <c r="D160"/>
  <c r="D159"/>
  <c r="M157"/>
  <c r="D156"/>
  <c r="F11" i="7"/>
  <c r="D170"/>
  <c r="D169" s="1"/>
  <c r="G11"/>
  <c r="F16" i="3"/>
  <c r="F32"/>
  <c r="D33"/>
  <c r="D32" s="1"/>
  <c r="F435" i="2"/>
  <c r="D436"/>
  <c r="G435"/>
  <c r="G166" i="9"/>
  <c r="F162"/>
  <c r="G49" i="2"/>
  <c r="E181"/>
  <c r="D45"/>
  <c r="O136"/>
  <c r="F217"/>
  <c r="D242"/>
  <c r="F241"/>
  <c r="D245"/>
  <c r="I27" i="6" l="1"/>
  <c r="G29" i="10" s="1"/>
  <c r="K18" i="2"/>
  <c r="G25" i="3"/>
  <c r="I141" i="6"/>
  <c r="E465" i="2"/>
  <c r="D301" i="6"/>
  <c r="M301" s="1"/>
  <c r="H32" i="3"/>
  <c r="H25" s="1"/>
  <c r="F33" i="10" s="1"/>
  <c r="G292" i="6"/>
  <c r="L62" i="3"/>
  <c r="L52" i="13"/>
  <c r="F466" i="2"/>
  <c r="G470"/>
  <c r="G465" s="1"/>
  <c r="F75" i="6"/>
  <c r="G75"/>
  <c r="E44" i="10"/>
  <c r="J208" i="6"/>
  <c r="L208"/>
  <c r="J200"/>
  <c r="L344" i="2"/>
  <c r="I303" i="6"/>
  <c r="J303"/>
  <c r="M399" i="2"/>
  <c r="L408"/>
  <c r="G296" i="9"/>
  <c r="L296"/>
  <c r="L295" s="1"/>
  <c r="J11" i="13"/>
  <c r="L326" i="2"/>
  <c r="L325" s="1"/>
  <c r="M113" i="6"/>
  <c r="M114"/>
  <c r="G227" i="9"/>
  <c r="G131" i="7"/>
  <c r="I131"/>
  <c r="J131"/>
  <c r="E187" i="2"/>
  <c r="E387"/>
  <c r="E227" i="9"/>
  <c r="L23"/>
  <c r="L19"/>
  <c r="K16" i="8"/>
  <c r="K11" s="1"/>
  <c r="G16"/>
  <c r="E78"/>
  <c r="D269" i="9"/>
  <c r="H262"/>
  <c r="E163" i="7"/>
  <c r="H265" i="2"/>
  <c r="G271"/>
  <c r="H271"/>
  <c r="E271" i="3"/>
  <c r="H259" i="2"/>
  <c r="H105" i="4"/>
  <c r="H52"/>
  <c r="D267" i="3"/>
  <c r="D266" s="1"/>
  <c r="F266"/>
  <c r="D18" i="10"/>
  <c r="N18" s="1"/>
  <c r="M107" i="5"/>
  <c r="M106" s="1"/>
  <c r="F164" i="6"/>
  <c r="M165"/>
  <c r="G78" i="8"/>
  <c r="F258" i="9"/>
  <c r="E262"/>
  <c r="D73" i="8"/>
  <c r="D72" s="1"/>
  <c r="L72"/>
  <c r="I175" i="7"/>
  <c r="H23" i="8"/>
  <c r="D52"/>
  <c r="D51" s="1"/>
  <c r="H8" i="7"/>
  <c r="H158"/>
  <c r="H157" s="1"/>
  <c r="H19"/>
  <c r="H18" s="1"/>
  <c r="H17" s="1"/>
  <c r="H164"/>
  <c r="H163" s="1"/>
  <c r="F228" i="3"/>
  <c r="G383" i="2"/>
  <c r="L250" i="3"/>
  <c r="F265"/>
  <c r="M29" i="13"/>
  <c r="M28" s="1"/>
  <c r="M27" s="1"/>
  <c r="G13"/>
  <c r="M13" s="1"/>
  <c r="D29"/>
  <c r="D28" s="1"/>
  <c r="K290" i="3"/>
  <c r="J294"/>
  <c r="H87" i="8"/>
  <c r="F101"/>
  <c r="G127" i="3"/>
  <c r="J100" i="7"/>
  <c r="E10"/>
  <c r="O28" i="4"/>
  <c r="D15"/>
  <c r="D14" s="1"/>
  <c r="D87" i="13"/>
  <c r="O76"/>
  <c r="E121" i="2"/>
  <c r="E216" i="6"/>
  <c r="E223"/>
  <c r="E229"/>
  <c r="E234"/>
  <c r="E33" i="8"/>
  <c r="E50"/>
  <c r="C13" i="10" s="1"/>
  <c r="E136" i="9"/>
  <c r="E151"/>
  <c r="E231"/>
  <c r="E16" i="5"/>
  <c r="D486" i="2"/>
  <c r="D494"/>
  <c r="M51" i="6"/>
  <c r="L159"/>
  <c r="J159"/>
  <c r="E51" i="2"/>
  <c r="E49" s="1"/>
  <c r="G56" i="1"/>
  <c r="E56"/>
  <c r="K22" i="8"/>
  <c r="L155" i="3"/>
  <c r="L154" s="1"/>
  <c r="L153" s="1"/>
  <c r="J36" i="2"/>
  <c r="J35" s="1"/>
  <c r="I43"/>
  <c r="D20" i="7"/>
  <c r="H268" i="9"/>
  <c r="M460" i="2"/>
  <c r="E157" i="7"/>
  <c r="J157"/>
  <c r="D185" i="3"/>
  <c r="M185"/>
  <c r="F197"/>
  <c r="L193"/>
  <c r="F199"/>
  <c r="J199"/>
  <c r="M209"/>
  <c r="M212"/>
  <c r="G214"/>
  <c r="L223"/>
  <c r="G229"/>
  <c r="G228" s="1"/>
  <c r="L232"/>
  <c r="L265" i="2"/>
  <c r="F271"/>
  <c r="K79" i="3"/>
  <c r="M240"/>
  <c r="K367" i="2"/>
  <c r="F41" i="4"/>
  <c r="F109" s="1"/>
  <c r="H41"/>
  <c r="H109" s="1"/>
  <c r="H74" i="13"/>
  <c r="H10" s="1"/>
  <c r="G132" i="9"/>
  <c r="M267" i="2"/>
  <c r="M266" s="1"/>
  <c r="E289"/>
  <c r="I295"/>
  <c r="E33" i="13"/>
  <c r="E25"/>
  <c r="E23" s="1"/>
  <c r="E18"/>
  <c r="E16" s="1"/>
  <c r="F289" i="2"/>
  <c r="M454"/>
  <c r="I57" i="3"/>
  <c r="G38" i="10" s="1"/>
  <c r="F281" i="2"/>
  <c r="D282"/>
  <c r="D281" s="1"/>
  <c r="G290"/>
  <c r="D291"/>
  <c r="D290" s="1"/>
  <c r="G171" i="9"/>
  <c r="M172"/>
  <c r="M171" s="1"/>
  <c r="E58" i="8"/>
  <c r="D291" i="3"/>
  <c r="D290" s="1"/>
  <c r="M76" i="5"/>
  <c r="L127" i="3"/>
  <c r="E87" i="5"/>
  <c r="I75" i="7"/>
  <c r="I193" i="2"/>
  <c r="G193"/>
  <c r="O38" i="4"/>
  <c r="G41"/>
  <c r="G109" s="1"/>
  <c r="I41"/>
  <c r="I109" s="1"/>
  <c r="M202" i="6"/>
  <c r="M225" i="9"/>
  <c r="F295" i="2"/>
  <c r="M128" i="3"/>
  <c r="M127" s="1"/>
  <c r="E235" i="2"/>
  <c r="E606"/>
  <c r="E605" s="1"/>
  <c r="E651"/>
  <c r="E650" s="1"/>
  <c r="E146" i="3"/>
  <c r="E145" s="1"/>
  <c r="D158"/>
  <c r="E53" i="4"/>
  <c r="B56" i="1" s="1"/>
  <c r="E143" i="7"/>
  <c r="G151" i="9"/>
  <c r="M445" i="2"/>
  <c r="F145" i="3"/>
  <c r="F12"/>
  <c r="E223"/>
  <c r="M229"/>
  <c r="M228" s="1"/>
  <c r="K271"/>
  <c r="M103"/>
  <c r="G12"/>
  <c r="L9"/>
  <c r="E85"/>
  <c r="O85" s="1"/>
  <c r="D168"/>
  <c r="L187"/>
  <c r="E199"/>
  <c r="H271"/>
  <c r="K250"/>
  <c r="L256"/>
  <c r="E294"/>
  <c r="D219"/>
  <c r="D218" s="1"/>
  <c r="O107"/>
  <c r="E171"/>
  <c r="I79"/>
  <c r="K85"/>
  <c r="D258"/>
  <c r="O258" s="1"/>
  <c r="E238"/>
  <c r="F290"/>
  <c r="I134"/>
  <c r="G51"/>
  <c r="D72"/>
  <c r="G225"/>
  <c r="G210"/>
  <c r="M210" s="1"/>
  <c r="H461" i="2"/>
  <c r="D239" i="3"/>
  <c r="G57"/>
  <c r="E38" i="10" s="1"/>
  <c r="L46" i="3"/>
  <c r="D47"/>
  <c r="D16"/>
  <c r="M572" i="2"/>
  <c r="M571" s="1"/>
  <c r="D56" i="13"/>
  <c r="M56"/>
  <c r="I109" i="6"/>
  <c r="I108" s="1"/>
  <c r="L121" i="3"/>
  <c r="L72"/>
  <c r="D340" i="2"/>
  <c r="F40"/>
  <c r="F36" s="1"/>
  <c r="F35" s="1"/>
  <c r="E42" i="6"/>
  <c r="E57"/>
  <c r="E69"/>
  <c r="E75"/>
  <c r="E80"/>
  <c r="E91"/>
  <c r="M103"/>
  <c r="E277" i="2"/>
  <c r="K10" i="4"/>
  <c r="K80" i="13"/>
  <c r="K120" s="1"/>
  <c r="K121" s="1"/>
  <c r="K122" s="1"/>
  <c r="D455" i="2"/>
  <c r="D460"/>
  <c r="F458"/>
  <c r="F457" s="1"/>
  <c r="F453"/>
  <c r="F452" s="1"/>
  <c r="D26" i="6"/>
  <c r="F41"/>
  <c r="D19" i="5"/>
  <c r="J103" i="3"/>
  <c r="K103"/>
  <c r="I103"/>
  <c r="L63" i="13"/>
  <c r="D69" i="6"/>
  <c r="O69" s="1"/>
  <c r="H458" i="2"/>
  <c r="H453"/>
  <c r="H452" s="1"/>
  <c r="M193" i="3"/>
  <c r="M111" i="6"/>
  <c r="M96" s="1"/>
  <c r="F127" i="3"/>
  <c r="H127"/>
  <c r="M93" i="4"/>
  <c r="E10"/>
  <c r="E6"/>
  <c r="I10"/>
  <c r="E453" i="2"/>
  <c r="E452" s="1"/>
  <c r="D454"/>
  <c r="E458"/>
  <c r="E457" s="1"/>
  <c r="D459"/>
  <c r="G458"/>
  <c r="G453"/>
  <c r="M453" s="1"/>
  <c r="I16" i="4"/>
  <c r="H22" i="1"/>
  <c r="F32"/>
  <c r="F123" s="1"/>
  <c r="F169" s="1"/>
  <c r="H32"/>
  <c r="H123" s="1"/>
  <c r="H169" s="1"/>
  <c r="K18" i="3"/>
  <c r="F239"/>
  <c r="F238" s="1"/>
  <c r="F250"/>
  <c r="M142"/>
  <c r="M141" s="1"/>
  <c r="M25"/>
  <c r="I292" i="6"/>
  <c r="F25" i="3"/>
  <c r="M37" i="2"/>
  <c r="G157" i="7"/>
  <c r="D121" i="3"/>
  <c r="I17" i="6"/>
  <c r="F23" i="1" s="1"/>
  <c r="G140" i="3"/>
  <c r="E34" i="10"/>
  <c r="J62" i="5"/>
  <c r="J10" s="1"/>
  <c r="J9" s="1"/>
  <c r="K106"/>
  <c r="I106"/>
  <c r="K48"/>
  <c r="M229" i="6"/>
  <c r="F234"/>
  <c r="G33" i="10"/>
  <c r="F211" i="2"/>
  <c r="G56" i="9"/>
  <c r="M533" i="2"/>
  <c r="D48" i="6"/>
  <c r="F43"/>
  <c r="I57"/>
  <c r="F68" i="13"/>
  <c r="F120" s="1"/>
  <c r="E104" i="2"/>
  <c r="E79" i="3"/>
  <c r="E109"/>
  <c r="D81" i="4"/>
  <c r="D80" s="1"/>
  <c r="E42" i="5"/>
  <c r="G34" i="10"/>
  <c r="L157" i="7"/>
  <c r="I17" i="3"/>
  <c r="I15" s="1"/>
  <c r="K17"/>
  <c r="H23"/>
  <c r="H21" s="1"/>
  <c r="H18" s="1"/>
  <c r="D14" i="9"/>
  <c r="F121"/>
  <c r="L307" i="2"/>
  <c r="M75" i="13"/>
  <c r="M74" s="1"/>
  <c r="C34" i="10"/>
  <c r="E23" i="3"/>
  <c r="E21" s="1"/>
  <c r="E18" s="1"/>
  <c r="I12"/>
  <c r="K12"/>
  <c r="G162"/>
  <c r="G23"/>
  <c r="G21" s="1"/>
  <c r="F23"/>
  <c r="F21" s="1"/>
  <c r="F18" s="1"/>
  <c r="H81" i="7"/>
  <c r="G107"/>
  <c r="H113"/>
  <c r="H63"/>
  <c r="L689" i="2"/>
  <c r="I88" i="1" s="1"/>
  <c r="F55" i="5"/>
  <c r="H682" i="2"/>
  <c r="F32" i="10"/>
  <c r="F56" i="9"/>
  <c r="L69" i="8"/>
  <c r="L163" i="7"/>
  <c r="K68" i="3"/>
  <c r="J17"/>
  <c r="J15" s="1"/>
  <c r="G399" i="2"/>
  <c r="E100" i="7"/>
  <c r="G121" i="9"/>
  <c r="I121"/>
  <c r="K121"/>
  <c r="F96"/>
  <c r="F112"/>
  <c r="H112"/>
  <c r="D120" i="6"/>
  <c r="D53" i="3"/>
  <c r="D51" s="1"/>
  <c r="H12"/>
  <c r="J12"/>
  <c r="I51"/>
  <c r="E321"/>
  <c r="E318"/>
  <c r="E317" s="1"/>
  <c r="E316" s="1"/>
  <c r="G317"/>
  <c r="G316" s="1"/>
  <c r="M318"/>
  <c r="M317" s="1"/>
  <c r="M316" s="1"/>
  <c r="I98" i="6"/>
  <c r="G105" i="9"/>
  <c r="K105"/>
  <c r="I105"/>
  <c r="I326" s="1"/>
  <c r="G96"/>
  <c r="H105"/>
  <c r="H326" s="1"/>
  <c r="L95"/>
  <c r="H187" i="3"/>
  <c r="K187"/>
  <c r="F217"/>
  <c r="H217"/>
  <c r="G217"/>
  <c r="I217"/>
  <c r="F187"/>
  <c r="J187"/>
  <c r="J217"/>
  <c r="G232"/>
  <c r="I232"/>
  <c r="K232"/>
  <c r="H265"/>
  <c r="J276"/>
  <c r="H276"/>
  <c r="J265"/>
  <c r="G250"/>
  <c r="I250"/>
  <c r="G265"/>
  <c r="I265"/>
  <c r="K265"/>
  <c r="E276"/>
  <c r="F276"/>
  <c r="F328" s="1"/>
  <c r="E54" i="2"/>
  <c r="H303" i="6"/>
  <c r="I465" i="2"/>
  <c r="K122" i="6"/>
  <c r="K465" i="2"/>
  <c r="F42" i="5"/>
  <c r="K208" i="6"/>
  <c r="H365" i="2"/>
  <c r="H451"/>
  <c r="G253"/>
  <c r="E61"/>
  <c r="D107" i="5"/>
  <c r="D60" i="4"/>
  <c r="J42" i="10"/>
  <c r="L69" i="7"/>
  <c r="L50" i="8"/>
  <c r="J13" i="10" s="1"/>
  <c r="F69" i="7"/>
  <c r="E18" i="10"/>
  <c r="E517" i="2"/>
  <c r="G517"/>
  <c r="H517"/>
  <c r="M26" i="5"/>
  <c r="M114" i="2"/>
  <c r="M486"/>
  <c r="M481" s="1"/>
  <c r="J474"/>
  <c r="K474"/>
  <c r="K473" s="1"/>
  <c r="M104" i="13"/>
  <c r="M102" s="1"/>
  <c r="M101" s="1"/>
  <c r="F146" i="6"/>
  <c r="F145" s="1"/>
  <c r="L27" i="13"/>
  <c r="K109" i="8"/>
  <c r="K108" s="1"/>
  <c r="E109"/>
  <c r="E108" s="1"/>
  <c r="D223" i="2"/>
  <c r="L211"/>
  <c r="M241"/>
  <c r="J299" i="9"/>
  <c r="J298" s="1"/>
  <c r="J119" i="7"/>
  <c r="I119"/>
  <c r="L40" i="2"/>
  <c r="L16" s="1"/>
  <c r="I21" i="1" s="1"/>
  <c r="O97" i="6"/>
  <c r="M115" i="3"/>
  <c r="M91"/>
  <c r="D80" i="6"/>
  <c r="O80" s="1"/>
  <c r="D129" i="2"/>
  <c r="D146"/>
  <c r="D145" s="1"/>
  <c r="D151"/>
  <c r="D104"/>
  <c r="D63" i="13"/>
  <c r="E27"/>
  <c r="E36"/>
  <c r="E68"/>
  <c r="E120" s="1"/>
  <c r="D182" i="6"/>
  <c r="D55" i="2"/>
  <c r="D54" s="1"/>
  <c r="D64"/>
  <c r="D46"/>
  <c r="D27" s="1"/>
  <c r="D125"/>
  <c r="D116" i="3"/>
  <c r="D115" s="1"/>
  <c r="M556" i="2"/>
  <c r="M555" s="1"/>
  <c r="K159" i="6"/>
  <c r="E145" i="2"/>
  <c r="G74" i="8"/>
  <c r="G145" s="1"/>
  <c r="I157" i="7"/>
  <c r="I187" i="3"/>
  <c r="F357" i="2"/>
  <c r="L276" i="3"/>
  <c r="K127"/>
  <c r="F51" i="2"/>
  <c r="F49" s="1"/>
  <c r="F43" s="1"/>
  <c r="E13" i="13"/>
  <c r="E12" s="1"/>
  <c r="E11" s="1"/>
  <c r="D538" i="2"/>
  <c r="O538" s="1"/>
  <c r="E193"/>
  <c r="E199"/>
  <c r="E319"/>
  <c r="E393"/>
  <c r="E408"/>
  <c r="E72" i="3"/>
  <c r="E91"/>
  <c r="E97"/>
  <c r="I526" i="2"/>
  <c r="D64" i="1"/>
  <c r="F58"/>
  <c r="D58"/>
  <c r="I58"/>
  <c r="G59"/>
  <c r="E59"/>
  <c r="C59"/>
  <c r="B59"/>
  <c r="L253" i="2"/>
  <c r="I22" i="3"/>
  <c r="I21" s="1"/>
  <c r="I18" s="1"/>
  <c r="I17" i="7"/>
  <c r="H59" i="1"/>
  <c r="M59" s="1"/>
  <c r="K193" i="3"/>
  <c r="L199"/>
  <c r="L238"/>
  <c r="L134"/>
  <c r="L93" i="7"/>
  <c r="L100"/>
  <c r="H313" i="2"/>
  <c r="D272" i="9"/>
  <c r="D271" s="1"/>
  <c r="O84" i="4"/>
  <c r="G22"/>
  <c r="G29"/>
  <c r="G110" s="1"/>
  <c r="I29"/>
  <c r="I110" s="1"/>
  <c r="G16"/>
  <c r="E41"/>
  <c r="E109" s="1"/>
  <c r="E537" i="2"/>
  <c r="E659"/>
  <c r="E658" s="1"/>
  <c r="L320" i="3"/>
  <c r="K239"/>
  <c r="K206"/>
  <c r="J239"/>
  <c r="J206"/>
  <c r="I283"/>
  <c r="I282" s="1"/>
  <c r="I239"/>
  <c r="I206"/>
  <c r="H239"/>
  <c r="H206"/>
  <c r="G13"/>
  <c r="G11" s="1"/>
  <c r="F265" i="2"/>
  <c r="M29" i="3"/>
  <c r="G18" i="13"/>
  <c r="G16" s="1"/>
  <c r="B19" i="1"/>
  <c r="I57" i="13"/>
  <c r="G30" i="10" s="1"/>
  <c r="G52" i="13"/>
  <c r="E33" i="10"/>
  <c r="L33" s="1"/>
  <c r="F41"/>
  <c r="D24" i="7"/>
  <c r="H45" i="13"/>
  <c r="I25" i="6"/>
  <c r="I24" s="1"/>
  <c r="I153"/>
  <c r="L26" i="3"/>
  <c r="L25" s="1"/>
  <c r="D27"/>
  <c r="D26" s="1"/>
  <c r="L141" i="6"/>
  <c r="F196"/>
  <c r="F195" s="1"/>
  <c r="D197"/>
  <c r="H211"/>
  <c r="H154"/>
  <c r="H25" s="1"/>
  <c r="H24" s="1"/>
  <c r="F292"/>
  <c r="F108"/>
  <c r="D20" i="8"/>
  <c r="D36"/>
  <c r="E514" i="2"/>
  <c r="E513" s="1"/>
  <c r="C44" i="10" s="1"/>
  <c r="E31" i="2"/>
  <c r="B34" i="1" s="1"/>
  <c r="B124" s="1"/>
  <c r="B170" s="1"/>
  <c r="F14" i="2"/>
  <c r="M14" s="1"/>
  <c r="M468"/>
  <c r="F16"/>
  <c r="M469"/>
  <c r="F21"/>
  <c r="M472"/>
  <c r="M470" s="1"/>
  <c r="F24"/>
  <c r="C29" i="1" s="1"/>
  <c r="C119" s="1"/>
  <c r="C165" s="1"/>
  <c r="F474" i="2"/>
  <c r="F473" s="1"/>
  <c r="L511"/>
  <c r="L19"/>
  <c r="G38" i="6"/>
  <c r="F63"/>
  <c r="G63"/>
  <c r="H63"/>
  <c r="H80"/>
  <c r="F19" i="10" s="1"/>
  <c r="E24" i="2"/>
  <c r="E474"/>
  <c r="E473" s="1"/>
  <c r="H511"/>
  <c r="H508" s="1"/>
  <c r="H19"/>
  <c r="K509"/>
  <c r="K508" s="1"/>
  <c r="I43" i="10" s="1"/>
  <c r="K13" i="2"/>
  <c r="J33"/>
  <c r="J477"/>
  <c r="J473" s="1"/>
  <c r="I32"/>
  <c r="I477"/>
  <c r="I473" s="1"/>
  <c r="M14" i="5"/>
  <c r="M13" s="1"/>
  <c r="I13"/>
  <c r="I12" s="1"/>
  <c r="H146" i="6"/>
  <c r="H145" s="1"/>
  <c r="J304"/>
  <c r="J146"/>
  <c r="H16"/>
  <c r="E21" i="1" s="1"/>
  <c r="H142" i="6"/>
  <c r="L49" i="2"/>
  <c r="L32"/>
  <c r="H51"/>
  <c r="H49" s="1"/>
  <c r="H348"/>
  <c r="D335"/>
  <c r="D334" s="1"/>
  <c r="D331" s="1"/>
  <c r="L334"/>
  <c r="L331" s="1"/>
  <c r="G137" i="7"/>
  <c r="I137"/>
  <c r="E115" i="3"/>
  <c r="E121"/>
  <c r="E37" i="5"/>
  <c r="E86" i="6"/>
  <c r="E44" i="8"/>
  <c r="E145" i="9"/>
  <c r="D103" i="13"/>
  <c r="D102" s="1"/>
  <c r="D101" s="1"/>
  <c r="D114"/>
  <c r="D113" s="1"/>
  <c r="D99" s="1"/>
  <c r="D98" s="1"/>
  <c r="M58" i="1"/>
  <c r="J58"/>
  <c r="D468" i="2"/>
  <c r="D14" s="1"/>
  <c r="D482"/>
  <c r="D481" s="1"/>
  <c r="D475"/>
  <c r="D490"/>
  <c r="D489" s="1"/>
  <c r="D512"/>
  <c r="D520"/>
  <c r="D517" s="1"/>
  <c r="O524"/>
  <c r="L14" i="6"/>
  <c r="L98"/>
  <c r="L97" s="1"/>
  <c r="F160"/>
  <c r="M161"/>
  <c r="D161"/>
  <c r="F143"/>
  <c r="K61" i="4"/>
  <c r="K60" s="1"/>
  <c r="H64" i="1"/>
  <c r="H119" s="1"/>
  <c r="H165" s="1"/>
  <c r="I61" i="4"/>
  <c r="I60" s="1"/>
  <c r="F64" i="1"/>
  <c r="L61" i="4"/>
  <c r="L60" s="1"/>
  <c r="K58" i="1"/>
  <c r="Q58" s="1"/>
  <c r="J59"/>
  <c r="E51" i="4"/>
  <c r="E50" s="1"/>
  <c r="U106"/>
  <c r="F13" i="8"/>
  <c r="F12" s="1"/>
  <c r="F45"/>
  <c r="M46"/>
  <c r="D46"/>
  <c r="D45" s="1"/>
  <c r="I67" i="1"/>
  <c r="I122" s="1"/>
  <c r="I168" s="1"/>
  <c r="L536" i="2"/>
  <c r="L535" s="1"/>
  <c r="O33" i="3"/>
  <c r="M159" i="9"/>
  <c r="M158" s="1"/>
  <c r="F205" i="2"/>
  <c r="D467"/>
  <c r="D466" s="1"/>
  <c r="D465" s="1"/>
  <c r="F154" i="6"/>
  <c r="D75"/>
  <c r="O75" s="1"/>
  <c r="F14" i="13"/>
  <c r="F12" s="1"/>
  <c r="H14" i="6"/>
  <c r="J11" i="7"/>
  <c r="J10" s="1"/>
  <c r="D41" i="3"/>
  <c r="D38" s="1"/>
  <c r="H41" i="10"/>
  <c r="L12" i="3"/>
  <c r="L11" s="1"/>
  <c r="D122" i="2"/>
  <c r="D121" s="1"/>
  <c r="J26"/>
  <c r="J23" s="1"/>
  <c r="H34" i="1"/>
  <c r="H124" s="1"/>
  <c r="H170" s="1"/>
  <c r="J25" i="6"/>
  <c r="J24" s="1"/>
  <c r="J153"/>
  <c r="J142"/>
  <c r="F470" i="2"/>
  <c r="F465" s="1"/>
  <c r="E41" i="10"/>
  <c r="I64" i="1"/>
  <c r="H146" i="5"/>
  <c r="H148" s="1"/>
  <c r="M48" i="8"/>
  <c r="F109" i="3"/>
  <c r="O109" s="1"/>
  <c r="K62" i="5"/>
  <c r="K10" s="1"/>
  <c r="K9" s="1"/>
  <c r="I44" i="10"/>
  <c r="I41"/>
  <c r="G41"/>
  <c r="G446" i="2"/>
  <c r="I22" i="5"/>
  <c r="I19" s="1"/>
  <c r="J16"/>
  <c r="J12" s="1"/>
  <c r="G25" i="1"/>
  <c r="G113" s="1"/>
  <c r="G159" s="1"/>
  <c r="H16" i="5"/>
  <c r="M18"/>
  <c r="M16" s="1"/>
  <c r="F63" i="3"/>
  <c r="D64"/>
  <c r="L129" i="2"/>
  <c r="D91" i="3"/>
  <c r="D119" i="8"/>
  <c r="D116" s="1"/>
  <c r="D115" s="1"/>
  <c r="F223" i="2"/>
  <c r="F91" i="9"/>
  <c r="F209" i="6"/>
  <c r="F208" s="1"/>
  <c r="F152"/>
  <c r="G205"/>
  <c r="G147"/>
  <c r="D206"/>
  <c r="D205" s="1"/>
  <c r="F201"/>
  <c r="F200" s="1"/>
  <c r="D203"/>
  <c r="M203"/>
  <c r="F144"/>
  <c r="L89" i="9"/>
  <c r="K175"/>
  <c r="M64" i="3"/>
  <c r="M63" s="1"/>
  <c r="G63"/>
  <c r="D70" i="5"/>
  <c r="D69" s="1"/>
  <c r="D18"/>
  <c r="D101" i="6"/>
  <c r="J109"/>
  <c r="J108" s="1"/>
  <c r="D111"/>
  <c r="D113"/>
  <c r="D96" s="1"/>
  <c r="H109"/>
  <c r="H108" s="1"/>
  <c r="D114"/>
  <c r="M136"/>
  <c r="F128"/>
  <c r="D136"/>
  <c r="H537" i="2"/>
  <c r="E67" i="1" s="1"/>
  <c r="D611" i="2"/>
  <c r="D313"/>
  <c r="L10" i="7"/>
  <c r="D399" i="2"/>
  <c r="D109" i="3"/>
  <c r="D61" i="2"/>
  <c r="I122" i="6"/>
  <c r="C43" i="10"/>
  <c r="D223" i="6"/>
  <c r="D499" i="2"/>
  <c r="I508"/>
  <c r="G43" i="10" s="1"/>
  <c r="M63" i="6"/>
  <c r="M149"/>
  <c r="D229"/>
  <c r="D22"/>
  <c r="L14" i="2"/>
  <c r="I19" i="1" s="1"/>
  <c r="I110" s="1"/>
  <c r="I156" s="1"/>
  <c r="L466" i="2"/>
  <c r="L465" s="1"/>
  <c r="J44" i="10"/>
  <c r="L51" i="7"/>
  <c r="F113"/>
  <c r="H24" i="2"/>
  <c r="E29" i="1" s="1"/>
  <c r="E119" s="1"/>
  <c r="E165" s="1"/>
  <c r="H474" i="2"/>
  <c r="H473" s="1"/>
  <c r="G511"/>
  <c r="M512"/>
  <c r="M511" s="1"/>
  <c r="F299" i="9"/>
  <c r="F298" s="1"/>
  <c r="H299"/>
  <c r="H298" s="1"/>
  <c r="F42" i="10"/>
  <c r="H55" i="5"/>
  <c r="G146"/>
  <c r="G148" s="1"/>
  <c r="G149" s="1"/>
  <c r="J509" i="2"/>
  <c r="J508" s="1"/>
  <c r="H43" i="10" s="1"/>
  <c r="J13" i="2"/>
  <c r="F37" i="5"/>
  <c r="M99" i="13"/>
  <c r="M98" s="1"/>
  <c r="K151" i="6"/>
  <c r="K23"/>
  <c r="K14"/>
  <c r="M143"/>
  <c r="M142" s="1"/>
  <c r="I119" i="13"/>
  <c r="I121" s="1"/>
  <c r="D187" i="2"/>
  <c r="H25"/>
  <c r="M366"/>
  <c r="G44" i="9"/>
  <c r="H85" i="3"/>
  <c r="L185" i="6"/>
  <c r="L184" s="1"/>
  <c r="L181" s="1"/>
  <c r="L156"/>
  <c r="M442" i="2"/>
  <c r="M441" s="1"/>
  <c r="H42"/>
  <c r="D343"/>
  <c r="D342" s="1"/>
  <c r="G171" i="3"/>
  <c r="J171"/>
  <c r="I65" i="1"/>
  <c r="H65"/>
  <c r="D65"/>
  <c r="D21" i="13"/>
  <c r="D58"/>
  <c r="G457" i="2"/>
  <c r="G456" s="1"/>
  <c r="K249" i="9"/>
  <c r="D406" i="2"/>
  <c r="D405" s="1"/>
  <c r="D404" s="1"/>
  <c r="L405"/>
  <c r="L404" s="1"/>
  <c r="E129"/>
  <c r="E169"/>
  <c r="E427"/>
  <c r="E426" s="1"/>
  <c r="D428"/>
  <c r="D427" s="1"/>
  <c r="F137"/>
  <c r="L47" i="9"/>
  <c r="L44" s="1"/>
  <c r="D48"/>
  <c r="D47" s="1"/>
  <c r="M68" i="2"/>
  <c r="E44"/>
  <c r="E43" s="1"/>
  <c r="E25"/>
  <c r="E83" i="8"/>
  <c r="F83"/>
  <c r="D14" i="7"/>
  <c r="D144"/>
  <c r="D143" s="1"/>
  <c r="E16" i="3"/>
  <c r="E32"/>
  <c r="J175" i="7"/>
  <c r="K17"/>
  <c r="I69" i="1"/>
  <c r="I68" s="1"/>
  <c r="L21" i="7"/>
  <c r="L17" s="1"/>
  <c r="K51" i="4"/>
  <c r="K50" s="1"/>
  <c r="G199" i="3"/>
  <c r="I199"/>
  <c r="K199"/>
  <c r="E68"/>
  <c r="E62" s="1"/>
  <c r="D69"/>
  <c r="L29" i="8"/>
  <c r="L28" s="1"/>
  <c r="D76"/>
  <c r="D75" s="1"/>
  <c r="D74" s="1"/>
  <c r="D145" s="1"/>
  <c r="L75"/>
  <c r="L74" s="1"/>
  <c r="L145" s="1"/>
  <c r="M207" i="3"/>
  <c r="M206" s="1"/>
  <c r="D207"/>
  <c r="G213"/>
  <c r="D214"/>
  <c r="D213" s="1"/>
  <c r="K217"/>
  <c r="F224"/>
  <c r="D225"/>
  <c r="E232"/>
  <c r="F232"/>
  <c r="H232"/>
  <c r="J232"/>
  <c r="J18"/>
  <c r="F271"/>
  <c r="E23" i="5"/>
  <c r="E22" s="1"/>
  <c r="E19" s="1"/>
  <c r="E81"/>
  <c r="I127" i="3"/>
  <c r="G20"/>
  <c r="G19" s="1"/>
  <c r="G18" s="1"/>
  <c r="G188"/>
  <c r="D189"/>
  <c r="D191"/>
  <c r="D190" s="1"/>
  <c r="G190"/>
  <c r="G286" i="2"/>
  <c r="D287"/>
  <c r="D286" s="1"/>
  <c r="D283" s="1"/>
  <c r="G262"/>
  <c r="D263"/>
  <c r="D262" s="1"/>
  <c r="D259" s="1"/>
  <c r="D18" i="8"/>
  <c r="F18" i="10"/>
  <c r="H12" i="5"/>
  <c r="I29" i="1"/>
  <c r="F44" i="10"/>
  <c r="C42"/>
  <c r="M302" i="9"/>
  <c r="D39" i="2"/>
  <c r="D17" s="1"/>
  <c r="D50"/>
  <c r="D30" s="1"/>
  <c r="F29" i="1"/>
  <c r="F119" s="1"/>
  <c r="F165" s="1"/>
  <c r="I10" i="7"/>
  <c r="K296" i="9"/>
  <c r="K295" s="1"/>
  <c r="I208" i="6"/>
  <c r="K200"/>
  <c r="K11" s="1"/>
  <c r="I200"/>
  <c r="H22" i="5"/>
  <c r="H19" s="1"/>
  <c r="H149" s="1"/>
  <c r="F22"/>
  <c r="F19" s="1"/>
  <c r="L25" i="2"/>
  <c r="I30" i="1" s="1"/>
  <c r="D13" i="13"/>
  <c r="K15" i="3"/>
  <c r="L91" i="6"/>
  <c r="J19" i="10" s="1"/>
  <c r="M53" i="6"/>
  <c r="M52" s="1"/>
  <c r="M44"/>
  <c r="L57"/>
  <c r="H219" i="9"/>
  <c r="H12"/>
  <c r="D131" i="7"/>
  <c r="D35" i="9"/>
  <c r="D323" i="2"/>
  <c r="D322" s="1"/>
  <c r="D319" s="1"/>
  <c r="E74" i="8"/>
  <c r="E145" s="1"/>
  <c r="L259" i="2"/>
  <c r="E253" i="9"/>
  <c r="J23"/>
  <c r="J22" s="1"/>
  <c r="J258"/>
  <c r="J253" s="1"/>
  <c r="M30" i="3"/>
  <c r="D30"/>
  <c r="F176"/>
  <c r="D177"/>
  <c r="D176" s="1"/>
  <c r="F183"/>
  <c r="M184"/>
  <c r="M183" s="1"/>
  <c r="J183"/>
  <c r="J175" s="1"/>
  <c r="E274" i="9"/>
  <c r="H279"/>
  <c r="G283"/>
  <c r="D289"/>
  <c r="L38" i="2"/>
  <c r="D232"/>
  <c r="D230" s="1"/>
  <c r="D229" s="1"/>
  <c r="F80"/>
  <c r="F411"/>
  <c r="F408" s="1"/>
  <c r="D412"/>
  <c r="D411" s="1"/>
  <c r="D408" s="1"/>
  <c r="E250" i="3"/>
  <c r="D250"/>
  <c r="H256"/>
  <c r="E256"/>
  <c r="E265"/>
  <c r="J271"/>
  <c r="G276"/>
  <c r="K276"/>
  <c r="H22" i="4"/>
  <c r="D81" i="13"/>
  <c r="D22"/>
  <c r="E74"/>
  <c r="E295" i="2"/>
  <c r="I289"/>
  <c r="I301"/>
  <c r="E214"/>
  <c r="D215"/>
  <c r="D214" s="1"/>
  <c r="D211" s="1"/>
  <c r="E38"/>
  <c r="E15" s="1"/>
  <c r="B20" i="1" s="1"/>
  <c r="E218" i="2"/>
  <c r="E247"/>
  <c r="D270"/>
  <c r="D269" s="1"/>
  <c r="D265" s="1"/>
  <c r="E269"/>
  <c r="E375"/>
  <c r="E447"/>
  <c r="D565"/>
  <c r="D564" s="1"/>
  <c r="D563" s="1"/>
  <c r="E643"/>
  <c r="E642" s="1"/>
  <c r="E527" s="1"/>
  <c r="D644"/>
  <c r="D643" s="1"/>
  <c r="D642" s="1"/>
  <c r="F185" i="9"/>
  <c r="F184" s="1"/>
  <c r="M53" i="3"/>
  <c r="M51" s="1"/>
  <c r="I46"/>
  <c r="M47"/>
  <c r="M46" s="1"/>
  <c r="H57"/>
  <c r="F38" i="10" s="1"/>
  <c r="K38" s="1"/>
  <c r="J238" i="3"/>
  <c r="G239"/>
  <c r="M243"/>
  <c r="M239" s="1"/>
  <c r="D303" i="2"/>
  <c r="M303"/>
  <c r="M302" s="1"/>
  <c r="M301" s="1"/>
  <c r="G310"/>
  <c r="D311"/>
  <c r="D310" s="1"/>
  <c r="D294"/>
  <c r="D293" s="1"/>
  <c r="D289" s="1"/>
  <c r="H167" i="9"/>
  <c r="H23"/>
  <c r="F375" i="2"/>
  <c r="F373" s="1"/>
  <c r="F370" s="1"/>
  <c r="M440"/>
  <c r="D440"/>
  <c r="D35" i="3"/>
  <c r="F158" i="7"/>
  <c r="F157" s="1"/>
  <c r="F185" s="1"/>
  <c r="D160"/>
  <c r="K11"/>
  <c r="K10" s="1"/>
  <c r="H56" i="1"/>
  <c r="D30" i="9"/>
  <c r="H131" i="7"/>
  <c r="D68" i="4"/>
  <c r="D67" s="1"/>
  <c r="D68" i="13"/>
  <c r="F56" i="1"/>
  <c r="D56"/>
  <c r="F259" i="2"/>
  <c r="J143" i="7"/>
  <c r="D151"/>
  <c r="D150" s="1"/>
  <c r="I253" i="9"/>
  <c r="H253"/>
  <c r="L18" i="8"/>
  <c r="L175" i="3"/>
  <c r="G30" i="1"/>
  <c r="G120" s="1"/>
  <c r="G166" s="1"/>
  <c r="D247" i="3"/>
  <c r="D246" s="1"/>
  <c r="O246" s="1"/>
  <c r="C14" i="10"/>
  <c r="K283" i="3"/>
  <c r="M291"/>
  <c r="M290" s="1"/>
  <c r="K58" i="8"/>
  <c r="I14" i="10" s="1"/>
  <c r="G29" i="8"/>
  <c r="D55"/>
  <c r="D54" s="1"/>
  <c r="H100" i="7"/>
  <c r="E107"/>
  <c r="K12" i="9"/>
  <c r="I95"/>
  <c r="I12"/>
  <c r="I11" s="1"/>
  <c r="E96"/>
  <c r="G101"/>
  <c r="G95" s="1"/>
  <c r="I16"/>
  <c r="K101"/>
  <c r="K16"/>
  <c r="G117"/>
  <c r="G111" s="1"/>
  <c r="K258"/>
  <c r="K23"/>
  <c r="K22" s="1"/>
  <c r="I23"/>
  <c r="I22" s="1"/>
  <c r="D29" i="3"/>
  <c r="M176"/>
  <c r="D194"/>
  <c r="D193" s="1"/>
  <c r="F13"/>
  <c r="F11" s="1"/>
  <c r="J62"/>
  <c r="H72"/>
  <c r="J72"/>
  <c r="D284" i="9"/>
  <c r="D283" s="1"/>
  <c r="F289"/>
  <c r="F167" i="3"/>
  <c r="I63" i="7"/>
  <c r="D108"/>
  <c r="D107" s="1"/>
  <c r="E113"/>
  <c r="M271" i="3"/>
  <c r="D265"/>
  <c r="I25" i="13"/>
  <c r="I23" s="1"/>
  <c r="L58" i="8"/>
  <c r="J14" i="10" s="1"/>
  <c r="H283" i="3"/>
  <c r="H282" s="1"/>
  <c r="J283"/>
  <c r="E283" i="2"/>
  <c r="F87" i="8"/>
  <c r="J101"/>
  <c r="J144" s="1"/>
  <c r="J146" s="1"/>
  <c r="F134" i="3"/>
  <c r="H134"/>
  <c r="J134"/>
  <c r="E127"/>
  <c r="G93" i="7"/>
  <c r="H91" i="5"/>
  <c r="H90" s="1"/>
  <c r="M92"/>
  <c r="M91" s="1"/>
  <c r="M90" s="1"/>
  <c r="M15" i="13"/>
  <c r="E307" i="2"/>
  <c r="F307"/>
  <c r="G137" i="9"/>
  <c r="M138"/>
  <c r="M137" s="1"/>
  <c r="G23"/>
  <c r="G22" s="1"/>
  <c r="G149"/>
  <c r="M150"/>
  <c r="M149" s="1"/>
  <c r="F321" i="3"/>
  <c r="F314" s="1"/>
  <c r="F313" s="1"/>
  <c r="D76" i="5"/>
  <c r="F81"/>
  <c r="G134" i="3"/>
  <c r="D101" i="7"/>
  <c r="I93"/>
  <c r="I373" i="2"/>
  <c r="I370" s="1"/>
  <c r="G28" i="10" s="1"/>
  <c r="I271" i="3"/>
  <c r="G211" i="2"/>
  <c r="J12" i="9"/>
  <c r="J11" s="1"/>
  <c r="E101"/>
  <c r="H101"/>
  <c r="H16"/>
  <c r="J16"/>
  <c r="F29" i="4"/>
  <c r="F110" s="1"/>
  <c r="O77" i="13"/>
  <c r="D15"/>
  <c r="D17"/>
  <c r="D78"/>
  <c r="D74" s="1"/>
  <c r="D10" s="1"/>
  <c r="D24"/>
  <c r="D83"/>
  <c r="D75" i="9"/>
  <c r="M27"/>
  <c r="M26" s="1"/>
  <c r="E167"/>
  <c r="E23"/>
  <c r="E22" s="1"/>
  <c r="E114" i="13"/>
  <c r="E113" s="1"/>
  <c r="E99" s="1"/>
  <c r="E98" s="1"/>
  <c r="E103"/>
  <c r="M93" i="5"/>
  <c r="C56" i="1"/>
  <c r="P53" s="1"/>
  <c r="H10" i="4"/>
  <c r="H9" s="1"/>
  <c r="F531" i="2"/>
  <c r="M170"/>
  <c r="E253"/>
  <c r="E313"/>
  <c r="E337"/>
  <c r="E142" i="3"/>
  <c r="E64" i="6"/>
  <c r="D150" i="9"/>
  <c r="D149" s="1"/>
  <c r="F23"/>
  <c r="D58" i="3"/>
  <c r="D57" s="1"/>
  <c r="F155"/>
  <c r="F17" s="1"/>
  <c r="D70" i="7"/>
  <c r="D69" s="1"/>
  <c r="F19" i="9"/>
  <c r="L50"/>
  <c r="D27"/>
  <c r="H20" i="1"/>
  <c r="H111" s="1"/>
  <c r="H157" s="1"/>
  <c r="K19" i="9"/>
  <c r="G19"/>
  <c r="G109" i="1"/>
  <c r="G155" s="1"/>
  <c r="B29"/>
  <c r="B119" s="1"/>
  <c r="B165" s="1"/>
  <c r="F508" i="2"/>
  <c r="F48" i="5"/>
  <c r="D42" i="10"/>
  <c r="D25" i="3"/>
  <c r="D181" i="2"/>
  <c r="D175" i="7"/>
  <c r="M19" i="2"/>
  <c r="E106" i="5"/>
  <c r="M21" i="2"/>
  <c r="G69" i="6"/>
  <c r="O68" i="13"/>
  <c r="M508" i="2"/>
  <c r="D114" i="1"/>
  <c r="D160" s="1"/>
  <c r="D106" i="5"/>
  <c r="E114" i="1"/>
  <c r="E160" s="1"/>
  <c r="F451" i="2"/>
  <c r="F365"/>
  <c r="F364" s="1"/>
  <c r="H51" i="7"/>
  <c r="I19" i="13"/>
  <c r="I122" s="1"/>
  <c r="P112"/>
  <c r="F157" i="2"/>
  <c r="J170" i="9"/>
  <c r="L109" i="3"/>
  <c r="L85"/>
  <c r="J140"/>
  <c r="M146"/>
  <c r="M145" s="1"/>
  <c r="L86" i="6"/>
  <c r="J18" i="10" s="1"/>
  <c r="M48" i="6"/>
  <c r="G57"/>
  <c r="D57"/>
  <c r="O57" s="1"/>
  <c r="G461" i="2"/>
  <c r="L456"/>
  <c r="I249" i="9"/>
  <c r="I325" s="1"/>
  <c r="G86"/>
  <c r="D352" i="2"/>
  <c r="M55"/>
  <c r="M54" s="1"/>
  <c r="D171" i="6"/>
  <c r="D155" s="1"/>
  <c r="M63" i="13"/>
  <c r="E61" i="4"/>
  <c r="E60" s="1"/>
  <c r="J51"/>
  <c r="H51"/>
  <c r="H50" s="1"/>
  <c r="F51"/>
  <c r="F50" s="1"/>
  <c r="I51"/>
  <c r="L51"/>
  <c r="L50" s="1"/>
  <c r="H109" i="1"/>
  <c r="H155" s="1"/>
  <c r="F109"/>
  <c r="F155" s="1"/>
  <c r="D29" i="8"/>
  <c r="H258" i="9"/>
  <c r="I262"/>
  <c r="D50" i="6"/>
  <c r="D41" s="1"/>
  <c r="I163" i="7"/>
  <c r="J163"/>
  <c r="G175"/>
  <c r="E187" i="3"/>
  <c r="D184"/>
  <c r="G176"/>
  <c r="G114" i="1"/>
  <c r="G160" s="1"/>
  <c r="H114"/>
  <c r="H160" s="1"/>
  <c r="L99" i="13"/>
  <c r="L98" s="1"/>
  <c r="F99"/>
  <c r="F98" s="1"/>
  <c r="D40" i="2"/>
  <c r="D16" s="1"/>
  <c r="M534"/>
  <c r="D53" i="6"/>
  <c r="D52" s="1"/>
  <c r="D137" i="7"/>
  <c r="D158" i="2"/>
  <c r="D157" s="1"/>
  <c r="I109" i="1"/>
  <c r="I155" s="1"/>
  <c r="D235" i="2"/>
  <c r="L175" i="7"/>
  <c r="D199" i="3"/>
  <c r="H68"/>
  <c r="H62" s="1"/>
  <c r="I62"/>
  <c r="H12" i="8"/>
  <c r="D217" i="3"/>
  <c r="F351" i="2"/>
  <c r="D113" i="7"/>
  <c r="L282" i="3"/>
  <c r="J22" i="10" s="1"/>
  <c r="L294" i="3"/>
  <c r="J23" i="10" s="1"/>
  <c r="I114" i="1"/>
  <c r="I160" s="1"/>
  <c r="L283" i="2"/>
  <c r="G283"/>
  <c r="M87" i="8"/>
  <c r="M96"/>
  <c r="D100" i="7"/>
  <c r="H87" i="5"/>
  <c r="K16" i="4"/>
  <c r="K112" s="1"/>
  <c r="L16"/>
  <c r="K9"/>
  <c r="I9"/>
  <c r="L9"/>
  <c r="M13"/>
  <c r="L41"/>
  <c r="L109" s="1"/>
  <c r="L111" s="1"/>
  <c r="D92" i="13"/>
  <c r="G127" i="9"/>
  <c r="D307" i="2"/>
  <c r="E206"/>
  <c r="E205" s="1"/>
  <c r="E155" i="3"/>
  <c r="E167"/>
  <c r="E166" s="1"/>
  <c r="E165" s="1"/>
  <c r="E50" i="9"/>
  <c r="E163"/>
  <c r="D163" s="1"/>
  <c r="D162" s="1"/>
  <c r="E57" i="13"/>
  <c r="G155" i="3"/>
  <c r="D32" i="6"/>
  <c r="E193" i="3"/>
  <c r="I283" i="9"/>
  <c r="D232" i="3"/>
  <c r="D271" i="2"/>
  <c r="J79" i="3"/>
  <c r="J85"/>
  <c r="D58" i="7"/>
  <c r="D57" s="1"/>
  <c r="M247" i="3"/>
  <c r="M246" s="1"/>
  <c r="B114" i="1"/>
  <c r="B160" s="1"/>
  <c r="D128" i="3"/>
  <c r="E134"/>
  <c r="D94" i="7"/>
  <c r="D93" s="1"/>
  <c r="F100"/>
  <c r="I100"/>
  <c r="G100"/>
  <c r="I193" i="3"/>
  <c r="I115"/>
  <c r="D82" i="7"/>
  <c r="D81" s="1"/>
  <c r="J16" i="4"/>
  <c r="J112" s="1"/>
  <c r="E16"/>
  <c r="J10"/>
  <c r="J9" s="1"/>
  <c r="M86" i="13"/>
  <c r="L74"/>
  <c r="L10" s="1"/>
  <c r="M180" i="6"/>
  <c r="M178" s="1"/>
  <c r="M177" s="1"/>
  <c r="M173" s="1"/>
  <c r="E42" i="2"/>
  <c r="E41" s="1"/>
  <c r="E19" i="7"/>
  <c r="E18" s="1"/>
  <c r="E17" s="1"/>
  <c r="J41" i="10"/>
  <c r="L10" i="5"/>
  <c r="L9" s="1"/>
  <c r="D253" i="2"/>
  <c r="M289"/>
  <c r="D163" i="7"/>
  <c r="L508" i="2"/>
  <c r="G508"/>
  <c r="K42" i="10"/>
  <c r="L29" i="2"/>
  <c r="D435"/>
  <c r="D124" i="6"/>
  <c r="D123" s="1"/>
  <c r="D9" i="7"/>
  <c r="C34" i="1"/>
  <c r="C124" s="1"/>
  <c r="C170" s="1"/>
  <c r="G23" i="2"/>
  <c r="F527"/>
  <c r="D36" i="13"/>
  <c r="J30" i="10"/>
  <c r="H527" i="2"/>
  <c r="D68"/>
  <c r="J691"/>
  <c r="G88" i="1"/>
  <c r="D25" i="2"/>
  <c r="D241"/>
  <c r="O163" i="3"/>
  <c r="F7" i="7"/>
  <c r="M16" i="3"/>
  <c r="G17" i="6"/>
  <c r="M62" i="3"/>
  <c r="M12" i="5"/>
  <c r="L527" i="2"/>
  <c r="G80" i="6"/>
  <c r="G527" i="2"/>
  <c r="L26"/>
  <c r="F88" i="1"/>
  <c r="I691" i="2"/>
  <c r="I692" s="1"/>
  <c r="F456"/>
  <c r="F369"/>
  <c r="F367" s="1"/>
  <c r="G57" i="7"/>
  <c r="M194" i="6"/>
  <c r="K149" i="5"/>
  <c r="K12"/>
  <c r="G12"/>
  <c r="I45" i="7"/>
  <c r="I51"/>
  <c r="J66" i="1"/>
  <c r="H17" i="6"/>
  <c r="E23" i="1" s="1"/>
  <c r="F214" i="9"/>
  <c r="M42" i="2"/>
  <c r="M41" s="1"/>
  <c r="D57" i="13"/>
  <c r="O57" s="1"/>
  <c r="H19"/>
  <c r="E146" i="5"/>
  <c r="E148" s="1"/>
  <c r="E149" s="1"/>
  <c r="F175" i="2"/>
  <c r="I29"/>
  <c r="J18"/>
  <c r="J189" i="6"/>
  <c r="H193"/>
  <c r="J149" i="5"/>
  <c r="H36" i="13"/>
  <c r="H337" i="2"/>
  <c r="H344"/>
  <c r="L179" i="9"/>
  <c r="D37" i="5"/>
  <c r="G214" i="9"/>
  <c r="D346" i="2"/>
  <c r="D48" s="1"/>
  <c r="D26" s="1"/>
  <c r="D330"/>
  <c r="D329" s="1"/>
  <c r="D325" s="1"/>
  <c r="F26"/>
  <c r="H121" i="3"/>
  <c r="H109"/>
  <c r="H528" i="2"/>
  <c r="L145" i="3"/>
  <c r="L140" s="1"/>
  <c r="H161"/>
  <c r="D146"/>
  <c r="D145" s="1"/>
  <c r="H79"/>
  <c r="H103"/>
  <c r="I145"/>
  <c r="I140" s="1"/>
  <c r="M34" i="6"/>
  <c r="M33" s="1"/>
  <c r="H115" i="3"/>
  <c r="F57" i="6"/>
  <c r="G15"/>
  <c r="M15" s="1"/>
  <c r="F461" i="2"/>
  <c r="D28" i="10" s="1"/>
  <c r="L452" i="2"/>
  <c r="L451" s="1"/>
  <c r="L450" s="1"/>
  <c r="G452"/>
  <c r="J19" i="13"/>
  <c r="H223" i="9"/>
  <c r="J99" i="6"/>
  <c r="J292" s="1"/>
  <c r="D651" i="2"/>
  <c r="D650" s="1"/>
  <c r="E12" i="5"/>
  <c r="H15" i="2"/>
  <c r="J282" i="3"/>
  <c r="M532" i="2"/>
  <c r="D338"/>
  <c r="D417"/>
  <c r="D351"/>
  <c r="D357"/>
  <c r="L44"/>
  <c r="L43" s="1"/>
  <c r="I28" i="8"/>
  <c r="G28"/>
  <c r="H22"/>
  <c r="G12"/>
  <c r="G11" s="1"/>
  <c r="I16"/>
  <c r="L16"/>
  <c r="I15" i="2"/>
  <c r="K25"/>
  <c r="H30" i="1" s="1"/>
  <c r="H120" s="1"/>
  <c r="H166" s="1"/>
  <c r="G262" i="9"/>
  <c r="I274"/>
  <c r="E28" i="10"/>
  <c r="D19" i="7"/>
  <c r="D18" s="1"/>
  <c r="G20" i="1"/>
  <c r="G111" s="1"/>
  <c r="G157" s="1"/>
  <c r="C30"/>
  <c r="C120" s="1"/>
  <c r="C166" s="1"/>
  <c r="M36" i="13"/>
  <c r="J44" i="2"/>
  <c r="M88" i="5"/>
  <c r="G87"/>
  <c r="F7" i="4"/>
  <c r="F6" s="1"/>
  <c r="D659" i="2"/>
  <c r="D658" s="1"/>
  <c r="E689"/>
  <c r="B88" i="1" s="1"/>
  <c r="E86" i="9"/>
  <c r="E296"/>
  <c r="E295" s="1"/>
  <c r="E19" i="13"/>
  <c r="L19"/>
  <c r="L122" s="1"/>
  <c r="G223" i="2"/>
  <c r="L36"/>
  <c r="L35" s="1"/>
  <c r="G34" i="1"/>
  <c r="G124" s="1"/>
  <c r="G170" s="1"/>
  <c r="H28" i="8"/>
  <c r="I34" i="1"/>
  <c r="I124" s="1"/>
  <c r="I170" s="1"/>
  <c r="B39"/>
  <c r="H74" i="8"/>
  <c r="H145" s="1"/>
  <c r="M106"/>
  <c r="H16"/>
  <c r="I121" i="3"/>
  <c r="I328" s="1"/>
  <c r="I109"/>
  <c r="H175"/>
  <c r="G183"/>
  <c r="I183"/>
  <c r="I175" s="1"/>
  <c r="K183"/>
  <c r="K175" s="1"/>
  <c r="O203"/>
  <c r="F193"/>
  <c r="G193"/>
  <c r="H193"/>
  <c r="H199"/>
  <c r="K62"/>
  <c r="J283" i="9"/>
  <c r="K279"/>
  <c r="G279"/>
  <c r="G274" s="1"/>
  <c r="H274"/>
  <c r="D274"/>
  <c r="M274"/>
  <c r="J279"/>
  <c r="K283"/>
  <c r="K289"/>
  <c r="G167" i="3"/>
  <c r="E217"/>
  <c r="E205"/>
  <c r="M214"/>
  <c r="M213" s="1"/>
  <c r="K26" i="2"/>
  <c r="G44"/>
  <c r="G43" s="1"/>
  <c r="M40"/>
  <c r="E351"/>
  <c r="G317"/>
  <c r="G313" s="1"/>
  <c r="D64" i="7"/>
  <c r="D63" s="1"/>
  <c r="M262" i="3"/>
  <c r="M261" s="1"/>
  <c r="M256" s="1"/>
  <c r="G58" i="8"/>
  <c r="H294" i="3"/>
  <c r="I294"/>
  <c r="E282"/>
  <c r="K294"/>
  <c r="I58" i="8"/>
  <c r="G14" i="10" s="1"/>
  <c r="M39" i="2"/>
  <c r="H44"/>
  <c r="H43" s="1"/>
  <c r="F283"/>
  <c r="H101" i="8"/>
  <c r="H144" s="1"/>
  <c r="E9" i="4"/>
  <c r="I111"/>
  <c r="I112" s="1"/>
  <c r="I7"/>
  <c r="I6" s="1"/>
  <c r="L112"/>
  <c r="D86" i="13"/>
  <c r="M265" i="2"/>
  <c r="K691"/>
  <c r="H7" i="7"/>
  <c r="H29" i="4"/>
  <c r="H110" s="1"/>
  <c r="H16"/>
  <c r="G111"/>
  <c r="G112" s="1"/>
  <c r="I20" i="2"/>
  <c r="I18" s="1"/>
  <c r="J527"/>
  <c r="J526" s="1"/>
  <c r="F19" i="7"/>
  <c r="F18" s="1"/>
  <c r="M169" i="2"/>
  <c r="E154" i="3"/>
  <c r="E153" s="1"/>
  <c r="E63" i="13"/>
  <c r="D162" i="7"/>
  <c r="H417" i="2"/>
  <c r="H193"/>
  <c r="H253"/>
  <c r="D148" i="9"/>
  <c r="D13" s="1"/>
  <c r="J117"/>
  <c r="J111" s="1"/>
  <c r="L124"/>
  <c r="L121" s="1"/>
  <c r="I7" i="7"/>
  <c r="D113" i="9"/>
  <c r="D112" s="1"/>
  <c r="D93" i="4"/>
  <c r="G52"/>
  <c r="M52" s="1"/>
  <c r="M51" s="1"/>
  <c r="M50" s="1"/>
  <c r="D49"/>
  <c r="D27"/>
  <c r="I22"/>
  <c r="M15"/>
  <c r="M14" s="1"/>
  <c r="O26"/>
  <c r="P32"/>
  <c r="M35"/>
  <c r="D39"/>
  <c r="O40"/>
  <c r="E29"/>
  <c r="E110" s="1"/>
  <c r="E111" s="1"/>
  <c r="E112" s="1"/>
  <c r="I74" i="13"/>
  <c r="H80"/>
  <c r="H120" s="1"/>
  <c r="G74"/>
  <c r="K74"/>
  <c r="F74"/>
  <c r="J74"/>
  <c r="J80"/>
  <c r="J120" s="1"/>
  <c r="J121" s="1"/>
  <c r="K32" i="2"/>
  <c r="K29" s="1"/>
  <c r="G531"/>
  <c r="H531"/>
  <c r="H530" s="1"/>
  <c r="H529" s="1"/>
  <c r="I257" i="6"/>
  <c r="I256" s="1"/>
  <c r="I242" s="1"/>
  <c r="I241" s="1"/>
  <c r="H155" i="3"/>
  <c r="H17" s="1"/>
  <c r="G19" i="7"/>
  <c r="D88" i="1" s="1"/>
  <c r="E80" i="9"/>
  <c r="G74"/>
  <c r="D208" i="2"/>
  <c r="E531"/>
  <c r="D607"/>
  <c r="D606" s="1"/>
  <c r="D605" s="1"/>
  <c r="D36" i="3"/>
  <c r="E161"/>
  <c r="L6" i="4"/>
  <c r="M89" i="5"/>
  <c r="D278" i="2"/>
  <c r="D277" s="1"/>
  <c r="M160" i="7"/>
  <c r="F301" i="2"/>
  <c r="I36"/>
  <c r="I35" s="1"/>
  <c r="M352"/>
  <c r="M351" s="1"/>
  <c r="E109" i="6"/>
  <c r="E108" s="1"/>
  <c r="D119"/>
  <c r="D118" s="1"/>
  <c r="P108" s="1"/>
  <c r="E52" i="7"/>
  <c r="E51" s="1"/>
  <c r="E125"/>
  <c r="J13" i="3"/>
  <c r="J11" s="1"/>
  <c r="J10" s="1"/>
  <c r="D210"/>
  <c r="O219" s="1"/>
  <c r="E242" i="2"/>
  <c r="G29" i="6"/>
  <c r="D29" s="1"/>
  <c r="E690" i="2"/>
  <c r="D139" i="6"/>
  <c r="D138" s="1"/>
  <c r="D137" s="1"/>
  <c r="I55" i="1"/>
  <c r="I112" s="1"/>
  <c r="I158" s="1"/>
  <c r="D147" i="9"/>
  <c r="G185"/>
  <c r="D222"/>
  <c r="I19" i="6"/>
  <c r="I18" s="1"/>
  <c r="D34" i="8"/>
  <c r="D33" s="1"/>
  <c r="D31"/>
  <c r="O31" s="1"/>
  <c r="J16" i="10"/>
  <c r="L10" i="8"/>
  <c r="D25" i="1"/>
  <c r="H25"/>
  <c r="F33" i="8"/>
  <c r="D16" i="10" s="1"/>
  <c r="N16" s="1"/>
  <c r="D21" i="1"/>
  <c r="E34"/>
  <c r="E124" s="1"/>
  <c r="E170" s="1"/>
  <c r="L78" i="8"/>
  <c r="E144"/>
  <c r="E146" s="1"/>
  <c r="O25"/>
  <c r="M113"/>
  <c r="M109" s="1"/>
  <c r="M108" s="1"/>
  <c r="F44"/>
  <c r="D12" i="10" s="1"/>
  <c r="N12" s="1"/>
  <c r="D50" i="8"/>
  <c r="J22"/>
  <c r="D28"/>
  <c r="F69"/>
  <c r="G22"/>
  <c r="I22"/>
  <c r="I21" s="1"/>
  <c r="I12"/>
  <c r="I11" s="1"/>
  <c r="F28"/>
  <c r="E87"/>
  <c r="G44"/>
  <c r="D109"/>
  <c r="D108" s="1"/>
  <c r="L21"/>
  <c r="L12"/>
  <c r="K63"/>
  <c r="I15" i="10" s="1"/>
  <c r="K50" i="8"/>
  <c r="I13" i="10" s="1"/>
  <c r="L63" i="8"/>
  <c r="J15" i="10" s="1"/>
  <c r="J58" i="8"/>
  <c r="H14" i="10" s="1"/>
  <c r="L87" i="8"/>
  <c r="G87"/>
  <c r="K44"/>
  <c r="I12" i="10" s="1"/>
  <c r="I50" i="8"/>
  <c r="G13" i="10" s="1"/>
  <c r="I109" i="8"/>
  <c r="I108" s="1"/>
  <c r="L109"/>
  <c r="L108" s="1"/>
  <c r="E21"/>
  <c r="D34" i="1"/>
  <c r="D124" s="1"/>
  <c r="D170" s="1"/>
  <c r="E16" i="8"/>
  <c r="E11" s="1"/>
  <c r="K96"/>
  <c r="E105"/>
  <c r="M107"/>
  <c r="F105"/>
  <c r="D96"/>
  <c r="F12" i="10"/>
  <c r="I105" i="8"/>
  <c r="F50" i="1"/>
  <c r="O15" i="8"/>
  <c r="K17" i="10"/>
  <c r="K21" i="8"/>
  <c r="C16" i="10"/>
  <c r="J28" i="8"/>
  <c r="F25" i="1"/>
  <c r="E13" i="10"/>
  <c r="M34" i="8"/>
  <c r="M33" s="1"/>
  <c r="F13" i="10"/>
  <c r="D39" i="8"/>
  <c r="D38" s="1"/>
  <c r="D123"/>
  <c r="D122" s="1"/>
  <c r="D107" s="1"/>
  <c r="D105" s="1"/>
  <c r="G69"/>
  <c r="H69"/>
  <c r="E69"/>
  <c r="G83"/>
  <c r="G144" s="1"/>
  <c r="G146" s="1"/>
  <c r="B55" i="1"/>
  <c r="F58" i="8"/>
  <c r="D14" i="10" s="1"/>
  <c r="D16" i="8"/>
  <c r="M16"/>
  <c r="H11"/>
  <c r="J12" i="10"/>
  <c r="H21" i="8"/>
  <c r="F144"/>
  <c r="F146" s="1"/>
  <c r="B21" i="1"/>
  <c r="B112" s="1"/>
  <c r="B158" s="1"/>
  <c r="D48" i="8"/>
  <c r="D44" s="1"/>
  <c r="O49"/>
  <c r="G50" i="1"/>
  <c r="G29"/>
  <c r="G119" s="1"/>
  <c r="G165" s="1"/>
  <c r="J44" i="8"/>
  <c r="F22"/>
  <c r="H58"/>
  <c r="I101"/>
  <c r="D23"/>
  <c r="O23" s="1"/>
  <c r="D87"/>
  <c r="B25" i="1"/>
  <c r="L11" i="13"/>
  <c r="N58" i="1"/>
  <c r="O27" i="2"/>
  <c r="M17"/>
  <c r="E192" i="9"/>
  <c r="F205"/>
  <c r="K245"/>
  <c r="J245"/>
  <c r="I245"/>
  <c r="F42" i="6"/>
  <c r="M43"/>
  <c r="M42" s="1"/>
  <c r="H43"/>
  <c r="H42" s="1"/>
  <c r="G43"/>
  <c r="D44"/>
  <c r="D92" i="5"/>
  <c r="D91" s="1"/>
  <c r="D90" s="1"/>
  <c r="D87"/>
  <c r="L12"/>
  <c r="L149"/>
  <c r="I25" i="1"/>
  <c r="L328" i="3"/>
  <c r="J9"/>
  <c r="K9"/>
  <c r="K34" i="10"/>
  <c r="E25" i="3"/>
  <c r="L45"/>
  <c r="I45"/>
  <c r="H45"/>
  <c r="G45"/>
  <c r="F85"/>
  <c r="O88" s="1"/>
  <c r="H9"/>
  <c r="E27" i="6"/>
  <c r="M109"/>
  <c r="M108" s="1"/>
  <c r="B31" i="1"/>
  <c r="B121" s="1"/>
  <c r="B167" s="1"/>
  <c r="E31"/>
  <c r="E121" s="1"/>
  <c r="E167" s="1"/>
  <c r="H21" i="6"/>
  <c r="C19" i="10"/>
  <c r="F31" i="1"/>
  <c r="F121" s="1"/>
  <c r="F167" s="1"/>
  <c r="C19"/>
  <c r="I189" i="6"/>
  <c r="I181"/>
  <c r="D15"/>
  <c r="K150"/>
  <c r="K274" s="1"/>
  <c r="G19" i="1"/>
  <c r="K189" i="6"/>
  <c r="F189"/>
  <c r="H166"/>
  <c r="D167"/>
  <c r="E153"/>
  <c r="D23" i="1"/>
  <c r="L17" i="6"/>
  <c r="G123"/>
  <c r="G122" s="1"/>
  <c r="E17"/>
  <c r="E13" s="1"/>
  <c r="E122"/>
  <c r="L127"/>
  <c r="L122" s="1"/>
  <c r="I9" i="3"/>
  <c r="M243" i="6"/>
  <c r="K256" i="3"/>
  <c r="J256"/>
  <c r="I256"/>
  <c r="K13"/>
  <c r="H19" i="1" s="1"/>
  <c r="D257" i="3"/>
  <c r="L367" i="2"/>
  <c r="L20"/>
  <c r="L18" s="1"/>
  <c r="L435"/>
  <c r="E435"/>
  <c r="M435"/>
  <c r="D426"/>
  <c r="J32"/>
  <c r="J29" s="1"/>
  <c r="M527"/>
  <c r="F689"/>
  <c r="C88" i="1" s="1"/>
  <c r="H691" i="2"/>
  <c r="K536"/>
  <c r="K535" s="1"/>
  <c r="K692" s="1"/>
  <c r="G530"/>
  <c r="G529" s="1"/>
  <c r="E691"/>
  <c r="F530"/>
  <c r="F529" s="1"/>
  <c r="E530"/>
  <c r="E529" s="1"/>
  <c r="I238" i="3"/>
  <c r="K238"/>
  <c r="H13"/>
  <c r="E19" i="1" s="1"/>
  <c r="K223" i="3"/>
  <c r="F223"/>
  <c r="J223"/>
  <c r="I223"/>
  <c r="H223"/>
  <c r="M175"/>
  <c r="I13"/>
  <c r="F19" i="1" s="1"/>
  <c r="H140" i="3"/>
  <c r="M140"/>
  <c r="F140"/>
  <c r="H205"/>
  <c r="F205"/>
  <c r="I205"/>
  <c r="K205"/>
  <c r="J205"/>
  <c r="O221"/>
  <c r="D206"/>
  <c r="D205" s="1"/>
  <c r="G206"/>
  <c r="D134"/>
  <c r="D127"/>
  <c r="C23" i="1"/>
  <c r="P17" s="1"/>
  <c r="D103" i="3"/>
  <c r="O105"/>
  <c r="M79"/>
  <c r="D79"/>
  <c r="F79"/>
  <c r="G79"/>
  <c r="D57" i="1"/>
  <c r="D22" i="7"/>
  <c r="D21" s="1"/>
  <c r="F21"/>
  <c r="F17" s="1"/>
  <c r="D51"/>
  <c r="H45"/>
  <c r="F10"/>
  <c r="P52" i="1"/>
  <c r="M9" i="7"/>
  <c r="D13"/>
  <c r="D11" s="1"/>
  <c r="D46"/>
  <c r="D45" s="1"/>
  <c r="D205" i="9"/>
  <c r="H297"/>
  <c r="M297" s="1"/>
  <c r="F95"/>
  <c r="L289"/>
  <c r="D138"/>
  <c r="D137" s="1"/>
  <c r="F157"/>
  <c r="G40" i="10"/>
  <c r="J274" i="9"/>
  <c r="F242"/>
  <c r="F241" s="1"/>
  <c r="M301"/>
  <c r="K126" i="1"/>
  <c r="E127" i="9"/>
  <c r="L74"/>
  <c r="F181"/>
  <c r="F180" s="1"/>
  <c r="G205"/>
  <c r="D268"/>
  <c r="F279"/>
  <c r="F274" s="1"/>
  <c r="E289"/>
  <c r="H289"/>
  <c r="F40" i="10" s="1"/>
  <c r="D19" i="9"/>
  <c r="H111"/>
  <c r="D118"/>
  <c r="D117" s="1"/>
  <c r="F127"/>
  <c r="M283"/>
  <c r="E181"/>
  <c r="E180" s="1"/>
  <c r="M300"/>
  <c r="L170"/>
  <c r="F192"/>
  <c r="K268"/>
  <c r="D174"/>
  <c r="D173" s="1"/>
  <c r="D170" s="1"/>
  <c r="D229"/>
  <c r="D237"/>
  <c r="L145"/>
  <c r="M262"/>
  <c r="M13"/>
  <c r="D80"/>
  <c r="M39"/>
  <c r="M38" s="1"/>
  <c r="M14"/>
  <c r="E159"/>
  <c r="E158" s="1"/>
  <c r="E185"/>
  <c r="D185" s="1"/>
  <c r="D184" s="1"/>
  <c r="E246"/>
  <c r="D152"/>
  <c r="D151" s="1"/>
  <c r="D161"/>
  <c r="H295"/>
  <c r="F296"/>
  <c r="F295" s="1"/>
  <c r="J296"/>
  <c r="J295" s="1"/>
  <c r="L205"/>
  <c r="L56"/>
  <c r="I218"/>
  <c r="J262"/>
  <c r="K274"/>
  <c r="J19"/>
  <c r="J18" s="1"/>
  <c r="I117"/>
  <c r="I111" s="1"/>
  <c r="E111"/>
  <c r="M147"/>
  <c r="M146" s="1"/>
  <c r="E268"/>
  <c r="M170"/>
  <c r="L86"/>
  <c r="D302"/>
  <c r="D299" s="1"/>
  <c r="D298" s="1"/>
  <c r="D308"/>
  <c r="D307" s="1"/>
  <c r="D296" s="1"/>
  <c r="D295" s="1"/>
  <c r="G136"/>
  <c r="G162"/>
  <c r="M163"/>
  <c r="M162" s="1"/>
  <c r="M157" s="1"/>
  <c r="K253"/>
  <c r="L157"/>
  <c r="D232"/>
  <c r="F231"/>
  <c r="D231" s="1"/>
  <c r="H95"/>
  <c r="E162"/>
  <c r="E170"/>
  <c r="D236"/>
  <c r="H40" i="10"/>
  <c r="D136" i="9"/>
  <c r="F166"/>
  <c r="H166"/>
  <c r="G170"/>
  <c r="G295"/>
  <c r="L151"/>
  <c r="L127"/>
  <c r="G145"/>
  <c r="M185"/>
  <c r="M184" s="1"/>
  <c r="G175"/>
  <c r="D146"/>
  <c r="D145" s="1"/>
  <c r="B57" i="1"/>
  <c r="I296" i="9"/>
  <c r="I295" s="1"/>
  <c r="F137"/>
  <c r="F86"/>
  <c r="G192"/>
  <c r="M192"/>
  <c r="F50"/>
  <c r="D182"/>
  <c r="L227"/>
  <c r="F146"/>
  <c r="J249"/>
  <c r="H36" i="10" s="1"/>
  <c r="H25" s="1"/>
  <c r="D88" i="9"/>
  <c r="D87" s="1"/>
  <c r="D235"/>
  <c r="E91"/>
  <c r="E175"/>
  <c r="I19"/>
  <c r="F253"/>
  <c r="G181"/>
  <c r="D263"/>
  <c r="D262" s="1"/>
  <c r="L12"/>
  <c r="L11" s="1"/>
  <c r="D131"/>
  <c r="D130" s="1"/>
  <c r="F74"/>
  <c r="L83"/>
  <c r="M140"/>
  <c r="M139" s="1"/>
  <c r="M136" s="1"/>
  <c r="M253"/>
  <c r="E189"/>
  <c r="F173"/>
  <c r="M186"/>
  <c r="M164"/>
  <c r="L16"/>
  <c r="L166"/>
  <c r="K166"/>
  <c r="K188"/>
  <c r="E302"/>
  <c r="E299" s="1"/>
  <c r="E298" s="1"/>
  <c r="D20" i="1"/>
  <c r="E55"/>
  <c r="K55" s="1"/>
  <c r="Q55" s="1"/>
  <c r="F26" i="9"/>
  <c r="H249"/>
  <c r="L249"/>
  <c r="D233"/>
  <c r="M233"/>
  <c r="M232" s="1"/>
  <c r="M231" s="1"/>
  <c r="L268"/>
  <c r="G258"/>
  <c r="F268"/>
  <c r="F283"/>
  <c r="L279"/>
  <c r="H283"/>
  <c r="E26"/>
  <c r="E38"/>
  <c r="E19"/>
  <c r="M118"/>
  <c r="M117" s="1"/>
  <c r="D129"/>
  <c r="D128" s="1"/>
  <c r="E74"/>
  <c r="M75"/>
  <c r="M74" s="1"/>
  <c r="F220"/>
  <c r="D160"/>
  <c r="D164"/>
  <c r="C20" i="1"/>
  <c r="M205" i="9"/>
  <c r="D192"/>
  <c r="M50"/>
  <c r="L218"/>
  <c r="D51"/>
  <c r="D50" s="1"/>
  <c r="J39" i="10"/>
  <c r="D253" i="9"/>
  <c r="H54" i="1"/>
  <c r="H53" s="1"/>
  <c r="H52" s="1"/>
  <c r="H71" s="1"/>
  <c r="D74" i="9"/>
  <c r="H86"/>
  <c r="M127"/>
  <c r="M221"/>
  <c r="D244"/>
  <c r="K108" i="6"/>
  <c r="K19"/>
  <c r="K18" s="1"/>
  <c r="I97"/>
  <c r="F19"/>
  <c r="F18" s="1"/>
  <c r="H98"/>
  <c r="F98"/>
  <c r="F97" s="1"/>
  <c r="G97"/>
  <c r="I13"/>
  <c r="G295"/>
  <c r="I31" i="1"/>
  <c r="I121" s="1"/>
  <c r="I167" s="1"/>
  <c r="L23" i="2"/>
  <c r="L22" s="1"/>
  <c r="L683" s="1"/>
  <c r="F23"/>
  <c r="M15"/>
  <c r="F20" i="1"/>
  <c r="K23" i="2"/>
  <c r="K22" s="1"/>
  <c r="K683" s="1"/>
  <c r="D44"/>
  <c r="D51"/>
  <c r="D49" s="1"/>
  <c r="L15"/>
  <c r="I20" i="1" s="1"/>
  <c r="K12" i="2"/>
  <c r="K11" s="1"/>
  <c r="D345"/>
  <c r="D344" s="1"/>
  <c r="I16"/>
  <c r="D30" i="1"/>
  <c r="D120" s="1"/>
  <c r="D166" s="1"/>
  <c r="F22"/>
  <c r="H41" i="2"/>
  <c r="H35" s="1"/>
  <c r="K44"/>
  <c r="K43" s="1"/>
  <c r="I7" i="10" s="1"/>
  <c r="I25" i="2"/>
  <c r="L357"/>
  <c r="L351"/>
  <c r="E20" i="1"/>
  <c r="E30"/>
  <c r="I13" i="2"/>
  <c r="J49"/>
  <c r="J43" s="1"/>
  <c r="M38"/>
  <c r="M36" s="1"/>
  <c r="M35" s="1"/>
  <c r="O39"/>
  <c r="J12"/>
  <c r="J11" s="1"/>
  <c r="I120" i="1"/>
  <c r="I166" s="1"/>
  <c r="C32"/>
  <c r="D31"/>
  <c r="D121" s="1"/>
  <c r="D167" s="1"/>
  <c r="H31"/>
  <c r="H121" s="1"/>
  <c r="H167" s="1"/>
  <c r="H27" i="2"/>
  <c r="E32" i="1" s="1"/>
  <c r="E123" s="1"/>
  <c r="E169" s="1"/>
  <c r="I296" i="6"/>
  <c r="I307" s="1"/>
  <c r="I273"/>
  <c r="I295"/>
  <c r="I306" s="1"/>
  <c r="G303"/>
  <c r="D43"/>
  <c r="H27"/>
  <c r="G273"/>
  <c r="E19" i="10"/>
  <c r="F295" i="6"/>
  <c r="P109"/>
  <c r="F273"/>
  <c r="K295"/>
  <c r="K306" s="1"/>
  <c r="K273"/>
  <c r="J295"/>
  <c r="J306" s="1"/>
  <c r="J21"/>
  <c r="G31" i="1"/>
  <c r="G154" i="6"/>
  <c r="G211"/>
  <c r="G208" s="1"/>
  <c r="D212"/>
  <c r="M128"/>
  <c r="M127" s="1"/>
  <c r="M122" s="1"/>
  <c r="H127"/>
  <c r="H293"/>
  <c r="D128"/>
  <c r="M164"/>
  <c r="D164"/>
  <c r="F163"/>
  <c r="D163" s="1"/>
  <c r="F28"/>
  <c r="F14"/>
  <c r="J293"/>
  <c r="J127"/>
  <c r="E273"/>
  <c r="D280"/>
  <c r="E63"/>
  <c r="H97"/>
  <c r="D19" i="10"/>
  <c r="K98" i="6"/>
  <c r="D105"/>
  <c r="K17"/>
  <c r="H23" i="1" s="1"/>
  <c r="D201" i="6"/>
  <c r="L154"/>
  <c r="L169"/>
  <c r="L166" s="1"/>
  <c r="M160"/>
  <c r="D109"/>
  <c r="E292"/>
  <c r="J28"/>
  <c r="M29"/>
  <c r="M28" s="1"/>
  <c r="M27" s="1"/>
  <c r="H153"/>
  <c r="I20"/>
  <c r="K21"/>
  <c r="K181"/>
  <c r="G181"/>
  <c r="H173"/>
  <c r="L43"/>
  <c r="H57"/>
  <c r="H273" s="1"/>
  <c r="D165"/>
  <c r="F166"/>
  <c r="J166"/>
  <c r="H159"/>
  <c r="M258"/>
  <c r="M257" s="1"/>
  <c r="M256" s="1"/>
  <c r="J19"/>
  <c r="J18" s="1"/>
  <c r="D34"/>
  <c r="I159"/>
  <c r="I10" s="1"/>
  <c r="H19"/>
  <c r="H18" s="1"/>
  <c r="M263"/>
  <c r="M262" s="1"/>
  <c r="D216"/>
  <c r="L273"/>
  <c r="H242"/>
  <c r="H241" s="1"/>
  <c r="D170"/>
  <c r="E242"/>
  <c r="E241" s="1"/>
  <c r="K242"/>
  <c r="H49" i="1" s="1"/>
  <c r="D41" i="4"/>
  <c r="D109" s="1"/>
  <c r="H111"/>
  <c r="H112" s="1"/>
  <c r="F16"/>
  <c r="F111"/>
  <c r="D18"/>
  <c r="D17" s="1"/>
  <c r="H35"/>
  <c r="G7"/>
  <c r="G6" s="1"/>
  <c r="P31"/>
  <c r="P33" s="1"/>
  <c r="D36"/>
  <c r="D35" s="1"/>
  <c r="D7" s="1"/>
  <c r="H7"/>
  <c r="H6" s="1"/>
  <c r="F10"/>
  <c r="F9" s="1"/>
  <c r="D20"/>
  <c r="D19" s="1"/>
  <c r="D30"/>
  <c r="D29" s="1"/>
  <c r="D110" s="1"/>
  <c r="M8"/>
  <c r="M23"/>
  <c r="M22" s="1"/>
  <c r="C22" i="1"/>
  <c r="C114" s="1"/>
  <c r="F22" i="4"/>
  <c r="D8"/>
  <c r="G10"/>
  <c r="G9" s="1"/>
  <c r="D23"/>
  <c r="D22" s="1"/>
  <c r="D11"/>
  <c r="D10" s="1"/>
  <c r="D9" s="1"/>
  <c r="M11"/>
  <c r="M10" s="1"/>
  <c r="M9" s="1"/>
  <c r="D276" i="3"/>
  <c r="D271"/>
  <c r="F256"/>
  <c r="G256"/>
  <c r="D262"/>
  <c r="D261" s="1"/>
  <c r="O261" s="1"/>
  <c r="F132" i="9"/>
  <c r="D111"/>
  <c r="F117"/>
  <c r="F111" s="1"/>
  <c r="K117"/>
  <c r="K111" s="1"/>
  <c r="M113"/>
  <c r="M112" s="1"/>
  <c r="L112"/>
  <c r="L111" s="1"/>
  <c r="M102"/>
  <c r="M101" s="1"/>
  <c r="D102"/>
  <c r="D101" s="1"/>
  <c r="M97"/>
  <c r="M96" s="1"/>
  <c r="D97"/>
  <c r="K95"/>
  <c r="M69" i="8"/>
  <c r="D69"/>
  <c r="O29"/>
  <c r="F78"/>
  <c r="D78"/>
  <c r="D13"/>
  <c r="D12" s="1"/>
  <c r="J50" i="4"/>
  <c r="I50"/>
  <c r="J61"/>
  <c r="J60" s="1"/>
  <c r="F61"/>
  <c r="F60" s="1"/>
  <c r="D53"/>
  <c r="G51"/>
  <c r="G50" s="1"/>
  <c r="D96"/>
  <c r="D95" s="1"/>
  <c r="D89" i="1"/>
  <c r="H50"/>
  <c r="G294" i="3"/>
  <c r="D294"/>
  <c r="F294"/>
  <c r="D20"/>
  <c r="D19" s="1"/>
  <c r="G290"/>
  <c r="F282"/>
  <c r="O290"/>
  <c r="D287"/>
  <c r="M287"/>
  <c r="G283"/>
  <c r="K282"/>
  <c r="M284"/>
  <c r="D284"/>
  <c r="G691" i="2"/>
  <c r="E89" i="1"/>
  <c r="E536" i="2"/>
  <c r="E535" s="1"/>
  <c r="E692" s="1"/>
  <c r="L691"/>
  <c r="L692" s="1"/>
  <c r="I89" i="1"/>
  <c r="I87" s="1"/>
  <c r="I63"/>
  <c r="I62" s="1"/>
  <c r="I72" s="1"/>
  <c r="F63"/>
  <c r="F62" s="1"/>
  <c r="F72" s="1"/>
  <c r="H67"/>
  <c r="H122" s="1"/>
  <c r="H168" s="1"/>
  <c r="G536" i="2"/>
  <c r="G535" s="1"/>
  <c r="K526"/>
  <c r="F20"/>
  <c r="F18" s="1"/>
  <c r="F426"/>
  <c r="F13"/>
  <c r="F422"/>
  <c r="E431"/>
  <c r="F32"/>
  <c r="F29" s="1"/>
  <c r="K373"/>
  <c r="K370" s="1"/>
  <c r="I28" i="10" s="1"/>
  <c r="I364" i="2"/>
  <c r="M14" i="13"/>
  <c r="M12" s="1"/>
  <c r="G12"/>
  <c r="G11" s="1"/>
  <c r="M47"/>
  <c r="M46" s="1"/>
  <c r="M45" s="1"/>
  <c r="G46"/>
  <c r="D47"/>
  <c r="F18"/>
  <c r="F16" s="1"/>
  <c r="F11" s="1"/>
  <c r="D53"/>
  <c r="F173" i="6"/>
  <c r="J145"/>
  <c r="H208"/>
  <c r="D169"/>
  <c r="G166"/>
  <c r="H200"/>
  <c r="E24"/>
  <c r="E20" s="1"/>
  <c r="K24"/>
  <c r="K20" s="1"/>
  <c r="G21" i="1"/>
  <c r="E173" i="6"/>
  <c r="D177"/>
  <c r="G159"/>
  <c r="G195"/>
  <c r="D196"/>
  <c r="D195" s="1"/>
  <c r="H21" i="1"/>
  <c r="E19" i="6"/>
  <c r="E18" s="1"/>
  <c r="E145"/>
  <c r="E181"/>
  <c r="D184"/>
  <c r="D181" s="1"/>
  <c r="D149" s="1"/>
  <c r="F45" i="13"/>
  <c r="G19"/>
  <c r="G122" s="1"/>
  <c r="F19"/>
  <c r="H16"/>
  <c r="M18"/>
  <c r="M16" s="1"/>
  <c r="E25" i="1"/>
  <c r="E113" s="1"/>
  <c r="L45" i="13"/>
  <c r="E45"/>
  <c r="C29" i="10" s="1"/>
  <c r="H12" i="13"/>
  <c r="F262" i="9"/>
  <c r="C67" i="1"/>
  <c r="C122" s="1"/>
  <c r="C168" s="1"/>
  <c r="D69"/>
  <c r="H15" i="7"/>
  <c r="H10" s="1"/>
  <c r="G10"/>
  <c r="D61" i="1"/>
  <c r="M13" i="7"/>
  <c r="E57" i="1"/>
  <c r="C155"/>
  <c r="E50"/>
  <c r="H526" i="2"/>
  <c r="E122" i="1"/>
  <c r="E168" s="1"/>
  <c r="E63"/>
  <c r="E62" s="1"/>
  <c r="E72" s="1"/>
  <c r="G63"/>
  <c r="G62" s="1"/>
  <c r="G72" s="1"/>
  <c r="G122"/>
  <c r="G168" s="1"/>
  <c r="H536" i="2"/>
  <c r="H535" s="1"/>
  <c r="H692" s="1"/>
  <c r="B89" i="1"/>
  <c r="B87" s="1"/>
  <c r="J536" i="2"/>
  <c r="J535" s="1"/>
  <c r="J692" s="1"/>
  <c r="L528"/>
  <c r="I50" i="1" s="1"/>
  <c r="G528" i="2"/>
  <c r="G526" s="1"/>
  <c r="E528"/>
  <c r="I54" i="1"/>
  <c r="F669" i="2"/>
  <c r="F119" i="13"/>
  <c r="F121" s="1"/>
  <c r="D25"/>
  <c r="F36"/>
  <c r="D27"/>
  <c r="H32"/>
  <c r="H119" s="1"/>
  <c r="H121" s="1"/>
  <c r="D33"/>
  <c r="D32" s="1"/>
  <c r="O33"/>
  <c r="M531" i="2"/>
  <c r="M530" s="1"/>
  <c r="M529" s="1"/>
  <c r="D527"/>
  <c r="F528"/>
  <c r="C50" i="1" s="1"/>
  <c r="D54"/>
  <c r="M528" i="2"/>
  <c r="M526" s="1"/>
  <c r="F536"/>
  <c r="F535" s="1"/>
  <c r="C54" i="1"/>
  <c r="D531" i="2"/>
  <c r="D530" s="1"/>
  <c r="D529" s="1"/>
  <c r="J8"/>
  <c r="K363"/>
  <c r="I27" i="10" s="1"/>
  <c r="H426" i="2"/>
  <c r="M378"/>
  <c r="L378"/>
  <c r="E378"/>
  <c r="I367"/>
  <c r="F378"/>
  <c r="D375"/>
  <c r="D32" s="1"/>
  <c r="D29" s="1"/>
  <c r="H373"/>
  <c r="H370" s="1"/>
  <c r="F28" i="10" s="1"/>
  <c r="D423" i="2"/>
  <c r="D422" s="1"/>
  <c r="G32"/>
  <c r="G29" s="1"/>
  <c r="G22" s="1"/>
  <c r="G683" s="1"/>
  <c r="G417"/>
  <c r="F35" i="1"/>
  <c r="F125" s="1"/>
  <c r="F171" s="1"/>
  <c r="D387" i="2"/>
  <c r="M387"/>
  <c r="F363"/>
  <c r="B30" i="1"/>
  <c r="H19" i="9"/>
  <c r="I49" i="1"/>
  <c r="L241" i="6"/>
  <c r="D258"/>
  <c r="G242"/>
  <c r="G241" s="1"/>
  <c r="J257"/>
  <c r="J256" s="1"/>
  <c r="J242" s="1"/>
  <c r="F242"/>
  <c r="F241" s="1"/>
  <c r="J246"/>
  <c r="M86" i="9"/>
  <c r="G91"/>
  <c r="D86"/>
  <c r="O85" s="1"/>
  <c r="F14" i="10"/>
  <c r="H9" i="8"/>
  <c r="D15" i="10"/>
  <c r="D22" i="8"/>
  <c r="D21" s="1"/>
  <c r="D64"/>
  <c r="D63" s="1"/>
  <c r="O16"/>
  <c r="D58"/>
  <c r="F11"/>
  <c r="F320" i="3"/>
  <c r="B54" i="1"/>
  <c r="F54"/>
  <c r="F53" s="1"/>
  <c r="F52" s="1"/>
  <c r="F71" s="1"/>
  <c r="I321" i="3"/>
  <c r="I314" s="1"/>
  <c r="I313" s="1"/>
  <c r="H321"/>
  <c r="H314" s="1"/>
  <c r="H313" s="1"/>
  <c r="M322"/>
  <c r="M321" s="1"/>
  <c r="M320" s="1"/>
  <c r="G321"/>
  <c r="G314" s="1"/>
  <c r="D322"/>
  <c r="D243" i="9"/>
  <c r="M244"/>
  <c r="G242"/>
  <c r="G241" s="1"/>
  <c r="D247"/>
  <c r="G246"/>
  <c r="D248"/>
  <c r="D251"/>
  <c r="G250"/>
  <c r="F249"/>
  <c r="F246"/>
  <c r="J15"/>
  <c r="K240"/>
  <c r="J240"/>
  <c r="L240"/>
  <c r="I240"/>
  <c r="G35" i="10" s="1"/>
  <c r="L15" i="9"/>
  <c r="H245"/>
  <c r="E241"/>
  <c r="G35" i="1"/>
  <c r="L22" i="9"/>
  <c r="L18" s="1"/>
  <c r="D10" i="5"/>
  <c r="D9" s="1"/>
  <c r="I148"/>
  <c r="D146"/>
  <c r="D148" s="1"/>
  <c r="D149" s="1"/>
  <c r="G10"/>
  <c r="E43" i="10"/>
  <c r="D43"/>
  <c r="D44"/>
  <c r="K44" s="1"/>
  <c r="F146" i="5"/>
  <c r="F148" s="1"/>
  <c r="H22" i="9"/>
  <c r="H18" s="1"/>
  <c r="H228"/>
  <c r="F228"/>
  <c r="M224"/>
  <c r="M223" s="1"/>
  <c r="D225"/>
  <c r="G223"/>
  <c r="F224"/>
  <c r="D226"/>
  <c r="M220"/>
  <c r="M219" s="1"/>
  <c r="G219"/>
  <c r="D221"/>
  <c r="F219"/>
  <c r="H218"/>
  <c r="J219"/>
  <c r="D220"/>
  <c r="E223"/>
  <c r="K223"/>
  <c r="K218" s="1"/>
  <c r="D56"/>
  <c r="E56"/>
  <c r="E326" s="1"/>
  <c r="D44"/>
  <c r="D38"/>
  <c r="D32"/>
  <c r="D326" s="1"/>
  <c r="B110" i="1" l="1"/>
  <c r="B156" s="1"/>
  <c r="N59"/>
  <c r="C53"/>
  <c r="M283" i="3"/>
  <c r="M282" s="1"/>
  <c r="H295" i="6"/>
  <c r="H306" s="1"/>
  <c r="F277" i="2"/>
  <c r="E32" i="13"/>
  <c r="L17" i="3"/>
  <c r="L15" s="1"/>
  <c r="E88" i="1"/>
  <c r="E87" s="1"/>
  <c r="E86" s="1"/>
  <c r="D229" i="3"/>
  <c r="G289" i="2"/>
  <c r="G224" i="3"/>
  <c r="M225"/>
  <c r="M224" s="1"/>
  <c r="M223" s="1"/>
  <c r="M45"/>
  <c r="H457" i="2"/>
  <c r="M458"/>
  <c r="G6" i="10"/>
  <c r="D19" i="1"/>
  <c r="J19" s="1"/>
  <c r="H238" i="3"/>
  <c r="J64" i="1"/>
  <c r="L64" s="1"/>
  <c r="E369" i="2"/>
  <c r="E456"/>
  <c r="E365"/>
  <c r="E364" s="1"/>
  <c r="E451"/>
  <c r="M13" i="3"/>
  <c r="H146" i="8"/>
  <c r="G17" i="3"/>
  <c r="E17"/>
  <c r="E18" i="9"/>
  <c r="F175" i="3"/>
  <c r="F326" i="9"/>
  <c r="D453" i="2"/>
  <c r="G326" i="9"/>
  <c r="D458" i="2"/>
  <c r="M48" i="4"/>
  <c r="M47" s="1"/>
  <c r="V105"/>
  <c r="U108" s="1"/>
  <c r="M91"/>
  <c r="M90" s="1"/>
  <c r="D239" i="9"/>
  <c r="G23" i="10"/>
  <c r="D29" i="1"/>
  <c r="D119" s="1"/>
  <c r="D165" s="1"/>
  <c r="D22" i="10"/>
  <c r="N22" s="1"/>
  <c r="K327" i="3"/>
  <c r="M457" i="2"/>
  <c r="M456" s="1"/>
  <c r="D452"/>
  <c r="D365" s="1"/>
  <c r="D364" s="1"/>
  <c r="E327" i="3"/>
  <c r="H327"/>
  <c r="E30" i="10"/>
  <c r="I12" i="2"/>
  <c r="I11" s="1"/>
  <c r="O140" i="6"/>
  <c r="D295"/>
  <c r="E9" i="3"/>
  <c r="G313"/>
  <c r="M314"/>
  <c r="M313" s="1"/>
  <c r="K9" i="9"/>
  <c r="B23" i="1"/>
  <c r="E13" i="2"/>
  <c r="E12" s="1"/>
  <c r="J325" i="9"/>
  <c r="J327" s="1"/>
  <c r="J328" s="1"/>
  <c r="K325"/>
  <c r="G39" i="10"/>
  <c r="L11" i="6"/>
  <c r="E37" i="10"/>
  <c r="G37"/>
  <c r="M105" i="8"/>
  <c r="E12" i="10"/>
  <c r="E147" i="8"/>
  <c r="L9"/>
  <c r="L11"/>
  <c r="G21"/>
  <c r="D167" i="3"/>
  <c r="B67" i="1"/>
  <c r="J122" i="13"/>
  <c r="K8" i="3"/>
  <c r="K7" s="1"/>
  <c r="D528" i="2"/>
  <c r="D26" i="9"/>
  <c r="D68" i="3"/>
  <c r="D63"/>
  <c r="E32" i="10"/>
  <c r="L41"/>
  <c r="J33"/>
  <c r="L8" i="3"/>
  <c r="L7" s="1"/>
  <c r="E328"/>
  <c r="I327"/>
  <c r="I329" s="1"/>
  <c r="I330" s="1"/>
  <c r="I8"/>
  <c r="I7" s="1"/>
  <c r="D32" i="10"/>
  <c r="F30"/>
  <c r="D30"/>
  <c r="D321" i="3"/>
  <c r="D314" s="1"/>
  <c r="D313" s="1"/>
  <c r="D318"/>
  <c r="D317" s="1"/>
  <c r="D316" s="1"/>
  <c r="F37" i="10"/>
  <c r="C33"/>
  <c r="J327" i="3"/>
  <c r="J8"/>
  <c r="J7" s="1"/>
  <c r="L18" i="10"/>
  <c r="K326" i="9"/>
  <c r="E320" i="3"/>
  <c r="E314"/>
  <c r="E313" s="1"/>
  <c r="F12" i="9"/>
  <c r="F11" s="1"/>
  <c r="D23" i="3"/>
  <c r="D21" s="1"/>
  <c r="D18" s="1"/>
  <c r="G161"/>
  <c r="E12"/>
  <c r="E11" s="1"/>
  <c r="F327"/>
  <c r="F329" s="1"/>
  <c r="F330" s="1"/>
  <c r="D33" i="10"/>
  <c r="K33" s="1"/>
  <c r="P97" i="6"/>
  <c r="F29" i="10"/>
  <c r="E119" i="13"/>
  <c r="E121" s="1"/>
  <c r="C30" i="10"/>
  <c r="O529" i="2"/>
  <c r="M56" i="1"/>
  <c r="D96" i="9"/>
  <c r="D95" s="1"/>
  <c r="D9" s="1"/>
  <c r="F18" i="1"/>
  <c r="I9" i="9"/>
  <c r="L10"/>
  <c r="H9"/>
  <c r="E95"/>
  <c r="E23" i="10"/>
  <c r="E329" i="3"/>
  <c r="E330" s="1"/>
  <c r="J328"/>
  <c r="G12" i="9"/>
  <c r="G11" s="1"/>
  <c r="D23"/>
  <c r="G16"/>
  <c r="M16" s="1"/>
  <c r="E16"/>
  <c r="I327"/>
  <c r="L327" i="3"/>
  <c r="L329" s="1"/>
  <c r="L330" s="1"/>
  <c r="G18" i="9"/>
  <c r="J56" i="1"/>
  <c r="F23" i="10"/>
  <c r="C23"/>
  <c r="M205" i="3"/>
  <c r="K328"/>
  <c r="D20" i="13"/>
  <c r="J65" i="1"/>
  <c r="L65" s="1"/>
  <c r="G328" i="3"/>
  <c r="D337" i="2"/>
  <c r="I11" i="6"/>
  <c r="H20"/>
  <c r="K59" i="1"/>
  <c r="Q59" s="1"/>
  <c r="G10" i="2"/>
  <c r="H11" i="3"/>
  <c r="Q10" i="7"/>
  <c r="G15" i="3"/>
  <c r="E15"/>
  <c r="O26" i="2"/>
  <c r="K18" i="9"/>
  <c r="M238" i="3"/>
  <c r="H13" i="6"/>
  <c r="F159"/>
  <c r="E112" i="1"/>
  <c r="F40"/>
  <c r="F41" s="1"/>
  <c r="E23" i="2"/>
  <c r="H292" i="6"/>
  <c r="H364" i="2"/>
  <c r="H13"/>
  <c r="H12" s="1"/>
  <c r="F154" i="3"/>
  <c r="F153" s="1"/>
  <c r="F16" i="9"/>
  <c r="F166" i="3"/>
  <c r="F165" s="1"/>
  <c r="D8" i="7"/>
  <c r="D158"/>
  <c r="E446" i="2"/>
  <c r="C32" i="10" s="1"/>
  <c r="E265" i="2"/>
  <c r="D80" i="13"/>
  <c r="G187" i="3"/>
  <c r="D188"/>
  <c r="D187" s="1"/>
  <c r="D327" s="1"/>
  <c r="O189"/>
  <c r="D224"/>
  <c r="O225"/>
  <c r="G369" i="2"/>
  <c r="D537"/>
  <c r="D536" s="1"/>
  <c r="D535" s="1"/>
  <c r="D610"/>
  <c r="D609" s="1"/>
  <c r="D689" s="1"/>
  <c r="D16" i="5"/>
  <c r="D12" s="1"/>
  <c r="O24"/>
  <c r="G62" i="3"/>
  <c r="G304" i="6"/>
  <c r="M304" s="1"/>
  <c r="G146"/>
  <c r="M147"/>
  <c r="F23"/>
  <c r="F21" s="1"/>
  <c r="F151"/>
  <c r="D62" i="3"/>
  <c r="F25" i="6"/>
  <c r="F24" s="1"/>
  <c r="F153"/>
  <c r="M13" i="8"/>
  <c r="M12" s="1"/>
  <c r="M45"/>
  <c r="M44" s="1"/>
  <c r="D24" i="2"/>
  <c r="D23" s="1"/>
  <c r="D22" s="1"/>
  <c r="D474"/>
  <c r="D473" s="1"/>
  <c r="C41" i="10"/>
  <c r="F149" i="5"/>
  <c r="F10"/>
  <c r="F9" s="1"/>
  <c r="I149"/>
  <c r="G36" i="10"/>
  <c r="G25" s="1"/>
  <c r="D22" i="9"/>
  <c r="D18" s="1"/>
  <c r="E54" i="1"/>
  <c r="D144" i="8"/>
  <c r="D146" s="1"/>
  <c r="D147" s="1"/>
  <c r="K15" i="10"/>
  <c r="G40" i="1"/>
  <c r="G41" s="1"/>
  <c r="I26"/>
  <c r="I115" s="1"/>
  <c r="I161" s="1"/>
  <c r="D53"/>
  <c r="H122" i="13"/>
  <c r="E526" i="2"/>
  <c r="D67" i="1"/>
  <c r="G18" i="7"/>
  <c r="G17" s="1"/>
  <c r="M163" i="6"/>
  <c r="F12" i="2"/>
  <c r="H89" i="1"/>
  <c r="H87" s="1"/>
  <c r="D13" i="3"/>
  <c r="O13" s="1"/>
  <c r="D87" i="1"/>
  <c r="L9" i="9"/>
  <c r="F15" i="3"/>
  <c r="F10" s="1"/>
  <c r="D328"/>
  <c r="J14" i="6"/>
  <c r="J13" s="1"/>
  <c r="D160"/>
  <c r="C18" i="10"/>
  <c r="M201" i="6"/>
  <c r="J20"/>
  <c r="D281"/>
  <c r="D42"/>
  <c r="O42" s="1"/>
  <c r="H32" i="2"/>
  <c r="H29" s="1"/>
  <c r="M16"/>
  <c r="E36"/>
  <c r="E35" s="1"/>
  <c r="I12" i="6"/>
  <c r="E9" i="9"/>
  <c r="E40" i="10"/>
  <c r="C39"/>
  <c r="G184" i="9"/>
  <c r="F179"/>
  <c r="M145"/>
  <c r="E166"/>
  <c r="I40" i="10"/>
  <c r="M299" i="9"/>
  <c r="M298" s="1"/>
  <c r="D188" i="7"/>
  <c r="F450" i="2"/>
  <c r="D457"/>
  <c r="D369" s="1"/>
  <c r="L10" i="3"/>
  <c r="M11" i="8"/>
  <c r="O21"/>
  <c r="D38" i="2"/>
  <c r="D15" s="1"/>
  <c r="D155" i="3"/>
  <c r="D17" s="1"/>
  <c r="D238"/>
  <c r="G175"/>
  <c r="E122" i="13"/>
  <c r="D7" i="7"/>
  <c r="H23" i="10"/>
  <c r="E211" i="2"/>
  <c r="F89" i="1"/>
  <c r="F87" s="1"/>
  <c r="F86" s="1"/>
  <c r="D41" i="10"/>
  <c r="N41" s="1"/>
  <c r="G9" i="9"/>
  <c r="E141" i="3"/>
  <c r="D142"/>
  <c r="D141" s="1"/>
  <c r="D140" s="1"/>
  <c r="E12" i="9"/>
  <c r="G307" i="2"/>
  <c r="D302"/>
  <c r="D301" s="1"/>
  <c r="D37"/>
  <c r="G238" i="3"/>
  <c r="E373" i="2"/>
  <c r="E370" s="1"/>
  <c r="C28" i="10" s="1"/>
  <c r="E32" i="2"/>
  <c r="E217"/>
  <c r="I119" i="1"/>
  <c r="I165" s="1"/>
  <c r="I10" i="2"/>
  <c r="I8" s="1"/>
  <c r="G259"/>
  <c r="F43" i="10"/>
  <c r="L43" s="1"/>
  <c r="E10" i="5"/>
  <c r="E9" s="1"/>
  <c r="F127" i="6"/>
  <c r="F293"/>
  <c r="M144"/>
  <c r="F16"/>
  <c r="D144"/>
  <c r="D16" s="1"/>
  <c r="G204"/>
  <c r="M205"/>
  <c r="F62" i="3"/>
  <c r="F34" i="1"/>
  <c r="F124" s="1"/>
  <c r="D152" i="6"/>
  <c r="J150"/>
  <c r="J274" s="1"/>
  <c r="J275" s="1"/>
  <c r="F142"/>
  <c r="D143"/>
  <c r="D511" i="2"/>
  <c r="D508" s="1"/>
  <c r="D19"/>
  <c r="O29" s="1"/>
  <c r="C12" i="10"/>
  <c r="H141" i="6"/>
  <c r="M466" i="2"/>
  <c r="M465" s="1"/>
  <c r="I150" i="6"/>
  <c r="I274" s="1"/>
  <c r="I275" s="1"/>
  <c r="I276" s="1"/>
  <c r="H10" i="5"/>
  <c r="H9" s="1"/>
  <c r="B53" i="1"/>
  <c r="B52" s="1"/>
  <c r="B71" s="1"/>
  <c r="I53"/>
  <c r="I52" s="1"/>
  <c r="I71" s="1"/>
  <c r="B35"/>
  <c r="I18" i="9"/>
  <c r="H40" i="1"/>
  <c r="M57"/>
  <c r="E109"/>
  <c r="F108"/>
  <c r="F154" s="1"/>
  <c r="H112"/>
  <c r="H158" s="1"/>
  <c r="G112"/>
  <c r="G158" s="1"/>
  <c r="D110"/>
  <c r="D156" s="1"/>
  <c r="D23" i="10"/>
  <c r="B111" i="1"/>
  <c r="B157" s="1"/>
  <c r="F114"/>
  <c r="F160" s="1"/>
  <c r="B109"/>
  <c r="B155" s="1"/>
  <c r="D159" i="9"/>
  <c r="D158" s="1"/>
  <c r="H110" i="1"/>
  <c r="H156" s="1"/>
  <c r="G110"/>
  <c r="G156" s="1"/>
  <c r="I113"/>
  <c r="I159" s="1"/>
  <c r="B113"/>
  <c r="B159" s="1"/>
  <c r="D113"/>
  <c r="D159" s="1"/>
  <c r="H15" i="3"/>
  <c r="H10" s="1"/>
  <c r="D46"/>
  <c r="D45" s="1"/>
  <c r="D183"/>
  <c r="D175" s="1"/>
  <c r="O174" s="1"/>
  <c r="O191"/>
  <c r="G682" i="2"/>
  <c r="G684" s="1"/>
  <c r="G685" s="1"/>
  <c r="J329" i="3"/>
  <c r="J330" s="1"/>
  <c r="E110" i="1"/>
  <c r="E156" s="1"/>
  <c r="E111"/>
  <c r="E157" s="1"/>
  <c r="I111"/>
  <c r="I157" s="1"/>
  <c r="F111"/>
  <c r="F157" s="1"/>
  <c r="C111"/>
  <c r="C157" s="1"/>
  <c r="J36" i="10"/>
  <c r="D111" i="1"/>
  <c r="D157" s="1"/>
  <c r="I36" i="10"/>
  <c r="I25" s="1"/>
  <c r="D109" i="1"/>
  <c r="D155" s="1"/>
  <c r="F110"/>
  <c r="F156" s="1"/>
  <c r="C110"/>
  <c r="C156" s="1"/>
  <c r="F113"/>
  <c r="F159" s="1"/>
  <c r="D112"/>
  <c r="D158" s="1"/>
  <c r="H113"/>
  <c r="H159" s="1"/>
  <c r="D42" i="2"/>
  <c r="D41" s="1"/>
  <c r="G154" i="3"/>
  <c r="G153" s="1"/>
  <c r="D302" i="6"/>
  <c r="D43" i="2"/>
  <c r="H147" i="8"/>
  <c r="E9"/>
  <c r="G28" i="6"/>
  <c r="G14"/>
  <c r="G13" s="1"/>
  <c r="M158" i="7"/>
  <c r="M157" s="1"/>
  <c r="M8"/>
  <c r="M7" s="1"/>
  <c r="P7" s="1"/>
  <c r="F10" i="13"/>
  <c r="G10"/>
  <c r="I10"/>
  <c r="I8" s="1"/>
  <c r="D48" i="4"/>
  <c r="D47" s="1"/>
  <c r="D91"/>
  <c r="D90" s="1"/>
  <c r="C22" i="10"/>
  <c r="L365" i="2"/>
  <c r="O25"/>
  <c r="O38"/>
  <c r="J43" i="10"/>
  <c r="O508" i="2"/>
  <c r="D119" i="13"/>
  <c r="O32"/>
  <c r="G692" i="2"/>
  <c r="F112" i="4"/>
  <c r="K19" i="10"/>
  <c r="D127" i="9"/>
  <c r="D40" i="10"/>
  <c r="L325" i="9"/>
  <c r="H39" i="10"/>
  <c r="I39"/>
  <c r="C40"/>
  <c r="F22"/>
  <c r="L144" i="8"/>
  <c r="L146" s="1"/>
  <c r="L147" s="1"/>
  <c r="I9"/>
  <c r="I8" s="1"/>
  <c r="E241" i="2"/>
  <c r="H154" i="3"/>
  <c r="H153" s="1"/>
  <c r="F6" i="10" s="1"/>
  <c r="M155" i="3"/>
  <c r="M154" s="1"/>
  <c r="M153" s="1"/>
  <c r="J10" i="13"/>
  <c r="J8" s="1"/>
  <c r="K10"/>
  <c r="K8" s="1"/>
  <c r="D161" i="7"/>
  <c r="D157" s="1"/>
  <c r="D16"/>
  <c r="D15" s="1"/>
  <c r="D10" s="1"/>
  <c r="Q11" s="1"/>
  <c r="E10" i="13"/>
  <c r="E14" i="10"/>
  <c r="G166" i="3"/>
  <c r="G165" s="1"/>
  <c r="M167"/>
  <c r="M166" s="1"/>
  <c r="M165" s="1"/>
  <c r="M9" s="1"/>
  <c r="D52" i="4"/>
  <c r="D51" s="1"/>
  <c r="D50" s="1"/>
  <c r="M87" i="5"/>
  <c r="J98" i="6"/>
  <c r="J97" s="1"/>
  <c r="M99"/>
  <c r="M98" s="1"/>
  <c r="M97" s="1"/>
  <c r="D99"/>
  <c r="D288" s="1"/>
  <c r="G451" i="2"/>
  <c r="M452"/>
  <c r="M451" s="1"/>
  <c r="M450" s="1"/>
  <c r="F682"/>
  <c r="H328" i="3"/>
  <c r="H329" s="1"/>
  <c r="H330" s="1"/>
  <c r="H9" i="13"/>
  <c r="H8" s="1"/>
  <c r="H192" i="6"/>
  <c r="M193"/>
  <c r="D193"/>
  <c r="I23" i="10"/>
  <c r="G365" i="2"/>
  <c r="D273" i="6"/>
  <c r="D206" i="2"/>
  <c r="D205" s="1"/>
  <c r="K13" i="6"/>
  <c r="K12" s="1"/>
  <c r="D10" i="8"/>
  <c r="L8"/>
  <c r="F21"/>
  <c r="F147" s="1"/>
  <c r="J21"/>
  <c r="J147" s="1"/>
  <c r="G147"/>
  <c r="D11"/>
  <c r="F10"/>
  <c r="L16" i="10"/>
  <c r="K16"/>
  <c r="G9" i="8"/>
  <c r="J50" i="1"/>
  <c r="K9" i="8"/>
  <c r="K8" s="1"/>
  <c r="K13" i="10"/>
  <c r="K144" i="8"/>
  <c r="K146" s="1"/>
  <c r="E10"/>
  <c r="E8" s="1"/>
  <c r="I144"/>
  <c r="I146" s="1"/>
  <c r="I147" s="1"/>
  <c r="D9"/>
  <c r="H10"/>
  <c r="H8" s="1"/>
  <c r="O14"/>
  <c r="K147"/>
  <c r="H12" i="10"/>
  <c r="K12" s="1"/>
  <c r="J9" i="8"/>
  <c r="J8" s="1"/>
  <c r="F9"/>
  <c r="G10"/>
  <c r="H23" i="2"/>
  <c r="E28" i="1"/>
  <c r="E184" i="9"/>
  <c r="G245"/>
  <c r="F245"/>
  <c r="F15"/>
  <c r="E245"/>
  <c r="E15"/>
  <c r="K8"/>
  <c r="L8"/>
  <c r="L7" s="1"/>
  <c r="I8"/>
  <c r="J35" i="10"/>
  <c r="G42" i="6"/>
  <c r="K18" i="10"/>
  <c r="G306" i="6"/>
  <c r="E150"/>
  <c r="E274" s="1"/>
  <c r="E275" s="1"/>
  <c r="E276" s="1"/>
  <c r="J276"/>
  <c r="D166"/>
  <c r="E12"/>
  <c r="I9"/>
  <c r="I23" i="1"/>
  <c r="J23" s="1"/>
  <c r="L13" i="6"/>
  <c r="L12" s="1"/>
  <c r="G26" i="1"/>
  <c r="B125"/>
  <c r="B171" s="1"/>
  <c r="K11" i="3"/>
  <c r="K10" s="1"/>
  <c r="E450" i="2"/>
  <c r="C31" i="10" s="1"/>
  <c r="L9" i="2"/>
  <c r="J31" i="10"/>
  <c r="E40" i="1"/>
  <c r="J22" i="2"/>
  <c r="J683" s="1"/>
  <c r="J684" s="1"/>
  <c r="J685" s="1"/>
  <c r="D50" i="1"/>
  <c r="K50" s="1"/>
  <c r="Q50" s="1"/>
  <c r="M12" i="3"/>
  <c r="M11" s="1"/>
  <c r="G22" i="10"/>
  <c r="H22"/>
  <c r="I11" i="3"/>
  <c r="I10" s="1"/>
  <c r="G205"/>
  <c r="P16" i="1"/>
  <c r="F186" i="7"/>
  <c r="D17"/>
  <c r="M95" i="9"/>
  <c r="H35" i="1"/>
  <c r="H33" s="1"/>
  <c r="J40" i="10"/>
  <c r="G157" i="9"/>
  <c r="M55" i="1"/>
  <c r="D224" i="9"/>
  <c r="F145"/>
  <c r="F223"/>
  <c r="F218" s="1"/>
  <c r="M111"/>
  <c r="J55" i="1"/>
  <c r="L66" s="1"/>
  <c r="E188" i="9"/>
  <c r="E325" s="1"/>
  <c r="G180"/>
  <c r="M181"/>
  <c r="M180" s="1"/>
  <c r="M179" s="1"/>
  <c r="F170"/>
  <c r="L80"/>
  <c r="L326" s="1"/>
  <c r="E157"/>
  <c r="F39" i="10"/>
  <c r="D181" i="9"/>
  <c r="D180" s="1"/>
  <c r="D179" s="1"/>
  <c r="F136"/>
  <c r="M296"/>
  <c r="M295" s="1"/>
  <c r="G253"/>
  <c r="D157"/>
  <c r="K275" i="6"/>
  <c r="K276" s="1"/>
  <c r="K97"/>
  <c r="J12"/>
  <c r="G296"/>
  <c r="G307" s="1"/>
  <c r="M20" i="1"/>
  <c r="H28"/>
  <c r="E120"/>
  <c r="E166" s="1"/>
  <c r="I28"/>
  <c r="J32"/>
  <c r="J123" s="1"/>
  <c r="J169" s="1"/>
  <c r="K28" i="10"/>
  <c r="I23" i="2"/>
  <c r="I22" s="1"/>
  <c r="I683" s="1"/>
  <c r="F30" i="1"/>
  <c r="J30" s="1"/>
  <c r="C123"/>
  <c r="C169" s="1"/>
  <c r="H22" i="2"/>
  <c r="H683" s="1"/>
  <c r="K22" i="1"/>
  <c r="K114" s="1"/>
  <c r="J20"/>
  <c r="J111" s="1"/>
  <c r="K20"/>
  <c r="K111" s="1"/>
  <c r="D10" i="2"/>
  <c r="F21" i="1"/>
  <c r="F22" i="2"/>
  <c r="F683" s="1"/>
  <c r="F684" s="1"/>
  <c r="F685" s="1"/>
  <c r="H150" i="6"/>
  <c r="F7" i="10" s="1"/>
  <c r="D108" i="6"/>
  <c r="G25"/>
  <c r="G24" s="1"/>
  <c r="G20" s="1"/>
  <c r="G153"/>
  <c r="F306"/>
  <c r="M295"/>
  <c r="H12"/>
  <c r="D211"/>
  <c r="D208" s="1"/>
  <c r="K30" i="10"/>
  <c r="L42" i="6"/>
  <c r="E97"/>
  <c r="D17"/>
  <c r="J122"/>
  <c r="D28"/>
  <c r="H122"/>
  <c r="H11" s="1"/>
  <c r="F27"/>
  <c r="D29" i="10" s="1"/>
  <c r="D282" i="6"/>
  <c r="O40"/>
  <c r="D33"/>
  <c r="J27"/>
  <c r="H29" i="10" s="1"/>
  <c r="L25" i="6"/>
  <c r="D154"/>
  <c r="L153"/>
  <c r="F13"/>
  <c r="F12" s="1"/>
  <c r="D127"/>
  <c r="D293"/>
  <c r="M293" s="1"/>
  <c r="G121" i="1"/>
  <c r="G167" s="1"/>
  <c r="G28"/>
  <c r="H48"/>
  <c r="H92" s="1"/>
  <c r="K241" i="6"/>
  <c r="D111" i="4"/>
  <c r="D16"/>
  <c r="M7"/>
  <c r="M6" s="1"/>
  <c r="D6"/>
  <c r="C160" i="1"/>
  <c r="M22"/>
  <c r="J22"/>
  <c r="J114" s="1"/>
  <c r="M17" i="3"/>
  <c r="M15" s="1"/>
  <c r="D256"/>
  <c r="O256" s="1"/>
  <c r="G10"/>
  <c r="J6" i="10"/>
  <c r="H14" i="1"/>
  <c r="J95" i="9"/>
  <c r="J9" s="1"/>
  <c r="G89" i="1"/>
  <c r="G87" s="1"/>
  <c r="G86" s="1"/>
  <c r="I86"/>
  <c r="N56"/>
  <c r="E53"/>
  <c r="E52" s="1"/>
  <c r="E71" s="1"/>
  <c r="G282" i="3"/>
  <c r="D283"/>
  <c r="D282" s="1"/>
  <c r="O288"/>
  <c r="K19" i="1"/>
  <c r="I22" i="10"/>
  <c r="H63" i="1"/>
  <c r="H62" s="1"/>
  <c r="H72" s="1"/>
  <c r="H86" s="1"/>
  <c r="B50"/>
  <c r="F33"/>
  <c r="F11" i="2"/>
  <c r="D373"/>
  <c r="D370" s="1"/>
  <c r="F10"/>
  <c r="B33" i="1"/>
  <c r="I363" i="2"/>
  <c r="G27" i="10" s="1"/>
  <c r="G24" s="1"/>
  <c r="C40" i="1"/>
  <c r="G45" i="13"/>
  <c r="D14"/>
  <c r="D46"/>
  <c r="O47"/>
  <c r="C25" i="1"/>
  <c r="D18" i="13"/>
  <c r="D16" s="1"/>
  <c r="D52"/>
  <c r="O53"/>
  <c r="J29" i="1"/>
  <c r="J119" s="1"/>
  <c r="J165" s="1"/>
  <c r="D28"/>
  <c r="F122" i="13"/>
  <c r="J141" i="6"/>
  <c r="E141"/>
  <c r="M159"/>
  <c r="D159"/>
  <c r="E11"/>
  <c r="D173"/>
  <c r="E158" i="1"/>
  <c r="M11" i="13"/>
  <c r="D23"/>
  <c r="D19" s="1"/>
  <c r="L9"/>
  <c r="L8" s="1"/>
  <c r="J29" i="10"/>
  <c r="E159" i="1"/>
  <c r="K25"/>
  <c r="K113" s="1"/>
  <c r="E9" i="13"/>
  <c r="E8" s="1"/>
  <c r="H11"/>
  <c r="D39" i="10"/>
  <c r="C63" i="1"/>
  <c r="C62" s="1"/>
  <c r="C72" s="1"/>
  <c r="J67"/>
  <c r="J63" s="1"/>
  <c r="J69"/>
  <c r="J68" s="1"/>
  <c r="D68"/>
  <c r="D60"/>
  <c r="M60" s="1"/>
  <c r="M61"/>
  <c r="J61"/>
  <c r="M11" i="7"/>
  <c r="M10" s="1"/>
  <c r="E155" i="1"/>
  <c r="K57"/>
  <c r="K109" s="1"/>
  <c r="J57"/>
  <c r="D63"/>
  <c r="D122"/>
  <c r="D168" s="1"/>
  <c r="L526" i="2"/>
  <c r="I48" i="1"/>
  <c r="I92" s="1"/>
  <c r="D669" i="2"/>
  <c r="F690"/>
  <c r="D526"/>
  <c r="F9" i="13"/>
  <c r="F526" i="2"/>
  <c r="J88" i="1"/>
  <c r="H10" i="2"/>
  <c r="L10"/>
  <c r="L684"/>
  <c r="L685" s="1"/>
  <c r="G85" i="1"/>
  <c r="K684" i="2"/>
  <c r="K685" s="1"/>
  <c r="D35" i="1"/>
  <c r="D125" s="1"/>
  <c r="D171" s="1"/>
  <c r="H684" i="2"/>
  <c r="H685" s="1"/>
  <c r="D367"/>
  <c r="F22" i="9"/>
  <c r="F18" s="1"/>
  <c r="B120" i="1"/>
  <c r="B166" s="1"/>
  <c r="B28"/>
  <c r="J10" i="9"/>
  <c r="C49" i="1"/>
  <c r="C48" s="1"/>
  <c r="J245" i="6"/>
  <c r="J244" s="1"/>
  <c r="G54" i="1"/>
  <c r="J54" s="1"/>
  <c r="M246" i="6"/>
  <c r="M245" s="1"/>
  <c r="M244" s="1"/>
  <c r="M242"/>
  <c r="M241" s="1"/>
  <c r="G49" i="1"/>
  <c r="G48" s="1"/>
  <c r="J241" i="6"/>
  <c r="D257"/>
  <c r="D256" s="1"/>
  <c r="D246"/>
  <c r="D245" s="1"/>
  <c r="D244" s="1"/>
  <c r="M9" i="8"/>
  <c r="I320" i="3"/>
  <c r="H320"/>
  <c r="G320"/>
  <c r="D320"/>
  <c r="B49" i="1"/>
  <c r="G240" i="9"/>
  <c r="M242"/>
  <c r="M241" s="1"/>
  <c r="D242"/>
  <c r="M246"/>
  <c r="M245" s="1"/>
  <c r="M240" s="1"/>
  <c r="G249"/>
  <c r="D249" s="1"/>
  <c r="D250"/>
  <c r="C35" i="1"/>
  <c r="D246" i="9"/>
  <c r="D245"/>
  <c r="C18" i="1"/>
  <c r="K327" i="9"/>
  <c r="K328" s="1"/>
  <c r="H15"/>
  <c r="G125" i="1"/>
  <c r="G33"/>
  <c r="H240" i="9"/>
  <c r="K11"/>
  <c r="H18" i="1"/>
  <c r="H108" s="1"/>
  <c r="F170"/>
  <c r="C52"/>
  <c r="G9" i="5"/>
  <c r="N43" i="10"/>
  <c r="K43"/>
  <c r="H227" i="9"/>
  <c r="F227"/>
  <c r="D228"/>
  <c r="M218"/>
  <c r="D223"/>
  <c r="G218"/>
  <c r="H26" i="1"/>
  <c r="H115" s="1"/>
  <c r="K15" i="9"/>
  <c r="J218"/>
  <c r="J8" s="1"/>
  <c r="E218"/>
  <c r="E18" i="1"/>
  <c r="E108" s="1"/>
  <c r="H11" i="9"/>
  <c r="F26" i="1"/>
  <c r="F115" s="1"/>
  <c r="I15" i="9"/>
  <c r="I10" s="1"/>
  <c r="I35" i="10"/>
  <c r="I24" s="1"/>
  <c r="D219" i="9"/>
  <c r="I328" l="1"/>
  <c r="D228" i="3"/>
  <c r="D223" s="1"/>
  <c r="O229"/>
  <c r="G223"/>
  <c r="H456" i="2"/>
  <c r="H369"/>
  <c r="M19" i="1"/>
  <c r="M8" i="3"/>
  <c r="M7" s="1"/>
  <c r="O42" i="2"/>
  <c r="J25" i="10"/>
  <c r="D36" i="2"/>
  <c r="I84" i="1"/>
  <c r="I78" s="1"/>
  <c r="D20" i="2"/>
  <c r="E367"/>
  <c r="E363" s="1"/>
  <c r="E20"/>
  <c r="E18" s="1"/>
  <c r="E11" s="1"/>
  <c r="D451"/>
  <c r="L327" i="9"/>
  <c r="L328" s="1"/>
  <c r="L305" s="1"/>
  <c r="L304" s="1"/>
  <c r="L303" s="1"/>
  <c r="D154" i="3"/>
  <c r="D153" s="1"/>
  <c r="I24" i="1"/>
  <c r="B18"/>
  <c r="B108" s="1"/>
  <c r="B154" s="1"/>
  <c r="F8" i="3"/>
  <c r="H8"/>
  <c r="G327"/>
  <c r="G329" s="1"/>
  <c r="G330" s="1"/>
  <c r="O168"/>
  <c r="D166"/>
  <c r="D165" s="1"/>
  <c r="D9" s="1"/>
  <c r="L12" i="10"/>
  <c r="L37"/>
  <c r="K37"/>
  <c r="G7"/>
  <c r="G47" s="1"/>
  <c r="C7"/>
  <c r="K14"/>
  <c r="L14"/>
  <c r="F9" i="2"/>
  <c r="F8" s="1"/>
  <c r="D31" i="10"/>
  <c r="G8" i="3"/>
  <c r="E10"/>
  <c r="F14" i="1"/>
  <c r="F76" s="1"/>
  <c r="D12" i="3"/>
  <c r="D11" s="1"/>
  <c r="B63" i="1"/>
  <c r="B62" s="1"/>
  <c r="B72" s="1"/>
  <c r="B86" s="1"/>
  <c r="B122"/>
  <c r="B168" s="1"/>
  <c r="H7" i="10"/>
  <c r="M14" i="6"/>
  <c r="D292"/>
  <c r="M292" s="1"/>
  <c r="D14"/>
  <c r="D98"/>
  <c r="K10"/>
  <c r="K9" s="1"/>
  <c r="I6" i="10"/>
  <c r="I46" s="1"/>
  <c r="H6"/>
  <c r="G9" i="13"/>
  <c r="J34" i="1"/>
  <c r="J124" s="1"/>
  <c r="J170" s="1"/>
  <c r="E240" i="9"/>
  <c r="F240"/>
  <c r="D35" i="10" s="1"/>
  <c r="E11" i="9"/>
  <c r="E10" s="1"/>
  <c r="F10"/>
  <c r="K23" i="10"/>
  <c r="D329" i="3"/>
  <c r="D330" s="1"/>
  <c r="K329"/>
  <c r="K330" s="1"/>
  <c r="H85" i="1"/>
  <c r="H79" s="1"/>
  <c r="M9" i="9"/>
  <c r="D35" i="2"/>
  <c r="K41" i="10"/>
  <c r="O41" s="1"/>
  <c r="D16" i="9"/>
  <c r="O23" s="1"/>
  <c r="O23" i="3"/>
  <c r="D15"/>
  <c r="F141" i="6"/>
  <c r="E29" i="2"/>
  <c r="E22" s="1"/>
  <c r="E683" s="1"/>
  <c r="B40" i="1"/>
  <c r="B41" s="1"/>
  <c r="G19" i="6"/>
  <c r="G145"/>
  <c r="M146"/>
  <c r="M145" s="1"/>
  <c r="M141" s="1"/>
  <c r="D146"/>
  <c r="G367" i="2"/>
  <c r="G20"/>
  <c r="M369"/>
  <c r="M367" s="1"/>
  <c r="D12" i="9"/>
  <c r="O153" i="3"/>
  <c r="F9" i="9"/>
  <c r="D27" i="10"/>
  <c r="D13" i="2"/>
  <c r="D12" s="1"/>
  <c r="M10" i="5"/>
  <c r="M9" s="1"/>
  <c r="H84" i="1"/>
  <c r="D363" i="2"/>
  <c r="L8"/>
  <c r="F8" i="13"/>
  <c r="G18" i="1"/>
  <c r="G17" s="1"/>
  <c r="L88"/>
  <c r="E35"/>
  <c r="E125" s="1"/>
  <c r="E126" s="1"/>
  <c r="D142" i="6"/>
  <c r="D151"/>
  <c r="D23"/>
  <c r="D21" s="1"/>
  <c r="M204"/>
  <c r="M200" s="1"/>
  <c r="M11" s="1"/>
  <c r="G200"/>
  <c r="G11" s="1"/>
  <c r="D204"/>
  <c r="C21" i="1"/>
  <c r="C112" s="1"/>
  <c r="C158" s="1"/>
  <c r="M16" i="6"/>
  <c r="F122"/>
  <c r="M12" i="9"/>
  <c r="M11" s="1"/>
  <c r="E140" i="3"/>
  <c r="E8" s="1"/>
  <c r="D189" i="7"/>
  <c r="F20" i="6"/>
  <c r="F150"/>
  <c r="D7" i="10" s="1"/>
  <c r="O80" i="13"/>
  <c r="D120"/>
  <c r="D121" s="1"/>
  <c r="D122" s="1"/>
  <c r="E682" i="2"/>
  <c r="B84" i="1" s="1"/>
  <c r="B78" s="1"/>
  <c r="D446" i="2"/>
  <c r="D682" s="1"/>
  <c r="K32" i="10"/>
  <c r="F9" i="3"/>
  <c r="H47" i="10"/>
  <c r="C31" i="1"/>
  <c r="K40" i="10"/>
  <c r="D26" i="1"/>
  <c r="D115" s="1"/>
  <c r="D161" s="1"/>
  <c r="I7" i="9"/>
  <c r="C108" i="1"/>
  <c r="C154" s="1"/>
  <c r="J109"/>
  <c r="J155" s="1"/>
  <c r="J25"/>
  <c r="L34" s="1"/>
  <c r="C113"/>
  <c r="G115"/>
  <c r="G161" s="1"/>
  <c r="G84"/>
  <c r="G78" s="1"/>
  <c r="Q19"/>
  <c r="K110"/>
  <c r="J110"/>
  <c r="J156" s="1"/>
  <c r="F112"/>
  <c r="F158" s="1"/>
  <c r="D303" i="6"/>
  <c r="M302"/>
  <c r="D242"/>
  <c r="D241" s="1"/>
  <c r="O255"/>
  <c r="O19" i="13"/>
  <c r="F8" i="8"/>
  <c r="G450" i="2"/>
  <c r="E31" i="10" s="1"/>
  <c r="G9" i="3"/>
  <c r="D14" i="1" s="1"/>
  <c r="D76" s="1"/>
  <c r="L364" i="2"/>
  <c r="L363" s="1"/>
  <c r="J27" i="10" s="1"/>
  <c r="J24" s="1"/>
  <c r="L13" i="2"/>
  <c r="M10" i="13"/>
  <c r="D690" i="2"/>
  <c r="L89" i="1" s="1"/>
  <c r="L87" s="1"/>
  <c r="G7" i="3"/>
  <c r="G364" i="2"/>
  <c r="G363" s="1"/>
  <c r="G13"/>
  <c r="M365"/>
  <c r="M364" s="1"/>
  <c r="M363" s="1"/>
  <c r="D192" i="6"/>
  <c r="D189" s="1"/>
  <c r="H189"/>
  <c r="H10" s="1"/>
  <c r="H9" s="1"/>
  <c r="M192"/>
  <c r="M189" s="1"/>
  <c r="M10" s="1"/>
  <c r="H7" i="3"/>
  <c r="E10" i="2"/>
  <c r="G27" i="6"/>
  <c r="E29" i="10" s="1"/>
  <c r="D8" i="8"/>
  <c r="F84" i="1"/>
  <c r="F78" s="1"/>
  <c r="M10" i="8"/>
  <c r="M8" s="1"/>
  <c r="G8"/>
  <c r="G24" i="1"/>
  <c r="B26"/>
  <c r="E327" i="9"/>
  <c r="E328" s="1"/>
  <c r="E305" s="1"/>
  <c r="E304" s="1"/>
  <c r="E303" s="1"/>
  <c r="E179"/>
  <c r="M8"/>
  <c r="H8"/>
  <c r="D241"/>
  <c r="D240" s="1"/>
  <c r="D11"/>
  <c r="F8"/>
  <c r="L50" i="1"/>
  <c r="H27"/>
  <c r="H38" s="1"/>
  <c r="H77" s="1"/>
  <c r="E22" i="10"/>
  <c r="L22" s="1"/>
  <c r="M23" i="1"/>
  <c r="N23" s="1"/>
  <c r="H296" i="6"/>
  <c r="H307" s="1"/>
  <c r="E9" i="2"/>
  <c r="C27" i="10"/>
  <c r="M10" i="3"/>
  <c r="F13" i="1"/>
  <c r="F12" s="1"/>
  <c r="H125"/>
  <c r="H126" s="1"/>
  <c r="I47" i="10"/>
  <c r="H41" i="1"/>
  <c r="N55"/>
  <c r="G179" i="9"/>
  <c r="C36" i="10"/>
  <c r="C25" s="1"/>
  <c r="E39"/>
  <c r="K39" s="1"/>
  <c r="K296" i="6"/>
  <c r="K307" s="1"/>
  <c r="G46" i="10"/>
  <c r="D40" i="1"/>
  <c r="D13" i="6"/>
  <c r="Q20" i="1"/>
  <c r="N20"/>
  <c r="K21"/>
  <c r="K112" s="1"/>
  <c r="G27"/>
  <c r="G38" s="1"/>
  <c r="J157"/>
  <c r="G79"/>
  <c r="J122"/>
  <c r="J168" s="1"/>
  <c r="M21"/>
  <c r="F28"/>
  <c r="F27" s="1"/>
  <c r="F38" s="1"/>
  <c r="F120"/>
  <c r="B126"/>
  <c r="B172"/>
  <c r="F85"/>
  <c r="I684" i="2"/>
  <c r="I685" s="1"/>
  <c r="Q22" i="1"/>
  <c r="F17"/>
  <c r="J10" i="6"/>
  <c r="F10"/>
  <c r="L24"/>
  <c r="L20" s="1"/>
  <c r="I35" i="1"/>
  <c r="D27" i="6"/>
  <c r="O27" s="1"/>
  <c r="D285"/>
  <c r="D122"/>
  <c r="D25"/>
  <c r="D24" s="1"/>
  <c r="D20" s="1"/>
  <c r="O21" s="1"/>
  <c r="D153"/>
  <c r="D150" s="1"/>
  <c r="L10"/>
  <c r="G150"/>
  <c r="E7" i="10" s="1"/>
  <c r="D284" i="6"/>
  <c r="D286" s="1"/>
  <c r="D290" s="1"/>
  <c r="D97"/>
  <c r="D296" s="1"/>
  <c r="D307" s="1"/>
  <c r="L150"/>
  <c r="J7" i="10" s="1"/>
  <c r="J296" i="6"/>
  <c r="J307" s="1"/>
  <c r="J11"/>
  <c r="E296"/>
  <c r="E10"/>
  <c r="E9" s="1"/>
  <c r="H274"/>
  <c r="D112" i="4"/>
  <c r="N22" i="1"/>
  <c r="L32"/>
  <c r="J160"/>
  <c r="N19"/>
  <c r="K10" i="9"/>
  <c r="H76" i="1"/>
  <c r="D62"/>
  <c r="D72" s="1"/>
  <c r="D86" s="1"/>
  <c r="M50"/>
  <c r="N50" s="1"/>
  <c r="D52"/>
  <c r="D71" s="1"/>
  <c r="D691" i="2"/>
  <c r="D692" s="1"/>
  <c r="B48" i="1"/>
  <c r="B92" s="1"/>
  <c r="B27"/>
  <c r="B38" s="1"/>
  <c r="B118" s="1"/>
  <c r="E14"/>
  <c r="E76" s="1"/>
  <c r="M10" i="2"/>
  <c r="O21" i="13"/>
  <c r="D12"/>
  <c r="D11" s="1"/>
  <c r="D45"/>
  <c r="D9" s="1"/>
  <c r="D8" s="1"/>
  <c r="M25" i="1"/>
  <c r="C159"/>
  <c r="M9" i="13"/>
  <c r="G8"/>
  <c r="O25"/>
  <c r="L29" i="1"/>
  <c r="D33"/>
  <c r="D27" s="1"/>
  <c r="D38" s="1"/>
  <c r="B14"/>
  <c r="B76" s="1"/>
  <c r="Q25"/>
  <c r="D172"/>
  <c r="D126"/>
  <c r="J62"/>
  <c r="J60"/>
  <c r="N60" s="1"/>
  <c r="N61"/>
  <c r="J53"/>
  <c r="N57"/>
  <c r="Q57"/>
  <c r="C89"/>
  <c r="F691" i="2"/>
  <c r="F692" s="1"/>
  <c r="M88" i="1"/>
  <c r="I14"/>
  <c r="D18" i="2"/>
  <c r="D11" s="1"/>
  <c r="O31"/>
  <c r="L30" i="1"/>
  <c r="J120"/>
  <c r="J166" s="1"/>
  <c r="G53"/>
  <c r="K54"/>
  <c r="M54"/>
  <c r="N54" s="1"/>
  <c r="H10" i="9"/>
  <c r="M15"/>
  <c r="F49" i="1"/>
  <c r="F48" s="1"/>
  <c r="F92" s="1"/>
  <c r="E49"/>
  <c r="E48" s="1"/>
  <c r="E92" s="1"/>
  <c r="D49"/>
  <c r="J49"/>
  <c r="G15" i="9"/>
  <c r="G10" s="1"/>
  <c r="G325"/>
  <c r="E36" i="10"/>
  <c r="E25" s="1"/>
  <c r="C41" i="1"/>
  <c r="C125"/>
  <c r="C33"/>
  <c r="C26"/>
  <c r="F35" i="10"/>
  <c r="B17" i="1"/>
  <c r="G171"/>
  <c r="G172" s="1"/>
  <c r="G126"/>
  <c r="H154"/>
  <c r="H17"/>
  <c r="C71"/>
  <c r="F36" i="10"/>
  <c r="F25" s="1"/>
  <c r="H325" i="9"/>
  <c r="F325"/>
  <c r="D227"/>
  <c r="D325" s="1"/>
  <c r="D36" i="10"/>
  <c r="D25" s="1"/>
  <c r="D218" i="9"/>
  <c r="E35" i="10"/>
  <c r="K7" i="9"/>
  <c r="H13" i="1"/>
  <c r="H7" i="9"/>
  <c r="H35" i="10"/>
  <c r="H24" s="1"/>
  <c r="E17" i="1"/>
  <c r="H24"/>
  <c r="F24"/>
  <c r="C35" i="10"/>
  <c r="C17" i="1" l="1"/>
  <c r="J21"/>
  <c r="D8" i="3"/>
  <c r="D7" s="1"/>
  <c r="O18" s="1"/>
  <c r="H83" i="1"/>
  <c r="H450" i="2"/>
  <c r="D456"/>
  <c r="D450"/>
  <c r="D9" s="1"/>
  <c r="D8" s="1"/>
  <c r="H367"/>
  <c r="H363" s="1"/>
  <c r="F27" i="10" s="1"/>
  <c r="H20" i="2"/>
  <c r="O7" i="3"/>
  <c r="D10"/>
  <c r="I50" i="10"/>
  <c r="I53" s="1"/>
  <c r="G83" i="1"/>
  <c r="G82" s="1"/>
  <c r="E171"/>
  <c r="E172" s="1"/>
  <c r="J40"/>
  <c r="D24" i="10"/>
  <c r="N24" s="1"/>
  <c r="G108" i="1"/>
  <c r="G116" s="1"/>
  <c r="C24" i="10"/>
  <c r="O8" i="8"/>
  <c r="J46" i="10"/>
  <c r="D6"/>
  <c r="N6" s="1"/>
  <c r="C6"/>
  <c r="K7"/>
  <c r="M13" i="6"/>
  <c r="L29" i="10"/>
  <c r="H78" i="1"/>
  <c r="K22" i="10"/>
  <c r="E684" i="2"/>
  <c r="E685" s="1"/>
  <c r="E27" i="10"/>
  <c r="L27" s="1"/>
  <c r="E7" i="3"/>
  <c r="F296" i="6"/>
  <c r="F307" s="1"/>
  <c r="F11"/>
  <c r="C14" i="1" s="1"/>
  <c r="C102" s="1"/>
  <c r="D200" i="6"/>
  <c r="O197"/>
  <c r="G18"/>
  <c r="G12" s="1"/>
  <c r="M19"/>
  <c r="M18" s="1"/>
  <c r="D41" i="1"/>
  <c r="M8" i="13"/>
  <c r="N25" i="1"/>
  <c r="J35"/>
  <c r="J125" s="1"/>
  <c r="F9" i="6"/>
  <c r="C47" i="10"/>
  <c r="M9" i="6"/>
  <c r="E33" i="1"/>
  <c r="E27" s="1"/>
  <c r="E38" s="1"/>
  <c r="F50" i="10" s="1"/>
  <c r="E41" i="1"/>
  <c r="C121"/>
  <c r="C167" s="1"/>
  <c r="J31"/>
  <c r="L31" s="1"/>
  <c r="C28"/>
  <c r="C27" s="1"/>
  <c r="C38" s="1"/>
  <c r="F274" i="6"/>
  <c r="F7" i="3"/>
  <c r="M20" i="2"/>
  <c r="M18" s="1"/>
  <c r="G18"/>
  <c r="D19" i="6"/>
  <c r="D18" s="1"/>
  <c r="D12" s="1"/>
  <c r="D145"/>
  <c r="D141" s="1"/>
  <c r="O141" s="1"/>
  <c r="G141"/>
  <c r="E6" i="10" s="1"/>
  <c r="L6" s="1"/>
  <c r="B85" i="1"/>
  <c r="D683" i="2"/>
  <c r="D684" s="1"/>
  <c r="D685" s="1"/>
  <c r="H171" i="1"/>
  <c r="H172" s="1"/>
  <c r="L39" i="10"/>
  <c r="D24" i="1"/>
  <c r="D15" i="9"/>
  <c r="D10" s="1"/>
  <c r="H118" i="1"/>
  <c r="H174" s="1"/>
  <c r="G16"/>
  <c r="G37" s="1"/>
  <c r="H49" i="10" s="1"/>
  <c r="C115" i="1"/>
  <c r="C161" s="1"/>
  <c r="C162" s="1"/>
  <c r="B24"/>
  <c r="B16" s="1"/>
  <c r="B37" s="1"/>
  <c r="C49" i="10" s="1"/>
  <c r="B115" i="1"/>
  <c r="B161" s="1"/>
  <c r="B162" s="1"/>
  <c r="J112"/>
  <c r="J158" s="1"/>
  <c r="M303" i="6"/>
  <c r="D306"/>
  <c r="M306" s="1"/>
  <c r="J113" i="1"/>
  <c r="J159" s="1"/>
  <c r="G12" i="2"/>
  <c r="M13"/>
  <c r="M12" s="1"/>
  <c r="D18" i="1"/>
  <c r="D108" s="1"/>
  <c r="D274" i="6"/>
  <c r="P140"/>
  <c r="G10"/>
  <c r="G9" s="1"/>
  <c r="I18" i="1"/>
  <c r="I108" s="1"/>
  <c r="L12" i="2"/>
  <c r="L11" s="1"/>
  <c r="G9"/>
  <c r="O363"/>
  <c r="D11" i="6"/>
  <c r="J14" i="1" s="1"/>
  <c r="J76" s="1"/>
  <c r="T118" i="6"/>
  <c r="H127" i="1"/>
  <c r="E8" i="9"/>
  <c r="E7" s="1"/>
  <c r="G8"/>
  <c r="L84" i="1"/>
  <c r="D327" i="9"/>
  <c r="D328" s="1"/>
  <c r="M10"/>
  <c r="O7"/>
  <c r="D8"/>
  <c r="D7" s="1"/>
  <c r="K83" i="1"/>
  <c r="L77"/>
  <c r="J72"/>
  <c r="E8" i="2"/>
  <c r="C13" i="1"/>
  <c r="C101" s="1"/>
  <c r="Q21"/>
  <c r="F47" i="10"/>
  <c r="N21" i="1"/>
  <c r="C50" i="10"/>
  <c r="F16" i="1"/>
  <c r="F37" s="1"/>
  <c r="F107" s="1"/>
  <c r="G50" i="10"/>
  <c r="G53" s="1"/>
  <c r="F77" i="1"/>
  <c r="F166"/>
  <c r="F172" s="1"/>
  <c r="F126"/>
  <c r="F79"/>
  <c r="F83"/>
  <c r="B77"/>
  <c r="B127" s="1"/>
  <c r="F118"/>
  <c r="I125"/>
  <c r="I33"/>
  <c r="I27" s="1"/>
  <c r="I38" s="1"/>
  <c r="J47" i="10"/>
  <c r="L274" i="6"/>
  <c r="G274"/>
  <c r="O20"/>
  <c r="D10"/>
  <c r="H275"/>
  <c r="H276" s="1"/>
  <c r="E85" i="1"/>
  <c r="E79" s="1"/>
  <c r="L9" i="6"/>
  <c r="I13" i="1"/>
  <c r="I12" s="1"/>
  <c r="I93" s="1"/>
  <c r="J9" i="6"/>
  <c r="E307"/>
  <c r="M296"/>
  <c r="G14" i="1"/>
  <c r="C98"/>
  <c r="D77"/>
  <c r="K29" i="10"/>
  <c r="E50"/>
  <c r="D118" i="1"/>
  <c r="D164" s="1"/>
  <c r="H46" i="10"/>
  <c r="F7" i="9"/>
  <c r="J52" i="1"/>
  <c r="J71" s="1"/>
  <c r="G154"/>
  <c r="G162" s="1"/>
  <c r="J89"/>
  <c r="C87"/>
  <c r="C86" s="1"/>
  <c r="I98"/>
  <c r="I102"/>
  <c r="I76"/>
  <c r="G52"/>
  <c r="M53"/>
  <c r="N53" s="1"/>
  <c r="K53"/>
  <c r="Q54"/>
  <c r="F75"/>
  <c r="F74" s="1"/>
  <c r="D48"/>
  <c r="M49"/>
  <c r="N49" s="1"/>
  <c r="K49"/>
  <c r="J48"/>
  <c r="L49"/>
  <c r="C24"/>
  <c r="C16" s="1"/>
  <c r="C37" s="1"/>
  <c r="G327" i="9"/>
  <c r="G328" s="1"/>
  <c r="D84" i="1"/>
  <c r="C126"/>
  <c r="C171"/>
  <c r="C172" s="1"/>
  <c r="J33"/>
  <c r="H16"/>
  <c r="H37" s="1"/>
  <c r="H107" s="1"/>
  <c r="H164"/>
  <c r="G118"/>
  <c r="G77"/>
  <c r="G127" s="1"/>
  <c r="H50" i="10"/>
  <c r="H53" s="1"/>
  <c r="H90" i="1"/>
  <c r="H82"/>
  <c r="H80"/>
  <c r="C92"/>
  <c r="H327" i="9"/>
  <c r="H328" s="1"/>
  <c r="E84" i="1"/>
  <c r="C84"/>
  <c r="F327" i="9"/>
  <c r="F328" s="1"/>
  <c r="F305" s="1"/>
  <c r="F304" s="1"/>
  <c r="F303" s="1"/>
  <c r="K36" i="10"/>
  <c r="L35"/>
  <c r="G7" i="9"/>
  <c r="M7"/>
  <c r="B13" i="1"/>
  <c r="H161"/>
  <c r="H162" s="1"/>
  <c r="H116"/>
  <c r="E154"/>
  <c r="K35" i="10"/>
  <c r="G13" i="1"/>
  <c r="J7" i="9"/>
  <c r="H12" i="1"/>
  <c r="H93" s="1"/>
  <c r="H75"/>
  <c r="H74" s="1"/>
  <c r="F161"/>
  <c r="F162" s="1"/>
  <c r="F116"/>
  <c r="F93"/>
  <c r="B174"/>
  <c r="B175" s="1"/>
  <c r="B164"/>
  <c r="D46" i="10" l="1"/>
  <c r="M6" s="1"/>
  <c r="F31"/>
  <c r="L31" s="1"/>
  <c r="H9" i="2"/>
  <c r="O9"/>
  <c r="H18"/>
  <c r="H11" s="1"/>
  <c r="E26" i="1"/>
  <c r="M11" i="2"/>
  <c r="G11"/>
  <c r="M14" i="1"/>
  <c r="N14" s="1"/>
  <c r="K6" i="10"/>
  <c r="E24"/>
  <c r="O25" i="6"/>
  <c r="M12"/>
  <c r="C53" i="10"/>
  <c r="C76" i="1"/>
  <c r="C100"/>
  <c r="K27" i="10"/>
  <c r="C118" i="1"/>
  <c r="C77"/>
  <c r="C127" s="1"/>
  <c r="F275" i="6"/>
  <c r="F276" s="1"/>
  <c r="C85" i="1"/>
  <c r="C79" s="1"/>
  <c r="J121"/>
  <c r="J167" s="1"/>
  <c r="J28"/>
  <c r="J27" s="1"/>
  <c r="J38" s="1"/>
  <c r="K50" i="10" s="1"/>
  <c r="D13" i="1"/>
  <c r="D12" s="1"/>
  <c r="C105"/>
  <c r="D50" i="10"/>
  <c r="M307" i="6"/>
  <c r="B83" i="1"/>
  <c r="B82" s="1"/>
  <c r="B79"/>
  <c r="B80" s="1"/>
  <c r="E77"/>
  <c r="E127" s="1"/>
  <c r="E118"/>
  <c r="H175"/>
  <c r="O5" i="9"/>
  <c r="C116" i="1"/>
  <c r="F53" i="10"/>
  <c r="J102" i="1"/>
  <c r="D127"/>
  <c r="H52" i="10"/>
  <c r="M9" i="2"/>
  <c r="M8" s="1"/>
  <c r="G8"/>
  <c r="I17" i="1"/>
  <c r="M18"/>
  <c r="J18"/>
  <c r="J108" s="1"/>
  <c r="D17"/>
  <c r="D16" s="1"/>
  <c r="D37" s="1"/>
  <c r="D107" s="1"/>
  <c r="D163" s="1"/>
  <c r="K18"/>
  <c r="K108" s="1"/>
  <c r="K31" i="10"/>
  <c r="B116" i="1"/>
  <c r="B107"/>
  <c r="B163" s="1"/>
  <c r="J13"/>
  <c r="J75" s="1"/>
  <c r="J74" s="1"/>
  <c r="J84"/>
  <c r="J78" s="1"/>
  <c r="M12" i="10"/>
  <c r="C75" i="1"/>
  <c r="C74" s="1"/>
  <c r="M41" i="10"/>
  <c r="C12" i="1"/>
  <c r="C93" s="1"/>
  <c r="C97"/>
  <c r="G49" i="10"/>
  <c r="G52" s="1"/>
  <c r="M46"/>
  <c r="M24"/>
  <c r="M16"/>
  <c r="M43"/>
  <c r="M18"/>
  <c r="F80" i="1"/>
  <c r="F90"/>
  <c r="F82"/>
  <c r="F174"/>
  <c r="F175" s="1"/>
  <c r="F164"/>
  <c r="F127"/>
  <c r="I75"/>
  <c r="I74" s="1"/>
  <c r="I97"/>
  <c r="I101"/>
  <c r="I100" s="1"/>
  <c r="L275" i="6"/>
  <c r="L276" s="1"/>
  <c r="I85" i="1"/>
  <c r="G275" i="6"/>
  <c r="G276" s="1"/>
  <c r="D85" i="1"/>
  <c r="D79" s="1"/>
  <c r="I171"/>
  <c r="I172" s="1"/>
  <c r="I126"/>
  <c r="M22" i="10"/>
  <c r="M20"/>
  <c r="M49"/>
  <c r="D9" i="6"/>
  <c r="O9" s="1"/>
  <c r="E47" i="10"/>
  <c r="E53" s="1"/>
  <c r="J50"/>
  <c r="J53" s="1"/>
  <c r="I77" i="1"/>
  <c r="I105"/>
  <c r="I118"/>
  <c r="D275" i="6"/>
  <c r="D276" s="1"/>
  <c r="L85" i="1"/>
  <c r="L83" s="1"/>
  <c r="M82" s="1"/>
  <c r="D174"/>
  <c r="D175" s="1"/>
  <c r="G76"/>
  <c r="K14"/>
  <c r="L14"/>
  <c r="M89"/>
  <c r="M87" s="1"/>
  <c r="J87"/>
  <c r="F117"/>
  <c r="K52"/>
  <c r="Q52" s="1"/>
  <c r="Q53"/>
  <c r="G71"/>
  <c r="M52"/>
  <c r="N52" s="1"/>
  <c r="K48"/>
  <c r="Q49"/>
  <c r="D92"/>
  <c r="M48"/>
  <c r="N48" s="1"/>
  <c r="D78"/>
  <c r="J126"/>
  <c r="J171"/>
  <c r="I49" i="10"/>
  <c r="I52" s="1"/>
  <c r="G174" i="1"/>
  <c r="G175" s="1"/>
  <c r="G164"/>
  <c r="G80"/>
  <c r="G90"/>
  <c r="H117"/>
  <c r="J92"/>
  <c r="M71"/>
  <c r="E78"/>
  <c r="E83"/>
  <c r="C78"/>
  <c r="C83"/>
  <c r="K25" i="10"/>
  <c r="D47"/>
  <c r="D53" s="1"/>
  <c r="H153" i="1"/>
  <c r="H163"/>
  <c r="B75"/>
  <c r="B74" s="1"/>
  <c r="B12"/>
  <c r="C46" i="10"/>
  <c r="C52" s="1"/>
  <c r="G75" i="1"/>
  <c r="G12"/>
  <c r="F163"/>
  <c r="F153"/>
  <c r="C103"/>
  <c r="D49" i="10"/>
  <c r="D52" s="1"/>
  <c r="C107" i="1"/>
  <c r="F24" i="10" l="1"/>
  <c r="E115" i="1"/>
  <c r="E24"/>
  <c r="K26"/>
  <c r="J26"/>
  <c r="M26"/>
  <c r="H8" i="2"/>
  <c r="E13" i="1"/>
  <c r="K13" s="1"/>
  <c r="Q13" s="1"/>
  <c r="E80"/>
  <c r="D75"/>
  <c r="D74" s="1"/>
  <c r="B90"/>
  <c r="C80"/>
  <c r="C104"/>
  <c r="C164"/>
  <c r="C174"/>
  <c r="C175" s="1"/>
  <c r="E174"/>
  <c r="E175" s="1"/>
  <c r="E164"/>
  <c r="D80"/>
  <c r="E46" i="10"/>
  <c r="B117" i="1"/>
  <c r="B153"/>
  <c r="C117"/>
  <c r="D153"/>
  <c r="E49" i="10"/>
  <c r="K17" i="1"/>
  <c r="Q18"/>
  <c r="I154"/>
  <c r="I162" s="1"/>
  <c r="I116"/>
  <c r="I117" s="1"/>
  <c r="D116"/>
  <c r="D154"/>
  <c r="N18"/>
  <c r="J17"/>
  <c r="J154"/>
  <c r="I16"/>
  <c r="M17"/>
  <c r="J12"/>
  <c r="J93" s="1"/>
  <c r="J101"/>
  <c r="J100" s="1"/>
  <c r="J105"/>
  <c r="J118"/>
  <c r="J174" s="1"/>
  <c r="J77"/>
  <c r="J85"/>
  <c r="J83" s="1"/>
  <c r="J86"/>
  <c r="K47" i="10"/>
  <c r="K53" s="1"/>
  <c r="D83" i="1"/>
  <c r="D90" s="1"/>
  <c r="G74"/>
  <c r="I127"/>
  <c r="I164"/>
  <c r="I174"/>
  <c r="I175" s="1"/>
  <c r="I83"/>
  <c r="I79"/>
  <c r="I80" s="1"/>
  <c r="Q14"/>
  <c r="K76"/>
  <c r="Q76" s="1"/>
  <c r="G92"/>
  <c r="K71"/>
  <c r="Q71" s="1"/>
  <c r="G107"/>
  <c r="Q48"/>
  <c r="L48"/>
  <c r="J172"/>
  <c r="J164"/>
  <c r="E82"/>
  <c r="E90"/>
  <c r="C82"/>
  <c r="C90"/>
  <c r="M84"/>
  <c r="D93"/>
  <c r="B93"/>
  <c r="G93"/>
  <c r="C153"/>
  <c r="C163"/>
  <c r="F46" i="10" l="1"/>
  <c r="L46" s="1"/>
  <c r="K24"/>
  <c r="K46" s="1"/>
  <c r="L24"/>
  <c r="E161" i="1"/>
  <c r="E162" s="1"/>
  <c r="E116"/>
  <c r="E16"/>
  <c r="E37" s="1"/>
  <c r="M24"/>
  <c r="E12"/>
  <c r="E75"/>
  <c r="E74" s="1"/>
  <c r="K115"/>
  <c r="K116" s="1"/>
  <c r="Q26"/>
  <c r="K24"/>
  <c r="Q24" s="1"/>
  <c r="J24"/>
  <c r="N26"/>
  <c r="L35"/>
  <c r="J115"/>
  <c r="K75"/>
  <c r="K74" s="1"/>
  <c r="Q74" s="1"/>
  <c r="K12"/>
  <c r="Q12" s="1"/>
  <c r="D117"/>
  <c r="G117"/>
  <c r="E52" i="10"/>
  <c r="D162" i="1"/>
  <c r="L78"/>
  <c r="Q17"/>
  <c r="I37"/>
  <c r="M16"/>
  <c r="N17"/>
  <c r="D82"/>
  <c r="J175"/>
  <c r="J127"/>
  <c r="J90"/>
  <c r="J82"/>
  <c r="K82"/>
  <c r="M85"/>
  <c r="M83" s="1"/>
  <c r="J79"/>
  <c r="J80" s="1"/>
  <c r="I90"/>
  <c r="I82"/>
  <c r="G153"/>
  <c r="G163"/>
  <c r="L71"/>
  <c r="N24" l="1"/>
  <c r="J16"/>
  <c r="J37" s="1"/>
  <c r="K16"/>
  <c r="Q16" s="1"/>
  <c r="J161"/>
  <c r="J116"/>
  <c r="J117" s="1"/>
  <c r="E93"/>
  <c r="E117"/>
  <c r="E107"/>
  <c r="F49" i="10"/>
  <c r="F52" s="1"/>
  <c r="K37" i="1"/>
  <c r="Q75"/>
  <c r="I103"/>
  <c r="I104" s="1"/>
  <c r="J49" i="10"/>
  <c r="J52" s="1"/>
  <c r="I107" i="1"/>
  <c r="L37"/>
  <c r="L79"/>
  <c r="N16" l="1"/>
  <c r="K161"/>
  <c r="P161"/>
  <c r="J162"/>
  <c r="E163"/>
  <c r="E153"/>
  <c r="L49" i="10"/>
  <c r="L52" s="1"/>
  <c r="K107" i="1"/>
  <c r="M37"/>
  <c r="L39"/>
  <c r="M39" s="1"/>
  <c r="I163"/>
  <c r="I153"/>
  <c r="J107"/>
  <c r="K49" i="10"/>
  <c r="K52" s="1"/>
  <c r="J103" i="1"/>
  <c r="J104" s="1"/>
  <c r="J153" l="1"/>
  <c r="J163"/>
</calcChain>
</file>

<file path=xl/comments1.xml><?xml version="1.0" encoding="utf-8"?>
<comments xmlns="http://schemas.openxmlformats.org/spreadsheetml/2006/main">
  <authors>
    <author>Magdalena Zielińska</author>
  </authors>
  <commentList>
    <comment ref="E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<sst xmlns="http://schemas.openxmlformats.org/spreadsheetml/2006/main" count="3863" uniqueCount="636">
  <si>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</si>
  <si>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</si>
  <si>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</si>
  <si>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</si>
  <si>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</si>
  <si>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</si>
  <si>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</si>
  <si>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</si>
  <si>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</si>
  <si>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</si>
  <si>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</si>
  <si>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</si>
  <si>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</si>
  <si>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</si>
  <si>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</si>
  <si>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</si>
  <si>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</si>
  <si>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</si>
  <si>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</si>
  <si>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</si>
  <si>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</si>
  <si>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</si>
  <si>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</si>
  <si>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</si>
  <si>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</si>
  <si>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</si>
  <si>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</si>
  <si>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</si>
  <si>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</si>
  <si>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</si>
  <si>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</si>
  <si>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</si>
  <si>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</si>
  <si>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</si>
  <si>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</si>
  <si>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</si>
  <si>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</si>
  <si>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</si>
  <si>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</si>
  <si>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</si>
  <si>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</si>
  <si>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</si>
  <si>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</si>
  <si>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</si>
  <si>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</si>
  <si>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</si>
  <si>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</si>
  <si>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</si>
  <si>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</si>
  <si>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</si>
  <si>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</si>
  <si>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</si>
  <si>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</si>
  <si>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</si>
  <si>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</si>
  <si>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</si>
  <si>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</si>
  <si>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</si>
  <si>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</si>
  <si>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</si>
  <si>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</si>
  <si>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</si>
  <si>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</si>
  <si>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</si>
  <si>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</si>
  <si>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</si>
  <si>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</si>
  <si>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</si>
  <si>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</si>
  <si>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</si>
  <si>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</si>
  <si>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</si>
  <si>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</si>
  <si>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</si>
  <si>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</si>
  <si>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</si>
  <si>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</si>
  <si>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</si>
  <si>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</si>
  <si>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</si>
  <si>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</si>
  <si>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</si>
  <si>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</si>
  <si>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</si>
  <si>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</si>
  <si>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</si>
  <si>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</si>
  <si>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</si>
  <si>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</si>
  <si>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</si>
  <si>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</si>
  <si>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</si>
  <si>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</si>
  <si>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</si>
  <si>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</si>
  <si>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</si>
  <si>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</si>
  <si>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</si>
  <si>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</si>
  <si>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</si>
  <si>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</si>
  <si>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</si>
  <si>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</si>
  <si>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</si>
  <si>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</si>
  <si>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</si>
  <si>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</si>
  <si>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</si>
  <si>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</si>
  <si>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</si>
  <si>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</si>
  <si>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</si>
  <si>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</si>
  <si>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</si>
  <si>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</si>
  <si>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</si>
  <si>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</si>
  <si>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</si>
  <si>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</si>
  <si>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</si>
  <si>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</si>
  <si>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</si>
  <si>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</si>
  <si>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</si>
  <si>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</si>
  <si>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</si>
  <si>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</si>
  <si>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</si>
  <si>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</si>
  <si>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</si>
  <si>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</si>
  <si>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</si>
  <si>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</si>
  <si>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</si>
  <si>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</si>
  <si>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</si>
  <si>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</si>
  <si>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</si>
  <si>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</si>
  <si>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</si>
  <si>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</si>
  <si>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</si>
  <si>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</si>
  <si>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</si>
  <si>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</si>
  <si>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</si>
  <si>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</si>
  <si>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</si>
  <si>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</si>
  <si>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</si>
  <si>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</si>
  <si>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</si>
  <si>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</si>
  <si>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</si>
  <si>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</si>
  <si>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</si>
  <si>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</si>
  <si>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</si>
  <si>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</si>
  <si>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</si>
  <si>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</si>
  <si>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</si>
  <si>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</si>
  <si>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</si>
  <si>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</si>
  <si>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</si>
  <si>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</si>
  <si>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</si>
  <si>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</si>
  <si>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</si>
  <si>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</si>
  <si>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</si>
  <si>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</si>
  <si>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</si>
  <si>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</si>
  <si>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</si>
  <si>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</si>
  <si>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</si>
  <si>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</si>
  <si>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</si>
  <si>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</si>
  <si>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</si>
  <si>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</si>
  <si>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</si>
  <si>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</si>
  <si>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</si>
  <si>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</si>
  <si>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</si>
  <si>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</si>
  <si>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</si>
  <si>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</si>
  <si>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</si>
  <si>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</si>
  <si>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</si>
  <si>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</si>
  <si>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</si>
  <si>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</si>
  <si>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</si>
  <si>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</si>
  <si>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</si>
  <si>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</si>
  <si>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</si>
  <si>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</si>
  <si>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</si>
  <si>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</si>
  <si>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</si>
  <si>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</si>
  <si>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22.</t>
  </si>
  <si>
    <t>WTiG</t>
  </si>
  <si>
    <t>A</t>
  </si>
  <si>
    <t>B</t>
  </si>
  <si>
    <t xml:space="preserve">II. POZOSTAŁE PRZEDSIĘWZIĘCIA W ZAKRESIE OCHRONY ZDROWIA 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</si>
  <si>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</si>
  <si>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</si>
  <si>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</si>
  <si>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</si>
  <si>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</si>
  <si>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</si>
  <si>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</si>
  <si>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</si>
  <si>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</si>
  <si>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</si>
  <si>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</si>
  <si>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</si>
  <si>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</si>
  <si>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</si>
  <si>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</si>
  <si>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</si>
  <si>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</si>
  <si>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</si>
  <si>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</si>
  <si>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</si>
  <si>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</si>
  <si>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</si>
  <si>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</si>
  <si>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</si>
  <si>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</si>
  <si>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</si>
  <si>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</si>
  <si>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</si>
  <si>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</si>
  <si>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</si>
  <si>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</si>
  <si>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</si>
  <si>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</si>
  <si>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</si>
  <si>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</si>
  <si>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</si>
  <si>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</si>
  <si>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</si>
  <si>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</si>
  <si>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</si>
  <si>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</si>
  <si>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</si>
  <si>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</si>
  <si>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</si>
  <si>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</si>
  <si>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</si>
  <si>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</si>
  <si>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</si>
  <si>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</si>
  <si>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</si>
  <si>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</si>
  <si>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</si>
  <si>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</si>
  <si>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</si>
  <si>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</si>
  <si>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</si>
  <si>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21.</t>
  </si>
  <si>
    <t>WOiRZL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</si>
  <si>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</si>
  <si>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</si>
  <si>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</si>
  <si>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</si>
  <si>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>Oś X, Pomoc techniczna RPO WZ 2014-2020 (2015-2023)</t>
  </si>
  <si>
    <t>rozdz. 
60001
75863</t>
  </si>
  <si>
    <t>Brak decyzji</t>
  </si>
  <si>
    <t>rozdz. 
15011</t>
  </si>
  <si>
    <t>Sieć Punktów Informacyjnych Funduszy Europejskich (PIFE) w Województwie Zachodniopomorskim w ramach PO Pomoc Techniczna - zakupy inwestycyjne  (2015-2020)</t>
  </si>
  <si>
    <t>ROPS</t>
  </si>
  <si>
    <t>rozdz.
75864</t>
  </si>
  <si>
    <t xml:space="preserve">rozdz. 
75018
85395
</t>
  </si>
  <si>
    <t>WRiR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</si>
  <si>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</si>
  <si>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</si>
  <si>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</si>
  <si>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</si>
  <si>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</si>
  <si>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</si>
  <si>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</si>
  <si>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</si>
  <si>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</si>
  <si>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</si>
  <si>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</si>
  <si>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</si>
  <si>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</si>
  <si>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</si>
  <si>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</si>
  <si>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</si>
  <si>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</si>
  <si>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</si>
  <si>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</si>
  <si>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</si>
  <si>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</si>
  <si>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</si>
  <si>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</si>
  <si>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</si>
  <si>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</si>
  <si>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</si>
  <si>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</si>
  <si>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</si>
  <si>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BW</t>
  </si>
  <si>
    <t>rozdz. 01078</t>
  </si>
  <si>
    <t>Utrzymanie szlaków rowerowych na wybranych odcinkach wałów przeciwpowodziowych w Województwie Zachodniopomorskim</t>
  </si>
  <si>
    <t>Utrzymanie szlaków rowerowych na wybranych odcinkach wałów przeciwpowodziowych w Województwie Zachodniopomorskim (2019 - 2023)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</si>
  <si>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</si>
  <si>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</si>
  <si>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</si>
  <si>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</si>
  <si>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</si>
  <si>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</si>
  <si>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</si>
  <si>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</si>
  <si>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</si>
  <si>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</si>
  <si>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</si>
  <si>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- środki z budżetu województwa WOiRZL</t>
  </si>
  <si>
    <t>- dotacje celowe / płatności z UE WOiRZL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</si>
  <si>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</si>
  <si>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</si>
  <si>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</si>
  <si>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</si>
  <si>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</si>
  <si>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</si>
  <si>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</si>
  <si>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</si>
  <si>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</si>
  <si>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</si>
  <si>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</si>
  <si>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</si>
  <si>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</si>
  <si>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</si>
  <si>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</si>
  <si>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</si>
  <si>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</si>
  <si>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</si>
  <si>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</si>
  <si>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</si>
  <si>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</si>
  <si>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</si>
  <si>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</si>
  <si>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</si>
  <si>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</si>
  <si>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</si>
  <si>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</si>
  <si>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</si>
  <si>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</si>
  <si>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</si>
  <si>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rozdz.
60095</t>
  </si>
  <si>
    <t>rozdz. 60095
75018</t>
  </si>
  <si>
    <t xml:space="preserve"> Interreg VA Program Południowy Bałtyk - wydatki</t>
  </si>
  <si>
    <t xml:space="preserve"> Interreg VA Program Południowy Bałtyk    - dochody</t>
  </si>
  <si>
    <t>Przebudowa odcinków szlakowych dróg wojewódzkich (2017-2019)</t>
  </si>
  <si>
    <t>rozdz. 63003/75018</t>
  </si>
  <si>
    <t>Decyzja podpisana - po 5 czerwca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</si>
  <si>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</si>
  <si>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</si>
  <si>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</si>
  <si>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</si>
  <si>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</si>
  <si>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</si>
  <si>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</si>
  <si>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</si>
  <si>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</si>
  <si>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</si>
  <si>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</si>
  <si>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</si>
  <si>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WYDATKI</t>
  </si>
  <si>
    <t>DOCHODY</t>
  </si>
  <si>
    <t>8a</t>
  </si>
  <si>
    <t>8b</t>
  </si>
  <si>
    <t>Wymiana i rozbudowa parku maszyn i urządzeń ZZDW w Koszalinie (2016-2018)</t>
  </si>
  <si>
    <t>decyzja z 25.09.17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</si>
  <si>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</si>
  <si>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</si>
  <si>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</si>
  <si>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</si>
  <si>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</si>
  <si>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</si>
  <si>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</si>
  <si>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</si>
  <si>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</si>
  <si>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</si>
  <si>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</si>
  <si>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</si>
  <si>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</si>
  <si>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</si>
  <si>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decyzja z listopada 2017</t>
  </si>
  <si>
    <t>CZĘŚĆ II</t>
  </si>
  <si>
    <t xml:space="preserve"> Interreg VA Meklemburgia-Pomorze Przednie/ Brandenburgia/ Polska - wydatki</t>
  </si>
  <si>
    <t xml:space="preserve"> Interreg VA Meklemburgia-Pomorze Przednie/ Brandenburgia/ Polska - dochody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</si>
  <si>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</si>
  <si>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</si>
  <si>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</si>
  <si>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</si>
  <si>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</si>
  <si>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</si>
  <si>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</si>
  <si>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</si>
  <si>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</si>
  <si>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</si>
  <si>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</si>
  <si>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</si>
  <si>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</si>
  <si>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</si>
  <si>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ROPS
WZS</t>
  </si>
  <si>
    <t xml:space="preserve">rozdz. 
75018
85595
</t>
  </si>
  <si>
    <t>rozdz. 
85395</t>
  </si>
  <si>
    <t>PO WER, w tym Pomoc Techniczna - dochody</t>
  </si>
  <si>
    <t>PO WER, w tym Pomoc Techniczna - wydatki</t>
  </si>
  <si>
    <t>Rozbudowa Teatru Polskiego w Szczecinie w ramach RPO WZ (2018-2021)</t>
  </si>
  <si>
    <t xml:space="preserve">ROPS
</t>
  </si>
  <si>
    <t xml:space="preserve">rozdz. 
85595
</t>
  </si>
  <si>
    <t xml:space="preserve">Kompleksowe zagospodarowanie tarasów Zamku Książąt Pomorskich w Szczecinie (2015-2020) 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</si>
  <si>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</si>
  <si>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</si>
  <si>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</si>
  <si>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</si>
  <si>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</si>
  <si>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</si>
  <si>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</si>
  <si>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</si>
  <si>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</si>
  <si>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</si>
  <si>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</si>
  <si>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</si>
  <si>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</si>
  <si>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</si>
  <si>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</si>
  <si>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</si>
  <si>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</si>
  <si>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</si>
  <si>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</si>
  <si>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</si>
  <si>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</si>
  <si>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</si>
  <si>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</si>
  <si>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Remont instalacji elektrycznej skrzydła Menniczego budynku Zamku Książąt Pomorskich w Szczecinie (2018-2019)</t>
  </si>
  <si>
    <t>Zakup instrumentów muzycznych na potrzeby działalności kulturalnej Opery na Zamku w Szczecinie (2018-2019)</t>
  </si>
  <si>
    <t>Opera na Zamku w Szczecinie - nadzór WKNiDN</t>
  </si>
  <si>
    <t xml:space="preserve">
WWT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</si>
  <si>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</si>
  <si>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</si>
  <si>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</si>
  <si>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</si>
  <si>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</si>
  <si>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</si>
  <si>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t>PW INTERREG VA 2014 - 2020</t>
  </si>
  <si>
    <t>RPO WZ  2014-2020</t>
  </si>
  <si>
    <t>RPO WZ 2007-2013</t>
  </si>
  <si>
    <t>Przystosowanie mostu europejskiego Siekierki-Neurudnitz do ruchu turystycznego w ramach PW INTERREG VA - wydatki majątkowe (2016-2020)</t>
  </si>
  <si>
    <t>Przystosowanie mostu europejskiego Siekierki-Neurudnitz do ruchu turystycznego w ramach PW INTERREG VA (2016-2020)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</si>
  <si>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</si>
  <si>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</si>
  <si>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</si>
  <si>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</si>
  <si>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</si>
  <si>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</si>
  <si>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</si>
  <si>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</si>
  <si>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</si>
  <si>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</si>
  <si>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</si>
  <si>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</si>
  <si>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podać nr umowy do arkusza dane do wpf</t>
  </si>
  <si>
    <t>umowa do uzupełnienia w arkuszu dane do wpf</t>
  </si>
  <si>
    <t>II. POZOSTAŁE  PRZEDSIĘWZIĘCIA  W ZAKRESIE OŚWIATY I EDUKACYJNEJ OPIEKI WYCHOWAWCZEJ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</si>
  <si>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</si>
  <si>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</si>
  <si>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</si>
  <si>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</si>
  <si>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</si>
  <si>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</si>
  <si>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</si>
  <si>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</si>
  <si>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</si>
  <si>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</si>
  <si>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</si>
  <si>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</si>
  <si>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</si>
  <si>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</si>
  <si>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</si>
  <si>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</si>
  <si>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</si>
  <si>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</si>
  <si>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t>Budowa Regionalnej Infrastruktury Informacji Przestrzennej Województwa Zachodniopomorskiego w ramach działania 9.10 RPO WZ - wydatki bieżące (2019 - 2021)</t>
  </si>
  <si>
    <t>rodz. 75863</t>
  </si>
  <si>
    <t xml:space="preserve">rozdz. </t>
  </si>
  <si>
    <t>BP</t>
  </si>
  <si>
    <t>BG</t>
  </si>
  <si>
    <t>BG
WZS</t>
  </si>
  <si>
    <t>rodz. 
75863</t>
  </si>
  <si>
    <t>Budowa Regionalnej Infrastruktury Informacji Przestrzennej Województwa Zachodniopomorskiego w ramach działania 9.10 RPO WZ (2019 - 2021)</t>
  </si>
  <si>
    <t>Zaprojektowanie i wykonanie szlaku rowerowego na wale przeciwpowodziowym nad rzeką Iną, wale Skoszewo i Skoszewo - Czarnocin w ramach Osi IV RPO WZ (2017-2019)</t>
  </si>
  <si>
    <t>Zaprojektowanie i wykonanie szlaku rowerowego na wale przeciwpowodziowym wzdłuż rzeki Chełszcząca i jeziora Dąbie w ramach Osi IV RPO WZ (2017-2019)</t>
  </si>
  <si>
    <t>Teatr Polski 
w Szczecinie - nadzór WKNiDN</t>
  </si>
  <si>
    <t>Strategia Rozwoju Województwa Zachodniopomorskiego do roku 2030 - badania, analizy i oceny eksperckie (2017-2019)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</si>
  <si>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</si>
  <si>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</si>
  <si>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</si>
  <si>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Bieżąca obsługa projektów dla tras rowerowych na wałach przeciwpowodziowych w ramach RPO WZ (2018-2019)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</si>
  <si>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</si>
  <si>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</si>
  <si>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</si>
  <si>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</si>
  <si>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</si>
  <si>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</si>
  <si>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</si>
  <si>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</si>
  <si>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</si>
  <si>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</si>
  <si>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</si>
  <si>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</si>
  <si>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</si>
  <si>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</si>
  <si>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</si>
  <si>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</si>
  <si>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</si>
  <si>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</si>
  <si>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</si>
  <si>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</si>
  <si>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</si>
  <si>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</si>
  <si>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</si>
  <si>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t>Budowa obejścia m. Trzebiatów - połączenie drogi woj. nr 103 i nr 102 w ramach Osi V RPO WZ (2019-2020)</t>
  </si>
  <si>
    <t>Limity 2019</t>
  </si>
  <si>
    <r>
      <t>Limit zobowiązań na lata 2019-20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</si>
  <si>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2019-2023  i lata następne</t>
  </si>
  <si>
    <t>do 2017 r.</t>
  </si>
  <si>
    <t>Prognozowane nakłady inwestycyjne /dochody 
w latach 2019 - 2023</t>
  </si>
  <si>
    <t>Prognozowane nakłady inwestycyjne / dochody z tytułu realizacji projektów  w latach 2019-2023</t>
  </si>
  <si>
    <t>Limit zobowiązań 
w latach 
2019-2023</t>
  </si>
  <si>
    <t>Limit` 19</t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</si>
  <si>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</si>
  <si>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</si>
  <si>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</si>
  <si>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</si>
  <si>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</si>
  <si>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Zachodniopomorskie Małe Skarby w ramach działania 6.6 RPO WZ 2014-2020 (2018-2020)</t>
  </si>
  <si>
    <t>Dofinansowanie Państwowej Wyższej Szkoły Zawodowej w Koszalinie do zadania w ramach IX Osi Priorytetowej Działanie 9.8 RPO WZ (2019-2020)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</si>
  <si>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</si>
  <si>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(2016-2019)</t>
    </r>
    <r>
      <rPr>
        <b/>
        <sz val="9"/>
        <rFont val="Arial CE"/>
        <charset val="238"/>
      </rPr>
      <t>*</t>
    </r>
  </si>
  <si>
    <t>Limit zobowiązań na lata 2019-2023 i lata następne</t>
  </si>
  <si>
    <t xml:space="preserve">3. </t>
  </si>
  <si>
    <t>Budowa sieci tras rowerowych Pomorza Zachodniego - Trasa VeloBaltica odc. Pleśna - Mielno w ramach Osi IV RPO WZ (2018-2019)</t>
  </si>
  <si>
    <t>zmiana nazwy zadania</t>
  </si>
  <si>
    <t>Wykonanie</t>
  </si>
  <si>
    <t>Zintegrowane wsparcie dla rodzin i pieczy zastępczej na terenie województwa zachodniopomorskiego w ramach działania 7.6 RPO WZ (2017-2019)</t>
  </si>
  <si>
    <t>DOCHODY ŁĄCZNIE - 
stan na 28 MARCA 2019 r.</t>
  </si>
  <si>
    <t>WWS/GM</t>
  </si>
  <si>
    <t>rozdz. 75075, 75095</t>
  </si>
  <si>
    <t>Modernizacja obiektów SPSZOZ "ZDROJE" w Szczecinie przy ul. Św. Wojciecha na potrzeby przeniesienia Ośrodka Rehabilitacji Dzieci i Młodzieży (2019-2020)</t>
  </si>
  <si>
    <t>WTiG/WRiR</t>
  </si>
  <si>
    <t>Zespół Parków Krajobrazowych WZ pod nadzorem WTiG do 14 marca 2019 r./ pod nadzorem WRiR od 15 marca 2019 r.</t>
  </si>
  <si>
    <t>rozdz. 73095</t>
  </si>
  <si>
    <t>- środki z budżetu województwa GM</t>
  </si>
  <si>
    <t>- dotacje celowe / płatności z UE GM</t>
  </si>
  <si>
    <t>- środki z budżetu województwa ZZDW</t>
  </si>
  <si>
    <t>- dotacje celowe / płatności z UE ZZDW</t>
  </si>
  <si>
    <t xml:space="preserve">Na dwóch kółkach wokół Zalewu Szczecińskiego w ramach PW Interreg VA (2019-2021) </t>
  </si>
  <si>
    <t xml:space="preserve">Na dwóch kółkach wokół Zalewu Szczecińskiego w ramach PW Interreg VA - wydatki majątkowe (2019-2021) </t>
  </si>
  <si>
    <t>** W kolumnie 4 uwzględniono dochody w kwocie 2.162.874 zł, których wpływ zaplanowano na 2024 r.</t>
  </si>
  <si>
    <t>Wykonanie 2018 r.</t>
  </si>
  <si>
    <t>- w ramach działania 10.1 RPO WZ 2014-2020</t>
  </si>
  <si>
    <t>- w ramach działania 2.1 RPO WZ 2014-2020</t>
  </si>
  <si>
    <t>- w ramach działania 2.13 RPO WZ 2014-2020</t>
  </si>
  <si>
    <t>Porty Kreatywne - Internacjonalizacja branży kulturalnej i twórczej w regionie Morza Bałtyckiego w ramach PW INTERREG BSR (2019-2021)</t>
  </si>
  <si>
    <t>Wspieranie innowacyjnych ekosystemów przedsiębiorczości w regionach na rzecz młodych przedsiębiorców (iEER) w ramach PW INTERREG VC (2016-2020)</t>
  </si>
  <si>
    <t>Oś Priorytetowa VI, Pomoc Techniczna w ramach  PO WER 2014-2020 (2015-2023)</t>
  </si>
  <si>
    <t>GM
ZZDW</t>
  </si>
  <si>
    <t xml:space="preserve">GM
WOiRZL
</t>
  </si>
  <si>
    <t>rozdz. 75018/75075</t>
  </si>
  <si>
    <t>rozdz. 63003/75075</t>
  </si>
  <si>
    <t>I. PRZEDSIĘWZIĘCIA FINANSOWANE PRZY WSPÓŁUDZIALE ŚRODKÓW, O KTÓRYCH MOWA W ART. 5 UST. 1 PKT 2 I 3 UFP 
W ZAKRESIE TRANSPORTU I ŁĄCZNOŚCI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</si>
  <si>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</si>
  <si>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Zachodniopomorskie e-zdrowie w ramach Osi IX RPO WZ (2018-2021) - </t>
    </r>
    <r>
      <rPr>
        <sz val="9"/>
        <rFont val="Arial CE"/>
        <family val="2"/>
        <charset val="238"/>
      </rPr>
      <t>wydatki majątkowe</t>
    </r>
  </si>
  <si>
    <r>
      <t xml:space="preserve">Zachodniopomorskie e-zdrowie w ramach Osi IX RPO WZ (2018-2021) - </t>
    </r>
    <r>
      <rPr>
        <sz val="9"/>
        <rFont val="Arial CE"/>
        <charset val="238"/>
      </rPr>
      <t>wydatki bieżące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</si>
  <si>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</si>
  <si>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</si>
  <si>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rozdz. 80395/
</t>
    </r>
    <r>
      <rPr>
        <sz val="8"/>
        <rFont val="Arial CE"/>
        <charset val="238"/>
      </rPr>
      <t>od 2019 roku</t>
    </r>
    <r>
      <rPr>
        <b/>
        <sz val="8"/>
        <rFont val="Arial CE"/>
        <charset val="238"/>
      </rPr>
      <t xml:space="preserve"> 73095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</si>
  <si>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</si>
  <si>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>Budowa sieci tras rowerowych Pomorza Zachodniego - Trasa Pojezierzy Zachodnich etap 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(2018-2020)</t>
    </r>
  </si>
  <si>
    <r>
      <t>Budowa sieci tras rowerowych Pomorza Zachodniego - Trasa Pojezierzy Zachodnich etap III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(2016-2020)</t>
    </r>
  </si>
  <si>
    <t>Dokumentacje techniczne na zadania drogowe (2011-2021)</t>
  </si>
  <si>
    <t>Bieżące utrzymanie dróg i mostów (2017-2021)</t>
  </si>
  <si>
    <t>Konsolidacja siedziby Urzędu Marszałkowskiego Województwa Zachodniopomorskiego - razem etap A i B  (2016-2022)</t>
  </si>
  <si>
    <t>*** Regionalny Punkt Kontaktowy - Pomoc Techniczna w ramach Programu Współpracy INTERREG VA - wydatki bieżące - w wykonaniu uwzględniono wydatki pośrednie w kwocie (3.769 zł).</t>
  </si>
  <si>
    <t>Regionalny Punkt Kontaktowy - Pomoc Techniczna w ramach Programu Współpracy INTERREG VA - wydatki bieżące (2016-2020)***</t>
  </si>
  <si>
    <t>rozdz. 92114</t>
  </si>
  <si>
    <r>
      <t xml:space="preserve">rozdz. </t>
    </r>
    <r>
      <rPr>
        <b/>
        <sz val="8"/>
        <rFont val="Arial CE"/>
        <charset val="238"/>
      </rPr>
      <t>92114</t>
    </r>
  </si>
  <si>
    <t>WYDATKI ŁĄCZNIE - 
stan na 30 MAJA 2019 r.</t>
  </si>
  <si>
    <t>DOCHODY ŁĄCZNIE - 
stan na 30 MAJA 2019 r.</t>
  </si>
  <si>
    <t>WYDATKI ŁĄCZNIE - 
stan na 28  MARCA  2019 r.</t>
  </si>
  <si>
    <t>Budowa sieci tras rowerowych Pomorza Zachodniego - Trasa Stary Kolejowy Szlak etap I w ramach Osi IV RPO WZ (2018-2020)</t>
  </si>
  <si>
    <t>Budowa sieci tras rowerowych Pomorza Zachodniego - Trasa Pojezierzy Zachodnich odc. Pełczyce - Choszczno w ramach Osi IV RPO WZ (2019-2020)</t>
  </si>
  <si>
    <t>WWT/od 2019 WWTiT</t>
  </si>
  <si>
    <t>WWTiT</t>
  </si>
  <si>
    <t>ARRIVAL REGIONS - Obszary napływowe - analiza podejść do innowacji społecznych na rzecz społecznej i gospodarczej integracji obywateli państw nienależących do UE w ramach PW Interrego VB (2019-2022)</t>
  </si>
  <si>
    <t>rozdz.
75018
75095</t>
  </si>
  <si>
    <t>rozdz.
75095</t>
  </si>
  <si>
    <t>WWTiT/WOiRZL</t>
  </si>
  <si>
    <r>
      <t xml:space="preserve">INTERREG </t>
    </r>
    <r>
      <rPr>
        <b/>
        <i/>
        <sz val="10"/>
        <rFont val="Arial CE"/>
        <charset val="238"/>
      </rPr>
      <t>VB</t>
    </r>
    <r>
      <rPr>
        <i/>
        <sz val="10"/>
        <rFont val="Arial CE"/>
        <family val="2"/>
        <charset val="238"/>
      </rPr>
      <t xml:space="preserve">  TENTacle; TalkNET - Sieć zainteresowanych, ARRIVAL REGIONS  - wydatki</t>
    </r>
  </si>
  <si>
    <r>
      <t xml:space="preserve">INTERREG </t>
    </r>
    <r>
      <rPr>
        <b/>
        <i/>
        <sz val="10"/>
        <rFont val="Arial CE"/>
        <charset val="238"/>
      </rPr>
      <t>VB</t>
    </r>
    <r>
      <rPr>
        <i/>
        <sz val="10"/>
        <rFont val="Arial CE"/>
        <family val="2"/>
        <charset val="238"/>
      </rPr>
      <t xml:space="preserve">  TENTacle; TalkNET - Sieć zainteresowanych, ARRIVAL REGIONS - dochody</t>
    </r>
  </si>
  <si>
    <r>
      <t xml:space="preserve">IW INTERREG </t>
    </r>
    <r>
      <rPr>
        <b/>
        <i/>
        <sz val="10"/>
        <rFont val="Arial CE"/>
        <charset val="238"/>
      </rPr>
      <t xml:space="preserve">VA </t>
    </r>
    <r>
      <rPr>
        <i/>
        <sz val="10"/>
        <rFont val="Arial CE"/>
        <family val="2"/>
        <charset val="238"/>
      </rPr>
      <t>Pomoc Tech. (WWT Poludniowy Bałtyk; Regionalny Punkt Kontaktowy, Na dwóch kółkach) - wydatki</t>
    </r>
  </si>
  <si>
    <r>
      <t xml:space="preserve">IW  INTERREG </t>
    </r>
    <r>
      <rPr>
        <b/>
        <i/>
        <sz val="10"/>
        <rFont val="Arial CE"/>
        <charset val="238"/>
      </rPr>
      <t>VA</t>
    </r>
    <r>
      <rPr>
        <i/>
        <sz val="10"/>
        <rFont val="Arial CE"/>
        <family val="2"/>
        <charset val="238"/>
      </rPr>
      <t xml:space="preserve"> Pomoc Tech.  ((WWT Poludniowy Bałtyk; Regionalny Punkt Kontaktowy, Na dwóch kółkach) - dochody</t>
    </r>
  </si>
  <si>
    <t xml:space="preserve"> PW INTERREG BSR - wydatki</t>
  </si>
  <si>
    <t xml:space="preserve"> PW INTERREG BSR - dochody</t>
  </si>
  <si>
    <t>do 2018 WWT/WOiRZL
od 2019 WWTiT/WOiRZL</t>
  </si>
  <si>
    <t>do 2018 WWT
od 2019 WWTiT</t>
  </si>
  <si>
    <t>do 2018 WWT/WOiRZL
od 2019 WWTiT/WOiRZL</t>
  </si>
  <si>
    <t>WTiG/od 2019 WWTiT</t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</si>
  <si>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</si>
  <si>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t>Przebudowa i rozbudowa przejścia drogowego przez m. Tanowo na drodze woj. Nr 115 w ramach PW INTERREG V A (2010-2020)</t>
  </si>
  <si>
    <t>COiE/od 2019 CIG</t>
  </si>
  <si>
    <t>do 2018 GM/COIiE/WWT, WTiG/WOiRZL
od 2019
GM/CIG/WWTiT/
WOiRZL</t>
  </si>
  <si>
    <t>do 2018 COIiE
od 2019 CIG</t>
  </si>
  <si>
    <t>WUP 
w Szczecinie 
pod nadzorem CIG</t>
  </si>
  <si>
    <t>WUP
 w Szczecinie 
pod nadzorem CIG</t>
  </si>
  <si>
    <t>WUP
 w Szczecinie
pod nadzorem CIG</t>
  </si>
  <si>
    <t>WWTiT/ WOiRZL</t>
  </si>
  <si>
    <t>- środki z budżetu województwa WWTiT</t>
  </si>
  <si>
    <t>- dotacje celowe / płatności z UE WWTiT</t>
  </si>
  <si>
    <t>WWTiT / WOiRZL</t>
  </si>
  <si>
    <t>Wypłata odszkodowań za nieruchomości pod planowane inwestycje drogowe  (2012-2019)</t>
  </si>
  <si>
    <t xml:space="preserve">Zespół Parków Krajobrazowych WZ pod nadzorem WRiR </t>
  </si>
  <si>
    <t xml:space="preserve">do 2018 WTiG 
od 2019 WWTiT </t>
  </si>
</sst>
</file>

<file path=xl/styles.xml><?xml version="1.0" encoding="utf-8"?>
<styleSheet xmlns="http://schemas.openxmlformats.org/spreadsheetml/2006/main">
  <numFmts count="6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6" formatCode="#,##0_ ;\-#,##0\ "/>
    <numFmt numFmtId="167" formatCode="0.0%"/>
  </numFmts>
  <fonts count="10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0000FF"/>
      <name val="Arial"/>
      <family val="2"/>
      <charset val="238"/>
    </font>
    <font>
      <i/>
      <sz val="10"/>
      <color rgb="FF0000FF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0"/>
      <color rgb="FF0000FF"/>
      <name val="Arial CE"/>
      <charset val="238"/>
    </font>
    <font>
      <b/>
      <i/>
      <sz val="10"/>
      <color rgb="FF0000FF"/>
      <name val="Arial CE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 CE"/>
      <charset val="238"/>
    </font>
    <font>
      <i/>
      <sz val="10"/>
      <color rgb="FFFF0000"/>
      <name val="Arial CE"/>
      <charset val="238"/>
    </font>
    <font>
      <b/>
      <sz val="9"/>
      <color rgb="FF0000FF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  <font>
      <sz val="8"/>
      <color rgb="FF0000FF"/>
      <name val="Arial CE"/>
      <family val="2"/>
      <charset val="238"/>
    </font>
    <font>
      <b/>
      <i/>
      <sz val="9"/>
      <color rgb="FF0000FF"/>
      <name val="Arial"/>
      <family val="2"/>
      <charset val="238"/>
    </font>
    <font>
      <sz val="9"/>
      <color rgb="FF0000FF"/>
      <name val="Arial CE"/>
      <charset val="238"/>
    </font>
    <font>
      <sz val="9"/>
      <color rgb="FF0000FF"/>
      <name val="Arial"/>
      <family val="2"/>
      <charset val="238"/>
    </font>
    <font>
      <sz val="8"/>
      <color rgb="FFFF0000"/>
      <name val="Arial CE"/>
      <family val="2"/>
      <charset val="238"/>
    </font>
    <font>
      <b/>
      <sz val="9"/>
      <color rgb="FF0000FF"/>
      <name val="Arial"/>
      <family val="2"/>
      <charset val="238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42" borderId="0">
      <alignment horizontal="left" vertical="top"/>
    </xf>
    <xf numFmtId="0" fontId="45" fillId="42" borderId="0">
      <alignment horizontal="center" vertical="top"/>
    </xf>
    <xf numFmtId="0" fontId="44" fillId="42" borderId="0">
      <alignment horizontal="lef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5" fillId="43" borderId="0">
      <alignment horizontal="lef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4" borderId="0">
      <alignment horizontal="lef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6" fillId="42" borderId="0">
      <alignment horizontal="center" vertical="top"/>
    </xf>
    <xf numFmtId="0" fontId="45" fillId="44" borderId="0">
      <alignment horizontal="right" vertical="top"/>
    </xf>
    <xf numFmtId="0" fontId="44" fillId="45" borderId="0">
      <alignment horizontal="lef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7" fillId="46" borderId="0">
      <alignment horizontal="left" vertical="top"/>
    </xf>
    <xf numFmtId="0" fontId="48" fillId="42" borderId="0">
      <alignment horizontal="left" vertical="top"/>
    </xf>
    <xf numFmtId="0" fontId="49" fillId="42" borderId="0">
      <alignment horizontal="left" vertical="top"/>
    </xf>
    <xf numFmtId="0" fontId="45" fillId="42" borderId="0">
      <alignment horizontal="right" vertical="top"/>
    </xf>
    <xf numFmtId="0" fontId="45" fillId="42" borderId="0">
      <alignment horizontal="right" vertical="top"/>
    </xf>
    <xf numFmtId="0" fontId="49" fillId="47" borderId="0">
      <alignment horizontal="left"/>
    </xf>
    <xf numFmtId="0" fontId="49" fillId="47" borderId="0">
      <alignment horizontal="left"/>
    </xf>
    <xf numFmtId="0" fontId="49" fillId="47" borderId="0">
      <alignment horizontal="right"/>
    </xf>
    <xf numFmtId="0" fontId="50" fillId="47" borderId="0">
      <alignment horizontal="right"/>
    </xf>
    <xf numFmtId="0" fontId="49" fillId="46" borderId="0">
      <alignment horizontal="left" vertical="top"/>
    </xf>
    <xf numFmtId="0" fontId="45" fillId="46" borderId="0">
      <alignment horizontal="right" vertical="top"/>
    </xf>
    <xf numFmtId="0" fontId="45" fillId="46" borderId="0">
      <alignment horizontal="right" vertical="top"/>
    </xf>
    <xf numFmtId="0" fontId="44" fillId="42" borderId="0">
      <alignment horizontal="left" vertical="center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7" borderId="0">
      <alignment horizontal="lef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8" borderId="85" applyNumberFormat="0" applyProtection="0">
      <alignment horizontal="right" vertical="center"/>
    </xf>
    <xf numFmtId="4" fontId="51" fillId="49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50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51" borderId="85" applyNumberFormat="0" applyProtection="0">
      <alignment horizontal="left" vertical="center" indent="1"/>
    </xf>
    <xf numFmtId="4" fontId="51" fillId="52" borderId="86" applyNumberFormat="0" applyProtection="0">
      <alignment horizontal="left" vertical="center" indent="1"/>
    </xf>
    <xf numFmtId="4" fontId="54" fillId="53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52" borderId="85" applyNumberFormat="0" applyProtection="0">
      <alignment horizontal="left" vertical="center" indent="1"/>
    </xf>
    <xf numFmtId="4" fontId="5" fillId="54" borderId="85" applyNumberFormat="0" applyProtection="0">
      <alignment horizontal="left" vertical="center" indent="1"/>
    </xf>
    <xf numFmtId="0" fontId="4" fillId="54" borderId="85" applyNumberFormat="0" applyProtection="0">
      <alignment horizontal="left" vertical="center" indent="1"/>
    </xf>
    <xf numFmtId="0" fontId="4" fillId="54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52" borderId="85" applyNumberFormat="0" applyProtection="0">
      <alignment horizontal="right" vertical="center"/>
    </xf>
    <xf numFmtId="4" fontId="52" fillId="52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52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8" borderId="94" applyNumberFormat="0" applyProtection="0">
      <alignment horizontal="right" vertical="center"/>
    </xf>
    <xf numFmtId="4" fontId="51" fillId="49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50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51" borderId="94" applyNumberFormat="0" applyProtection="0">
      <alignment horizontal="left" vertical="center" indent="1"/>
    </xf>
    <xf numFmtId="4" fontId="51" fillId="52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52" borderId="94" applyNumberFormat="0" applyProtection="0">
      <alignment horizontal="left" vertical="center" indent="1"/>
    </xf>
    <xf numFmtId="4" fontId="5" fillId="54" borderId="94" applyNumberFormat="0" applyProtection="0">
      <alignment horizontal="left" vertical="center" indent="1"/>
    </xf>
    <xf numFmtId="0" fontId="4" fillId="54" borderId="94" applyNumberFormat="0" applyProtection="0">
      <alignment horizontal="left" vertical="center" indent="1"/>
    </xf>
    <xf numFmtId="0" fontId="4" fillId="54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52" borderId="94" applyNumberFormat="0" applyProtection="0">
      <alignment horizontal="right" vertical="center"/>
    </xf>
    <xf numFmtId="4" fontId="52" fillId="52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52" borderId="94" applyNumberFormat="0" applyProtection="0">
      <alignment horizontal="right" vertical="center"/>
    </xf>
    <xf numFmtId="0" fontId="4" fillId="0" borderId="0"/>
    <xf numFmtId="4" fontId="51" fillId="13" borderId="135" applyNumberFormat="0" applyProtection="0">
      <alignment horizontal="left" vertical="center" indent="1"/>
    </xf>
    <xf numFmtId="4" fontId="51" fillId="12" borderId="144" applyNumberFormat="0" applyProtection="0">
      <alignment horizontal="right" vertical="center"/>
    </xf>
    <xf numFmtId="4" fontId="51" fillId="13" borderId="135" applyNumberFormat="0" applyProtection="0">
      <alignment horizontal="left" vertical="center" indent="1"/>
    </xf>
    <xf numFmtId="4" fontId="52" fillId="13" borderId="135" applyNumberFormat="0" applyProtection="0">
      <alignment vertical="center"/>
    </xf>
    <xf numFmtId="4" fontId="51" fillId="13" borderId="135" applyNumberFormat="0" applyProtection="0">
      <alignment vertical="center"/>
    </xf>
    <xf numFmtId="4" fontId="51" fillId="17" borderId="144" applyNumberFormat="0" applyProtection="0">
      <alignment horizontal="right" vertical="center"/>
    </xf>
    <xf numFmtId="4" fontId="53" fillId="51" borderId="144" applyNumberFormat="0" applyProtection="0">
      <alignment horizontal="left" vertical="center" indent="1"/>
    </xf>
    <xf numFmtId="0" fontId="2" fillId="0" borderId="0"/>
    <xf numFmtId="4" fontId="51" fillId="13" borderId="143" applyNumberFormat="0" applyProtection="0">
      <alignment vertical="center"/>
    </xf>
    <xf numFmtId="4" fontId="52" fillId="13" borderId="143" applyNumberFormat="0" applyProtection="0">
      <alignment vertical="center"/>
    </xf>
    <xf numFmtId="4" fontId="51" fillId="13" borderId="143" applyNumberFormat="0" applyProtection="0">
      <alignment horizontal="left" vertical="center" indent="1"/>
    </xf>
    <xf numFmtId="4" fontId="51" fillId="13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1" fillId="35" borderId="143" applyNumberFormat="0" applyProtection="0">
      <alignment horizontal="right" vertical="center"/>
    </xf>
    <xf numFmtId="4" fontId="51" fillId="48" borderId="143" applyNumberFormat="0" applyProtection="0">
      <alignment horizontal="right" vertical="center"/>
    </xf>
    <xf numFmtId="4" fontId="51" fillId="49" borderId="143" applyNumberFormat="0" applyProtection="0">
      <alignment horizontal="right" vertical="center"/>
    </xf>
    <xf numFmtId="4" fontId="51" fillId="12" borderId="143" applyNumberFormat="0" applyProtection="0">
      <alignment horizontal="right" vertical="center"/>
    </xf>
    <xf numFmtId="4" fontId="51" fillId="50" borderId="143" applyNumberFormat="0" applyProtection="0">
      <alignment horizontal="right" vertical="center"/>
    </xf>
    <xf numFmtId="4" fontId="51" fillId="15" borderId="143" applyNumberFormat="0" applyProtection="0">
      <alignment horizontal="right" vertical="center"/>
    </xf>
    <xf numFmtId="4" fontId="51" fillId="17" borderId="143" applyNumberFormat="0" applyProtection="0">
      <alignment horizontal="right" vertical="center"/>
    </xf>
    <xf numFmtId="4" fontId="51" fillId="16" borderId="143" applyNumberFormat="0" applyProtection="0">
      <alignment horizontal="right" vertical="center"/>
    </xf>
    <xf numFmtId="4" fontId="51" fillId="19" borderId="143" applyNumberFormat="0" applyProtection="0">
      <alignment horizontal="right" vertical="center"/>
    </xf>
    <xf numFmtId="4" fontId="53" fillId="51" borderId="143" applyNumberFormat="0" applyProtection="0">
      <alignment horizontal="left" vertical="center" indent="1"/>
    </xf>
    <xf numFmtId="0" fontId="4" fillId="30" borderId="143" applyNumberFormat="0" applyProtection="0">
      <alignment horizontal="left" vertical="center" indent="1"/>
    </xf>
    <xf numFmtId="0" fontId="4" fillId="33" borderId="143" applyNumberFormat="0" applyProtection="0">
      <alignment horizontal="left" vertical="center" indent="1"/>
    </xf>
    <xf numFmtId="0" fontId="4" fillId="33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1" fillId="20" borderId="143" applyNumberFormat="0" applyProtection="0">
      <alignment vertical="center"/>
    </xf>
    <xf numFmtId="4" fontId="52" fillId="20" borderId="143" applyNumberFormat="0" applyProtection="0">
      <alignment vertical="center"/>
    </xf>
    <xf numFmtId="4" fontId="51" fillId="20" borderId="143" applyNumberFormat="0" applyProtection="0">
      <alignment horizontal="left" vertical="center" indent="1"/>
    </xf>
    <xf numFmtId="4" fontId="51" fillId="20" borderId="143" applyNumberFormat="0" applyProtection="0">
      <alignment horizontal="left" vertical="center" indent="1"/>
    </xf>
    <xf numFmtId="4" fontId="51" fillId="52" borderId="143" applyNumberFormat="0" applyProtection="0">
      <alignment horizontal="right" vertical="center"/>
    </xf>
    <xf numFmtId="4" fontId="52" fillId="52" borderId="143" applyNumberFormat="0" applyProtection="0">
      <alignment horizontal="right" vertical="center"/>
    </xf>
    <xf numFmtId="4" fontId="51" fillId="13" borderId="149" applyNumberFormat="0" applyProtection="0">
      <alignment vertical="center"/>
    </xf>
    <xf numFmtId="4" fontId="56" fillId="52" borderId="143" applyNumberFormat="0" applyProtection="0">
      <alignment horizontal="right" vertical="center"/>
    </xf>
    <xf numFmtId="0" fontId="4" fillId="11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" fillId="52" borderId="143" applyNumberFormat="0" applyProtection="0">
      <alignment horizontal="left" vertical="center" indent="1"/>
    </xf>
    <xf numFmtId="0" fontId="4" fillId="54" borderId="143" applyNumberFormat="0" applyProtection="0">
      <alignment horizontal="left" vertical="center" indent="1"/>
    </xf>
    <xf numFmtId="4" fontId="51" fillId="13" borderId="131" applyNumberFormat="0" applyProtection="0">
      <alignment vertical="center"/>
    </xf>
    <xf numFmtId="4" fontId="52" fillId="13" borderId="131" applyNumberFormat="0" applyProtection="0">
      <alignment vertical="center"/>
    </xf>
    <xf numFmtId="4" fontId="51" fillId="13" borderId="131" applyNumberFormat="0" applyProtection="0">
      <alignment horizontal="left" vertical="center" indent="1"/>
    </xf>
    <xf numFmtId="4" fontId="51" fillId="1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35" borderId="131" applyNumberFormat="0" applyProtection="0">
      <alignment horizontal="right" vertical="center"/>
    </xf>
    <xf numFmtId="4" fontId="51" fillId="48" borderId="131" applyNumberFormat="0" applyProtection="0">
      <alignment horizontal="right" vertical="center"/>
    </xf>
    <xf numFmtId="4" fontId="51" fillId="49" borderId="131" applyNumberFormat="0" applyProtection="0">
      <alignment horizontal="right" vertical="center"/>
    </xf>
    <xf numFmtId="4" fontId="51" fillId="12" borderId="131" applyNumberFormat="0" applyProtection="0">
      <alignment horizontal="right" vertical="center"/>
    </xf>
    <xf numFmtId="4" fontId="51" fillId="50" borderId="131" applyNumberFormat="0" applyProtection="0">
      <alignment horizontal="right" vertical="center"/>
    </xf>
    <xf numFmtId="4" fontId="51" fillId="15" borderId="131" applyNumberFormat="0" applyProtection="0">
      <alignment horizontal="right" vertical="center"/>
    </xf>
    <xf numFmtId="4" fontId="51" fillId="17" borderId="131" applyNumberFormat="0" applyProtection="0">
      <alignment horizontal="right" vertical="center"/>
    </xf>
    <xf numFmtId="4" fontId="51" fillId="16" borderId="131" applyNumberFormat="0" applyProtection="0">
      <alignment horizontal="right" vertical="center"/>
    </xf>
    <xf numFmtId="4" fontId="51" fillId="19" borderId="131" applyNumberFormat="0" applyProtection="0">
      <alignment horizontal="right" vertical="center"/>
    </xf>
    <xf numFmtId="4" fontId="53" fillId="51" borderId="131" applyNumberFormat="0" applyProtection="0">
      <alignment horizontal="left" vertical="center" indent="1"/>
    </xf>
    <xf numFmtId="4" fontId="51" fillId="52" borderId="132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" fillId="52" borderId="131" applyNumberFormat="0" applyProtection="0">
      <alignment horizontal="left" vertical="center" indent="1"/>
    </xf>
    <xf numFmtId="4" fontId="5" fillId="54" borderId="131" applyNumberFormat="0" applyProtection="0">
      <alignment horizontal="left" vertical="center" indent="1"/>
    </xf>
    <xf numFmtId="0" fontId="4" fillId="54" borderId="131" applyNumberFormat="0" applyProtection="0">
      <alignment horizontal="left" vertical="center" indent="1"/>
    </xf>
    <xf numFmtId="0" fontId="4" fillId="54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20" borderId="131" applyNumberFormat="0" applyProtection="0">
      <alignment vertical="center"/>
    </xf>
    <xf numFmtId="4" fontId="52" fillId="20" borderId="131" applyNumberFormat="0" applyProtection="0">
      <alignment vertical="center"/>
    </xf>
    <xf numFmtId="4" fontId="51" fillId="20" borderId="131" applyNumberFormat="0" applyProtection="0">
      <alignment horizontal="left" vertical="center" indent="1"/>
    </xf>
    <xf numFmtId="4" fontId="51" fillId="20" borderId="131" applyNumberFormat="0" applyProtection="0">
      <alignment horizontal="left" vertical="center" indent="1"/>
    </xf>
    <xf numFmtId="4" fontId="51" fillId="52" borderId="131" applyNumberFormat="0" applyProtection="0">
      <alignment horizontal="right" vertical="center"/>
    </xf>
    <xf numFmtId="4" fontId="52" fillId="52" borderId="131" applyNumberFormat="0" applyProtection="0">
      <alignment horizontal="right" vertical="center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6" fillId="52" borderId="131" applyNumberFormat="0" applyProtection="0">
      <alignment horizontal="right" vertical="center"/>
    </xf>
    <xf numFmtId="0" fontId="4" fillId="11" borderId="143" applyNumberFormat="0" applyProtection="0">
      <alignment horizontal="left" vertical="center" indent="1"/>
    </xf>
    <xf numFmtId="0" fontId="4" fillId="0" borderId="0"/>
    <xf numFmtId="4" fontId="51" fillId="13" borderId="133" applyNumberFormat="0" applyProtection="0">
      <alignment vertical="center"/>
    </xf>
    <xf numFmtId="4" fontId="52" fillId="13" borderId="133" applyNumberFormat="0" applyProtection="0">
      <alignment vertical="center"/>
    </xf>
    <xf numFmtId="4" fontId="51" fillId="13" borderId="133" applyNumberFormat="0" applyProtection="0">
      <alignment horizontal="left" vertical="center" indent="1"/>
    </xf>
    <xf numFmtId="4" fontId="51" fillId="1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35" borderId="133" applyNumberFormat="0" applyProtection="0">
      <alignment horizontal="right" vertical="center"/>
    </xf>
    <xf numFmtId="4" fontId="51" fillId="48" borderId="133" applyNumberFormat="0" applyProtection="0">
      <alignment horizontal="right" vertical="center"/>
    </xf>
    <xf numFmtId="4" fontId="51" fillId="49" borderId="133" applyNumberFormat="0" applyProtection="0">
      <alignment horizontal="right" vertical="center"/>
    </xf>
    <xf numFmtId="4" fontId="51" fillId="12" borderId="133" applyNumberFormat="0" applyProtection="0">
      <alignment horizontal="right" vertical="center"/>
    </xf>
    <xf numFmtId="4" fontId="51" fillId="50" borderId="133" applyNumberFormat="0" applyProtection="0">
      <alignment horizontal="right" vertical="center"/>
    </xf>
    <xf numFmtId="4" fontId="51" fillId="15" borderId="133" applyNumberFormat="0" applyProtection="0">
      <alignment horizontal="right" vertical="center"/>
    </xf>
    <xf numFmtId="4" fontId="51" fillId="17" borderId="133" applyNumberFormat="0" applyProtection="0">
      <alignment horizontal="right" vertical="center"/>
    </xf>
    <xf numFmtId="4" fontId="51" fillId="16" borderId="133" applyNumberFormat="0" applyProtection="0">
      <alignment horizontal="right" vertical="center"/>
    </xf>
    <xf numFmtId="4" fontId="51" fillId="19" borderId="133" applyNumberFormat="0" applyProtection="0">
      <alignment horizontal="right" vertical="center"/>
    </xf>
    <xf numFmtId="4" fontId="53" fillId="51" borderId="133" applyNumberFormat="0" applyProtection="0">
      <alignment horizontal="left" vertical="center" indent="1"/>
    </xf>
    <xf numFmtId="4" fontId="51" fillId="52" borderId="134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52" borderId="133" applyNumberFormat="0" applyProtection="0">
      <alignment horizontal="left" vertical="center" indent="1"/>
    </xf>
    <xf numFmtId="4" fontId="5" fillId="54" borderId="133" applyNumberFormat="0" applyProtection="0">
      <alignment horizontal="left" vertical="center" indent="1"/>
    </xf>
    <xf numFmtId="0" fontId="4" fillId="54" borderId="133" applyNumberFormat="0" applyProtection="0">
      <alignment horizontal="left" vertical="center" indent="1"/>
    </xf>
    <xf numFmtId="0" fontId="4" fillId="54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20" borderId="133" applyNumberFormat="0" applyProtection="0">
      <alignment vertical="center"/>
    </xf>
    <xf numFmtId="4" fontId="52" fillId="20" borderId="133" applyNumberFormat="0" applyProtection="0">
      <alignment vertical="center"/>
    </xf>
    <xf numFmtId="4" fontId="51" fillId="20" borderId="133" applyNumberFormat="0" applyProtection="0">
      <alignment horizontal="left" vertical="center" indent="1"/>
    </xf>
    <xf numFmtId="4" fontId="51" fillId="20" borderId="133" applyNumberFormat="0" applyProtection="0">
      <alignment horizontal="left" vertical="center" indent="1"/>
    </xf>
    <xf numFmtId="4" fontId="51" fillId="52" borderId="133" applyNumberFormat="0" applyProtection="0">
      <alignment horizontal="right" vertical="center"/>
    </xf>
    <xf numFmtId="4" fontId="52" fillId="52" borderId="133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6" fillId="52" borderId="133" applyNumberFormat="0" applyProtection="0">
      <alignment horizontal="right" vertical="center"/>
    </xf>
    <xf numFmtId="0" fontId="4" fillId="11" borderId="135" applyNumberFormat="0" applyProtection="0">
      <alignment horizontal="left" vertical="center" indent="1"/>
    </xf>
    <xf numFmtId="4" fontId="51" fillId="35" borderId="135" applyNumberFormat="0" applyProtection="0">
      <alignment horizontal="right" vertical="center"/>
    </xf>
    <xf numFmtId="4" fontId="51" fillId="48" borderId="135" applyNumberFormat="0" applyProtection="0">
      <alignment horizontal="right" vertical="center"/>
    </xf>
    <xf numFmtId="4" fontId="51" fillId="49" borderId="135" applyNumberFormat="0" applyProtection="0">
      <alignment horizontal="right" vertical="center"/>
    </xf>
    <xf numFmtId="4" fontId="51" fillId="12" borderId="135" applyNumberFormat="0" applyProtection="0">
      <alignment horizontal="right" vertical="center"/>
    </xf>
    <xf numFmtId="4" fontId="51" fillId="50" borderId="135" applyNumberFormat="0" applyProtection="0">
      <alignment horizontal="right" vertical="center"/>
    </xf>
    <xf numFmtId="4" fontId="51" fillId="15" borderId="135" applyNumberFormat="0" applyProtection="0">
      <alignment horizontal="right" vertical="center"/>
    </xf>
    <xf numFmtId="4" fontId="51" fillId="17" borderId="135" applyNumberFormat="0" applyProtection="0">
      <alignment horizontal="right" vertical="center"/>
    </xf>
    <xf numFmtId="4" fontId="51" fillId="16" borderId="135" applyNumberFormat="0" applyProtection="0">
      <alignment horizontal="right" vertical="center"/>
    </xf>
    <xf numFmtId="4" fontId="51" fillId="19" borderId="135" applyNumberFormat="0" applyProtection="0">
      <alignment horizontal="right" vertical="center"/>
    </xf>
    <xf numFmtId="4" fontId="53" fillId="51" borderId="135" applyNumberFormat="0" applyProtection="0">
      <alignment horizontal="left" vertical="center" indent="1"/>
    </xf>
    <xf numFmtId="4" fontId="51" fillId="52" borderId="136" applyNumberFormat="0" applyProtection="0">
      <alignment horizontal="left" vertical="center" indent="1"/>
    </xf>
    <xf numFmtId="4" fontId="51" fillId="52" borderId="141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" fillId="52" borderId="135" applyNumberFormat="0" applyProtection="0">
      <alignment horizontal="left" vertical="center" indent="1"/>
    </xf>
    <xf numFmtId="4" fontId="5" fillId="54" borderId="135" applyNumberFormat="0" applyProtection="0">
      <alignment horizontal="left" vertical="center" indent="1"/>
    </xf>
    <xf numFmtId="0" fontId="4" fillId="54" borderId="135" applyNumberFormat="0" applyProtection="0">
      <alignment horizontal="left" vertical="center" indent="1"/>
    </xf>
    <xf numFmtId="0" fontId="4" fillId="54" borderId="135" applyNumberFormat="0" applyProtection="0">
      <alignment horizontal="left" vertical="center" indent="1"/>
    </xf>
    <xf numFmtId="0" fontId="4" fillId="30" borderId="135" applyNumberFormat="0" applyProtection="0">
      <alignment horizontal="left" vertical="center" indent="1"/>
    </xf>
    <xf numFmtId="0" fontId="4" fillId="30" borderId="135" applyNumberFormat="0" applyProtection="0">
      <alignment horizontal="left" vertical="center" indent="1"/>
    </xf>
    <xf numFmtId="0" fontId="4" fillId="33" borderId="135" applyNumberFormat="0" applyProtection="0">
      <alignment horizontal="left" vertical="center" indent="1"/>
    </xf>
    <xf numFmtId="0" fontId="4" fillId="33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1" fillId="20" borderId="135" applyNumberFormat="0" applyProtection="0">
      <alignment vertical="center"/>
    </xf>
    <xf numFmtId="4" fontId="52" fillId="20" borderId="135" applyNumberFormat="0" applyProtection="0">
      <alignment vertical="center"/>
    </xf>
    <xf numFmtId="4" fontId="51" fillId="20" borderId="135" applyNumberFormat="0" applyProtection="0">
      <alignment horizontal="left" vertical="center" indent="1"/>
    </xf>
    <xf numFmtId="4" fontId="51" fillId="20" borderId="135" applyNumberFormat="0" applyProtection="0">
      <alignment horizontal="left" vertical="center" indent="1"/>
    </xf>
    <xf numFmtId="4" fontId="51" fillId="52" borderId="135" applyNumberFormat="0" applyProtection="0">
      <alignment horizontal="right" vertical="center"/>
    </xf>
    <xf numFmtId="4" fontId="52" fillId="52" borderId="135" applyNumberFormat="0" applyProtection="0">
      <alignment horizontal="right" vertical="center"/>
    </xf>
    <xf numFmtId="0" fontId="4" fillId="11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" fillId="54" borderId="144" applyNumberFormat="0" applyProtection="0">
      <alignment horizontal="left" vertical="center" indent="1"/>
    </xf>
    <xf numFmtId="4" fontId="56" fillId="52" borderId="135" applyNumberFormat="0" applyProtection="0">
      <alignment horizontal="right" vertical="center"/>
    </xf>
    <xf numFmtId="0" fontId="4" fillId="30" borderId="143" applyNumberFormat="0" applyProtection="0">
      <alignment horizontal="left" vertical="center" indent="1"/>
    </xf>
    <xf numFmtId="4" fontId="5" fillId="54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1" fillId="13" borderId="135" applyNumberFormat="0" applyProtection="0">
      <alignment vertical="center"/>
    </xf>
    <xf numFmtId="4" fontId="52" fillId="13" borderId="135" applyNumberFormat="0" applyProtection="0">
      <alignment vertical="center"/>
    </xf>
    <xf numFmtId="4" fontId="51" fillId="13" borderId="135" applyNumberFormat="0" applyProtection="0">
      <alignment horizontal="left" vertical="center" indent="1"/>
    </xf>
    <xf numFmtId="4" fontId="51" fillId="13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1" fillId="35" borderId="135" applyNumberFormat="0" applyProtection="0">
      <alignment horizontal="right" vertical="center"/>
    </xf>
    <xf numFmtId="4" fontId="51" fillId="48" borderId="135" applyNumberFormat="0" applyProtection="0">
      <alignment horizontal="right" vertical="center"/>
    </xf>
    <xf numFmtId="4" fontId="51" fillId="49" borderId="135" applyNumberFormat="0" applyProtection="0">
      <alignment horizontal="right" vertical="center"/>
    </xf>
    <xf numFmtId="4" fontId="51" fillId="12" borderId="135" applyNumberFormat="0" applyProtection="0">
      <alignment horizontal="right" vertical="center"/>
    </xf>
    <xf numFmtId="4" fontId="51" fillId="50" borderId="135" applyNumberFormat="0" applyProtection="0">
      <alignment horizontal="right" vertical="center"/>
    </xf>
    <xf numFmtId="4" fontId="51" fillId="15" borderId="135" applyNumberFormat="0" applyProtection="0">
      <alignment horizontal="right" vertical="center"/>
    </xf>
    <xf numFmtId="4" fontId="51" fillId="17" borderId="135" applyNumberFormat="0" applyProtection="0">
      <alignment horizontal="right" vertical="center"/>
    </xf>
    <xf numFmtId="4" fontId="51" fillId="16" borderId="135" applyNumberFormat="0" applyProtection="0">
      <alignment horizontal="right" vertical="center"/>
    </xf>
    <xf numFmtId="4" fontId="51" fillId="19" borderId="135" applyNumberFormat="0" applyProtection="0">
      <alignment horizontal="right" vertical="center"/>
    </xf>
    <xf numFmtId="4" fontId="53" fillId="51" borderId="135" applyNumberFormat="0" applyProtection="0">
      <alignment horizontal="left" vertical="center" indent="1"/>
    </xf>
    <xf numFmtId="4" fontId="51" fillId="52" borderId="137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" fillId="52" borderId="135" applyNumberFormat="0" applyProtection="0">
      <alignment horizontal="left" vertical="center" indent="1"/>
    </xf>
    <xf numFmtId="4" fontId="5" fillId="54" borderId="135" applyNumberFormat="0" applyProtection="0">
      <alignment horizontal="left" vertical="center" indent="1"/>
    </xf>
    <xf numFmtId="0" fontId="4" fillId="54" borderId="135" applyNumberFormat="0" applyProtection="0">
      <alignment horizontal="left" vertical="center" indent="1"/>
    </xf>
    <xf numFmtId="0" fontId="4" fillId="54" borderId="135" applyNumberFormat="0" applyProtection="0">
      <alignment horizontal="left" vertical="center" indent="1"/>
    </xf>
    <xf numFmtId="0" fontId="4" fillId="30" borderId="135" applyNumberFormat="0" applyProtection="0">
      <alignment horizontal="left" vertical="center" indent="1"/>
    </xf>
    <xf numFmtId="0" fontId="4" fillId="30" borderId="135" applyNumberFormat="0" applyProtection="0">
      <alignment horizontal="left" vertical="center" indent="1"/>
    </xf>
    <xf numFmtId="0" fontId="4" fillId="33" borderId="135" applyNumberFormat="0" applyProtection="0">
      <alignment horizontal="left" vertical="center" indent="1"/>
    </xf>
    <xf numFmtId="0" fontId="4" fillId="33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1" fillId="20" borderId="135" applyNumberFormat="0" applyProtection="0">
      <alignment vertical="center"/>
    </xf>
    <xf numFmtId="4" fontId="52" fillId="20" borderId="135" applyNumberFormat="0" applyProtection="0">
      <alignment vertical="center"/>
    </xf>
    <xf numFmtId="4" fontId="51" fillId="20" borderId="135" applyNumberFormat="0" applyProtection="0">
      <alignment horizontal="left" vertical="center" indent="1"/>
    </xf>
    <xf numFmtId="4" fontId="51" fillId="20" borderId="135" applyNumberFormat="0" applyProtection="0">
      <alignment horizontal="left" vertical="center" indent="1"/>
    </xf>
    <xf numFmtId="4" fontId="51" fillId="52" borderId="135" applyNumberFormat="0" applyProtection="0">
      <alignment horizontal="right" vertical="center"/>
    </xf>
    <xf numFmtId="4" fontId="52" fillId="52" borderId="135" applyNumberFormat="0" applyProtection="0">
      <alignment horizontal="right" vertical="center"/>
    </xf>
    <xf numFmtId="0" fontId="4" fillId="11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6" fillId="52" borderId="135" applyNumberFormat="0" applyProtection="0">
      <alignment horizontal="right" vertical="center"/>
    </xf>
    <xf numFmtId="0" fontId="4" fillId="54" borderId="143" applyNumberFormat="0" applyProtection="0">
      <alignment horizontal="left" vertical="center" indent="1"/>
    </xf>
    <xf numFmtId="4" fontId="51" fillId="13" borderId="144" applyNumberFormat="0" applyProtection="0">
      <alignment vertical="center"/>
    </xf>
    <xf numFmtId="4" fontId="52" fillId="13" borderId="144" applyNumberFormat="0" applyProtection="0">
      <alignment vertical="center"/>
    </xf>
    <xf numFmtId="4" fontId="51" fillId="13" borderId="144" applyNumberFormat="0" applyProtection="0">
      <alignment horizontal="left" vertical="center" indent="1"/>
    </xf>
    <xf numFmtId="4" fontId="51" fillId="1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35" borderId="144" applyNumberFormat="0" applyProtection="0">
      <alignment horizontal="right" vertical="center"/>
    </xf>
    <xf numFmtId="4" fontId="51" fillId="48" borderId="144" applyNumberFormat="0" applyProtection="0">
      <alignment horizontal="right" vertical="center"/>
    </xf>
    <xf numFmtId="4" fontId="51" fillId="52" borderId="138" applyNumberFormat="0" applyProtection="0">
      <alignment horizontal="left" vertical="center" indent="1"/>
    </xf>
    <xf numFmtId="4" fontId="51" fillId="52" borderId="145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" fillId="52" borderId="144" applyNumberFormat="0" applyProtection="0">
      <alignment horizontal="left" vertical="center" indent="1"/>
    </xf>
    <xf numFmtId="0" fontId="4" fillId="54" borderId="144" applyNumberFormat="0" applyProtection="0">
      <alignment horizontal="left" vertical="center" indent="1"/>
    </xf>
    <xf numFmtId="0" fontId="4" fillId="54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2" fillId="20" borderId="144" applyNumberFormat="0" applyProtection="0">
      <alignment vertical="center"/>
    </xf>
    <xf numFmtId="4" fontId="51" fillId="20" borderId="144" applyNumberFormat="0" applyProtection="0">
      <alignment horizontal="left" vertical="center" indent="1"/>
    </xf>
    <xf numFmtId="4" fontId="51" fillId="20" borderId="144" applyNumberFormat="0" applyProtection="0">
      <alignment horizontal="left" vertical="center" indent="1"/>
    </xf>
    <xf numFmtId="4" fontId="51" fillId="52" borderId="144" applyNumberFormat="0" applyProtection="0">
      <alignment horizontal="right" vertical="center"/>
    </xf>
    <xf numFmtId="4" fontId="52" fillId="52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4" fontId="51" fillId="50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4" fontId="51" fillId="15" borderId="144" applyNumberFormat="0" applyProtection="0">
      <alignment horizontal="right" vertical="center"/>
    </xf>
    <xf numFmtId="4" fontId="51" fillId="16" borderId="144" applyNumberFormat="0" applyProtection="0">
      <alignment horizontal="right" vertical="center"/>
    </xf>
    <xf numFmtId="4" fontId="51" fillId="49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4" fontId="51" fillId="20" borderId="144" applyNumberFormat="0" applyProtection="0">
      <alignment vertical="center"/>
    </xf>
    <xf numFmtId="4" fontId="51" fillId="13" borderId="139" applyNumberFormat="0" applyProtection="0">
      <alignment vertical="center"/>
    </xf>
    <xf numFmtId="4" fontId="52" fillId="13" borderId="139" applyNumberFormat="0" applyProtection="0">
      <alignment vertical="center"/>
    </xf>
    <xf numFmtId="4" fontId="51" fillId="13" borderId="139" applyNumberFormat="0" applyProtection="0">
      <alignment horizontal="left" vertical="center" indent="1"/>
    </xf>
    <xf numFmtId="4" fontId="51" fillId="13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1" fillId="35" borderId="139" applyNumberFormat="0" applyProtection="0">
      <alignment horizontal="right" vertical="center"/>
    </xf>
    <xf numFmtId="4" fontId="51" fillId="48" borderId="139" applyNumberFormat="0" applyProtection="0">
      <alignment horizontal="right" vertical="center"/>
    </xf>
    <xf numFmtId="4" fontId="51" fillId="49" borderId="139" applyNumberFormat="0" applyProtection="0">
      <alignment horizontal="right" vertical="center"/>
    </xf>
    <xf numFmtId="4" fontId="51" fillId="12" borderId="139" applyNumberFormat="0" applyProtection="0">
      <alignment horizontal="right" vertical="center"/>
    </xf>
    <xf numFmtId="4" fontId="51" fillId="50" borderId="139" applyNumberFormat="0" applyProtection="0">
      <alignment horizontal="right" vertical="center"/>
    </xf>
    <xf numFmtId="4" fontId="51" fillId="15" borderId="139" applyNumberFormat="0" applyProtection="0">
      <alignment horizontal="right" vertical="center"/>
    </xf>
    <xf numFmtId="4" fontId="51" fillId="17" borderId="139" applyNumberFormat="0" applyProtection="0">
      <alignment horizontal="right" vertical="center"/>
    </xf>
    <xf numFmtId="4" fontId="51" fillId="16" borderId="139" applyNumberFormat="0" applyProtection="0">
      <alignment horizontal="right" vertical="center"/>
    </xf>
    <xf numFmtId="4" fontId="51" fillId="19" borderId="139" applyNumberFormat="0" applyProtection="0">
      <alignment horizontal="right" vertical="center"/>
    </xf>
    <xf numFmtId="4" fontId="53" fillId="51" borderId="139" applyNumberFormat="0" applyProtection="0">
      <alignment horizontal="left" vertical="center" indent="1"/>
    </xf>
    <xf numFmtId="4" fontId="51" fillId="52" borderId="140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" fillId="52" borderId="139" applyNumberFormat="0" applyProtection="0">
      <alignment horizontal="left" vertical="center" indent="1"/>
    </xf>
    <xf numFmtId="4" fontId="5" fillId="54" borderId="139" applyNumberFormat="0" applyProtection="0">
      <alignment horizontal="left" vertical="center" indent="1"/>
    </xf>
    <xf numFmtId="0" fontId="4" fillId="54" borderId="139" applyNumberFormat="0" applyProtection="0">
      <alignment horizontal="left" vertical="center" indent="1"/>
    </xf>
    <xf numFmtId="0" fontId="4" fillId="54" borderId="139" applyNumberFormat="0" applyProtection="0">
      <alignment horizontal="left" vertical="center" indent="1"/>
    </xf>
    <xf numFmtId="0" fontId="4" fillId="30" borderId="139" applyNumberFormat="0" applyProtection="0">
      <alignment horizontal="left" vertical="center" indent="1"/>
    </xf>
    <xf numFmtId="0" fontId="4" fillId="30" borderId="139" applyNumberFormat="0" applyProtection="0">
      <alignment horizontal="left" vertical="center" indent="1"/>
    </xf>
    <xf numFmtId="0" fontId="4" fillId="33" borderId="139" applyNumberFormat="0" applyProtection="0">
      <alignment horizontal="left" vertical="center" indent="1"/>
    </xf>
    <xf numFmtId="0" fontId="4" fillId="33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1" fillId="20" borderId="139" applyNumberFormat="0" applyProtection="0">
      <alignment vertical="center"/>
    </xf>
    <xf numFmtId="4" fontId="52" fillId="20" borderId="139" applyNumberFormat="0" applyProtection="0">
      <alignment vertical="center"/>
    </xf>
    <xf numFmtId="4" fontId="51" fillId="20" borderId="139" applyNumberFormat="0" applyProtection="0">
      <alignment horizontal="left" vertical="center" indent="1"/>
    </xf>
    <xf numFmtId="4" fontId="51" fillId="20" borderId="139" applyNumberFormat="0" applyProtection="0">
      <alignment horizontal="left" vertical="center" indent="1"/>
    </xf>
    <xf numFmtId="4" fontId="51" fillId="52" borderId="139" applyNumberFormat="0" applyProtection="0">
      <alignment horizontal="right" vertical="center"/>
    </xf>
    <xf numFmtId="4" fontId="52" fillId="52" borderId="139" applyNumberFormat="0" applyProtection="0">
      <alignment horizontal="right" vertical="center"/>
    </xf>
    <xf numFmtId="0" fontId="4" fillId="11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6" fillId="52" borderId="139" applyNumberFormat="0" applyProtection="0">
      <alignment horizontal="right" vertical="center"/>
    </xf>
    <xf numFmtId="4" fontId="51" fillId="52" borderId="148" applyNumberFormat="0" applyProtection="0">
      <alignment horizontal="left" vertical="center" indent="1"/>
    </xf>
    <xf numFmtId="4" fontId="51" fillId="52" borderId="142" applyNumberFormat="0" applyProtection="0">
      <alignment horizontal="left" vertical="center" indent="1"/>
    </xf>
    <xf numFmtId="4" fontId="51" fillId="19" borderId="144" applyNumberFormat="0" applyProtection="0">
      <alignment horizontal="right" vertical="center"/>
    </xf>
    <xf numFmtId="4" fontId="56" fillId="52" borderId="144" applyNumberFormat="0" applyProtection="0">
      <alignment horizontal="right" vertical="center"/>
    </xf>
    <xf numFmtId="4" fontId="51" fillId="13" borderId="146" applyNumberFormat="0" applyProtection="0">
      <alignment vertical="center"/>
    </xf>
    <xf numFmtId="4" fontId="52" fillId="13" borderId="146" applyNumberFormat="0" applyProtection="0">
      <alignment vertical="center"/>
    </xf>
    <xf numFmtId="4" fontId="51" fillId="13" borderId="146" applyNumberFormat="0" applyProtection="0">
      <alignment horizontal="left" vertical="center" indent="1"/>
    </xf>
    <xf numFmtId="4" fontId="51" fillId="13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1" fillId="35" borderId="146" applyNumberFormat="0" applyProtection="0">
      <alignment horizontal="right" vertical="center"/>
    </xf>
    <xf numFmtId="4" fontId="51" fillId="48" borderId="146" applyNumberFormat="0" applyProtection="0">
      <alignment horizontal="right" vertical="center"/>
    </xf>
    <xf numFmtId="4" fontId="51" fillId="49" borderId="146" applyNumberFormat="0" applyProtection="0">
      <alignment horizontal="right" vertical="center"/>
    </xf>
    <xf numFmtId="4" fontId="51" fillId="12" borderId="146" applyNumberFormat="0" applyProtection="0">
      <alignment horizontal="right" vertical="center"/>
    </xf>
    <xf numFmtId="4" fontId="51" fillId="50" borderId="146" applyNumberFormat="0" applyProtection="0">
      <alignment horizontal="right" vertical="center"/>
    </xf>
    <xf numFmtId="4" fontId="51" fillId="15" borderId="146" applyNumberFormat="0" applyProtection="0">
      <alignment horizontal="right" vertical="center"/>
    </xf>
    <xf numFmtId="4" fontId="51" fillId="17" borderId="146" applyNumberFormat="0" applyProtection="0">
      <alignment horizontal="right" vertical="center"/>
    </xf>
    <xf numFmtId="4" fontId="51" fillId="16" borderId="146" applyNumberFormat="0" applyProtection="0">
      <alignment horizontal="right" vertical="center"/>
    </xf>
    <xf numFmtId="4" fontId="51" fillId="19" borderId="146" applyNumberFormat="0" applyProtection="0">
      <alignment horizontal="right" vertical="center"/>
    </xf>
    <xf numFmtId="4" fontId="53" fillId="51" borderId="146" applyNumberFormat="0" applyProtection="0">
      <alignment horizontal="left" vertical="center" indent="1"/>
    </xf>
    <xf numFmtId="4" fontId="51" fillId="52" borderId="147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" fillId="52" borderId="146" applyNumberFormat="0" applyProtection="0">
      <alignment horizontal="left" vertical="center" indent="1"/>
    </xf>
    <xf numFmtId="4" fontId="5" fillId="54" borderId="146" applyNumberFormat="0" applyProtection="0">
      <alignment horizontal="left" vertical="center" indent="1"/>
    </xf>
    <xf numFmtId="0" fontId="4" fillId="54" borderId="146" applyNumberFormat="0" applyProtection="0">
      <alignment horizontal="left" vertical="center" indent="1"/>
    </xf>
    <xf numFmtId="0" fontId="4" fillId="54" borderId="146" applyNumberFormat="0" applyProtection="0">
      <alignment horizontal="left" vertical="center" indent="1"/>
    </xf>
    <xf numFmtId="0" fontId="4" fillId="30" borderId="146" applyNumberFormat="0" applyProtection="0">
      <alignment horizontal="left" vertical="center" indent="1"/>
    </xf>
    <xf numFmtId="0" fontId="4" fillId="30" borderId="146" applyNumberFormat="0" applyProtection="0">
      <alignment horizontal="left" vertical="center" indent="1"/>
    </xf>
    <xf numFmtId="0" fontId="4" fillId="33" borderId="146" applyNumberFormat="0" applyProtection="0">
      <alignment horizontal="left" vertical="center" indent="1"/>
    </xf>
    <xf numFmtId="0" fontId="4" fillId="33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1" fillId="20" borderId="146" applyNumberFormat="0" applyProtection="0">
      <alignment vertical="center"/>
    </xf>
    <xf numFmtId="4" fontId="52" fillId="20" borderId="146" applyNumberFormat="0" applyProtection="0">
      <alignment vertical="center"/>
    </xf>
    <xf numFmtId="4" fontId="51" fillId="20" borderId="146" applyNumberFormat="0" applyProtection="0">
      <alignment horizontal="left" vertical="center" indent="1"/>
    </xf>
    <xf numFmtId="4" fontId="51" fillId="20" borderId="146" applyNumberFormat="0" applyProtection="0">
      <alignment horizontal="left" vertical="center" indent="1"/>
    </xf>
    <xf numFmtId="4" fontId="51" fillId="52" borderId="146" applyNumberFormat="0" applyProtection="0">
      <alignment horizontal="right" vertical="center"/>
    </xf>
    <xf numFmtId="4" fontId="52" fillId="52" borderId="146" applyNumberFormat="0" applyProtection="0">
      <alignment horizontal="right" vertical="center"/>
    </xf>
    <xf numFmtId="0" fontId="4" fillId="11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6" fillId="52" borderId="146" applyNumberFormat="0" applyProtection="0">
      <alignment horizontal="right" vertical="center"/>
    </xf>
    <xf numFmtId="4" fontId="52" fillId="13" borderId="149" applyNumberFormat="0" applyProtection="0">
      <alignment vertical="center"/>
    </xf>
    <xf numFmtId="4" fontId="51" fillId="13" borderId="149" applyNumberFormat="0" applyProtection="0">
      <alignment horizontal="left" vertical="center" indent="1"/>
    </xf>
    <xf numFmtId="4" fontId="51" fillId="1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35" borderId="149" applyNumberFormat="0" applyProtection="0">
      <alignment horizontal="right" vertical="center"/>
    </xf>
    <xf numFmtId="4" fontId="51" fillId="48" borderId="149" applyNumberFormat="0" applyProtection="0">
      <alignment horizontal="right" vertical="center"/>
    </xf>
    <xf numFmtId="4" fontId="51" fillId="49" borderId="149" applyNumberFormat="0" applyProtection="0">
      <alignment horizontal="right" vertical="center"/>
    </xf>
    <xf numFmtId="4" fontId="51" fillId="12" borderId="149" applyNumberFormat="0" applyProtection="0">
      <alignment horizontal="right" vertical="center"/>
    </xf>
    <xf numFmtId="4" fontId="51" fillId="50" borderId="149" applyNumberFormat="0" applyProtection="0">
      <alignment horizontal="right" vertical="center"/>
    </xf>
    <xf numFmtId="4" fontId="51" fillId="15" borderId="149" applyNumberFormat="0" applyProtection="0">
      <alignment horizontal="right" vertical="center"/>
    </xf>
    <xf numFmtId="4" fontId="51" fillId="17" borderId="149" applyNumberFormat="0" applyProtection="0">
      <alignment horizontal="right" vertical="center"/>
    </xf>
    <xf numFmtId="4" fontId="51" fillId="16" borderId="149" applyNumberFormat="0" applyProtection="0">
      <alignment horizontal="right" vertical="center"/>
    </xf>
    <xf numFmtId="4" fontId="51" fillId="19" borderId="149" applyNumberFormat="0" applyProtection="0">
      <alignment horizontal="right" vertical="center"/>
    </xf>
    <xf numFmtId="4" fontId="53" fillId="51" borderId="149" applyNumberFormat="0" applyProtection="0">
      <alignment horizontal="left" vertical="center" indent="1"/>
    </xf>
    <xf numFmtId="4" fontId="51" fillId="52" borderId="150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" fillId="52" borderId="149" applyNumberFormat="0" applyProtection="0">
      <alignment horizontal="left" vertical="center" indent="1"/>
    </xf>
    <xf numFmtId="4" fontId="5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20" borderId="149" applyNumberFormat="0" applyProtection="0">
      <alignment vertical="center"/>
    </xf>
    <xf numFmtId="4" fontId="52" fillId="20" borderId="149" applyNumberFormat="0" applyProtection="0">
      <alignment vertical="center"/>
    </xf>
    <xf numFmtId="4" fontId="51" fillId="20" borderId="149" applyNumberFormat="0" applyProtection="0">
      <alignment horizontal="left" vertical="center" indent="1"/>
    </xf>
    <xf numFmtId="4" fontId="51" fillId="20" borderId="149" applyNumberFormat="0" applyProtection="0">
      <alignment horizontal="left" vertical="center" indent="1"/>
    </xf>
    <xf numFmtId="4" fontId="51" fillId="52" borderId="149" applyNumberFormat="0" applyProtection="0">
      <alignment horizontal="right" vertical="center"/>
    </xf>
    <xf numFmtId="4" fontId="52" fillId="52" borderId="149" applyNumberFormat="0" applyProtection="0">
      <alignment horizontal="right" vertical="center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6" fillId="52" borderId="149" applyNumberFormat="0" applyProtection="0">
      <alignment horizontal="right" vertical="center"/>
    </xf>
    <xf numFmtId="0" fontId="1" fillId="0" borderId="0"/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8" borderId="163" applyNumberFormat="0" applyProtection="0">
      <alignment horizontal="right" vertical="center"/>
    </xf>
    <xf numFmtId="4" fontId="51" fillId="49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50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51" borderId="163" applyNumberFormat="0" applyProtection="0">
      <alignment horizontal="left" vertical="center" indent="1"/>
    </xf>
    <xf numFmtId="4" fontId="51" fillId="52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52" borderId="163" applyNumberFormat="0" applyProtection="0">
      <alignment horizontal="left" vertical="center" indent="1"/>
    </xf>
    <xf numFmtId="4" fontId="5" fillId="54" borderId="163" applyNumberFormat="0" applyProtection="0">
      <alignment horizontal="left" vertical="center" indent="1"/>
    </xf>
    <xf numFmtId="0" fontId="4" fillId="54" borderId="163" applyNumberFormat="0" applyProtection="0">
      <alignment horizontal="left" vertical="center" indent="1"/>
    </xf>
    <xf numFmtId="0" fontId="4" fillId="54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52" borderId="163" applyNumberFormat="0" applyProtection="0">
      <alignment horizontal="right" vertical="center"/>
    </xf>
    <xf numFmtId="4" fontId="52" fillId="52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52" borderId="163" applyNumberFormat="0" applyProtection="0">
      <alignment horizontal="right" vertical="center"/>
    </xf>
    <xf numFmtId="4" fontId="51" fillId="13" borderId="165" applyNumberFormat="0" applyProtection="0">
      <alignment horizontal="left" vertical="center" indent="1"/>
    </xf>
    <xf numFmtId="4" fontId="51" fillId="12" borderId="165" applyNumberFormat="0" applyProtection="0">
      <alignment horizontal="right" vertical="center"/>
    </xf>
    <xf numFmtId="4" fontId="51" fillId="13" borderId="165" applyNumberFormat="0" applyProtection="0">
      <alignment horizontal="left" vertical="center" indent="1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vertical="center"/>
    </xf>
    <xf numFmtId="4" fontId="51" fillId="17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0" fontId="1" fillId="0" borderId="0"/>
    <xf numFmtId="4" fontId="51" fillId="13" borderId="165" applyNumberFormat="0" applyProtection="0">
      <alignment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4" fontId="51" fillId="13" borderId="165" applyNumberFormat="0" applyProtection="0">
      <alignment vertical="center"/>
    </xf>
    <xf numFmtId="4" fontId="56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4" fontId="51" fillId="13" borderId="165" applyNumberFormat="0" applyProtection="0">
      <alignment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4" fontId="51" fillId="13" borderId="165" applyNumberFormat="0" applyProtection="0">
      <alignment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4" fillId="30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13" borderId="165" applyNumberFormat="0" applyProtection="0">
      <alignment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4" fillId="54" borderId="165" applyNumberFormat="0" applyProtection="0">
      <alignment horizontal="left" vertical="center" indent="1"/>
    </xf>
    <xf numFmtId="4" fontId="51" fillId="13" borderId="165" applyNumberFormat="0" applyProtection="0">
      <alignment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52" borderId="166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4" fontId="51" fillId="50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4" fontId="51" fillId="15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1" fillId="13" borderId="165" applyNumberFormat="0" applyProtection="0">
      <alignment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4" fontId="51" fillId="52" borderId="166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4" fontId="51" fillId="19" borderId="165" applyNumberFormat="0" applyProtection="0">
      <alignment horizontal="right" vertical="center"/>
    </xf>
    <xf numFmtId="4" fontId="56" fillId="52" borderId="165" applyNumberFormat="0" applyProtection="0">
      <alignment horizontal="right" vertical="center"/>
    </xf>
    <xf numFmtId="4" fontId="51" fillId="13" borderId="165" applyNumberFormat="0" applyProtection="0">
      <alignment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</cellStyleXfs>
  <cellXfs count="4477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3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0" borderId="6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4" xfId="4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0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0" fontId="20" fillId="2" borderId="5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5" borderId="45" xfId="4" applyFont="1" applyFill="1" applyBorder="1" applyAlignment="1">
      <alignment horizontal="left" vertical="center"/>
    </xf>
    <xf numFmtId="0" fontId="27" fillId="55" borderId="16" xfId="4" applyFont="1" applyFill="1" applyBorder="1" applyAlignment="1">
      <alignment horizontal="left" vertical="center"/>
    </xf>
    <xf numFmtId="3" fontId="27" fillId="55" borderId="17" xfId="4" applyNumberFormat="1" applyFont="1" applyFill="1" applyBorder="1" applyAlignment="1">
      <alignment horizontal="right" vertical="center"/>
    </xf>
    <xf numFmtId="0" fontId="27" fillId="55" borderId="65" xfId="4" applyFont="1" applyFill="1" applyBorder="1" applyAlignment="1">
      <alignment horizontal="left" vertical="center"/>
    </xf>
    <xf numFmtId="0" fontId="27" fillId="55" borderId="6" xfId="4" applyFont="1" applyFill="1" applyBorder="1" applyAlignment="1">
      <alignment horizontal="left" vertical="center"/>
    </xf>
    <xf numFmtId="3" fontId="27" fillId="55" borderId="27" xfId="4" applyNumberFormat="1" applyFont="1" applyFill="1" applyBorder="1" applyAlignment="1">
      <alignment horizontal="right" vertical="center"/>
    </xf>
    <xf numFmtId="0" fontId="27" fillId="55" borderId="65" xfId="0" applyFont="1" applyFill="1" applyBorder="1" applyAlignment="1">
      <alignment horizontal="left" vertical="top"/>
    </xf>
    <xf numFmtId="0" fontId="28" fillId="55" borderId="6" xfId="0" quotePrefix="1" applyFont="1" applyFill="1" applyBorder="1" applyAlignment="1">
      <alignment horizontal="center" vertical="top"/>
    </xf>
    <xf numFmtId="3" fontId="27" fillId="55" borderId="27" xfId="0" quotePrefix="1" applyNumberFormat="1" applyFont="1" applyFill="1" applyBorder="1" applyAlignment="1">
      <alignment horizontal="right" vertical="top"/>
    </xf>
    <xf numFmtId="0" fontId="27" fillId="55" borderId="36" xfId="4" applyFont="1" applyFill="1" applyBorder="1" applyAlignment="1">
      <alignment horizontal="left" vertical="center"/>
    </xf>
    <xf numFmtId="0" fontId="27" fillId="55" borderId="20" xfId="4" applyFont="1" applyFill="1" applyBorder="1" applyAlignment="1">
      <alignment horizontal="left" vertical="center"/>
    </xf>
    <xf numFmtId="3" fontId="27" fillId="55" borderId="9" xfId="4" applyNumberFormat="1" applyFont="1" applyFill="1" applyBorder="1" applyAlignment="1">
      <alignment horizontal="right" vertical="center"/>
    </xf>
    <xf numFmtId="0" fontId="27" fillId="55" borderId="46" xfId="0" applyFont="1" applyFill="1" applyBorder="1" applyAlignment="1">
      <alignment horizontal="left" vertical="top"/>
    </xf>
    <xf numFmtId="3" fontId="27" fillId="55" borderId="23" xfId="0" quotePrefix="1" applyNumberFormat="1" applyFont="1" applyFill="1" applyBorder="1" applyAlignment="1">
      <alignment horizontal="right" vertical="top"/>
    </xf>
    <xf numFmtId="0" fontId="27" fillId="55" borderId="11" xfId="4" applyFont="1" applyFill="1" applyBorder="1" applyAlignment="1">
      <alignment horizontal="left" vertical="center"/>
    </xf>
    <xf numFmtId="0" fontId="27" fillId="55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5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2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43" fontId="33" fillId="0" borderId="9" xfId="1" applyFont="1" applyFill="1" applyBorder="1" applyAlignment="1">
      <alignment vertical="center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77" xfId="4" applyFont="1" applyFill="1" applyBorder="1" applyAlignment="1">
      <alignment horizontal="center"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27" fillId="0" borderId="30" xfId="1" applyFont="1" applyFill="1" applyBorder="1" applyAlignment="1">
      <alignment horizontal="right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43" fontId="31" fillId="0" borderId="70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0" fontId="28" fillId="57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5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3" fontId="27" fillId="55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6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0" fontId="27" fillId="55" borderId="90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7" borderId="21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7" fillId="55" borderId="6" xfId="4" applyNumberFormat="1" applyFont="1" applyFill="1" applyBorder="1" applyAlignment="1">
      <alignment horizontal="left" vertical="center"/>
    </xf>
    <xf numFmtId="0" fontId="24" fillId="8" borderId="36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4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39" fillId="0" borderId="108" xfId="0" applyFont="1" applyBorder="1"/>
    <xf numFmtId="0" fontId="64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31" fillId="2" borderId="72" xfId="4" applyNumberFormat="1" applyFont="1" applyFill="1" applyBorder="1" applyAlignment="1">
      <alignment vertical="center"/>
    </xf>
    <xf numFmtId="3" fontId="7" fillId="0" borderId="112" xfId="4" applyNumberFormat="1" applyFont="1" applyFill="1" applyBorder="1" applyAlignment="1">
      <alignment horizontal="right" vertical="center"/>
    </xf>
    <xf numFmtId="0" fontId="27" fillId="55" borderId="17" xfId="4" applyFont="1" applyFill="1" applyBorder="1" applyAlignment="1">
      <alignment horizontal="left" vertical="center"/>
    </xf>
    <xf numFmtId="0" fontId="24" fillId="6" borderId="115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top"/>
    </xf>
    <xf numFmtId="0" fontId="24" fillId="6" borderId="122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top"/>
    </xf>
    <xf numFmtId="3" fontId="7" fillId="0" borderId="119" xfId="4" applyNumberFormat="1" applyFont="1" applyFill="1" applyBorder="1" applyAlignment="1">
      <alignment horizontal="right" vertical="center"/>
    </xf>
    <xf numFmtId="0" fontId="25" fillId="6" borderId="117" xfId="4" applyFont="1" applyFill="1" applyBorder="1" applyAlignment="1">
      <alignment horizontal="left" vertical="center"/>
    </xf>
    <xf numFmtId="3" fontId="25" fillId="22" borderId="117" xfId="4" applyNumberFormat="1" applyFont="1" applyFill="1" applyBorder="1" applyAlignment="1">
      <alignment horizontal="right" vertical="center"/>
    </xf>
    <xf numFmtId="3" fontId="24" fillId="6" borderId="117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0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17" xfId="0" applyNumberFormat="1" applyFont="1" applyFill="1" applyBorder="1" applyAlignment="1">
      <alignment vertical="top"/>
    </xf>
    <xf numFmtId="3" fontId="25" fillId="6" borderId="117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17" xfId="0" applyNumberFormat="1" applyFont="1" applyFill="1" applyBorder="1" applyAlignment="1">
      <alignment vertical="top"/>
    </xf>
    <xf numFmtId="3" fontId="25" fillId="25" borderId="117" xfId="0" applyNumberFormat="1" applyFont="1" applyFill="1" applyBorder="1" applyAlignment="1">
      <alignment vertical="top"/>
    </xf>
    <xf numFmtId="3" fontId="31" fillId="0" borderId="112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2" xfId="0" applyNumberFormat="1" applyFont="1" applyFill="1" applyBorder="1" applyAlignment="1">
      <alignment vertical="center"/>
    </xf>
    <xf numFmtId="3" fontId="31" fillId="25" borderId="117" xfId="0" applyNumberFormat="1" applyFont="1" applyFill="1" applyBorder="1" applyAlignment="1">
      <alignment horizontal="center" vertical="top"/>
    </xf>
    <xf numFmtId="3" fontId="25" fillId="0" borderId="117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19" xfId="4" applyNumberFormat="1" applyFont="1" applyFill="1" applyBorder="1" applyAlignment="1">
      <alignment horizontal="right" vertical="center"/>
    </xf>
    <xf numFmtId="3" fontId="31" fillId="25" borderId="119" xfId="4" applyNumberFormat="1" applyFont="1" applyFill="1" applyBorder="1" applyAlignment="1">
      <alignment horizontal="right" vertical="center"/>
    </xf>
    <xf numFmtId="3" fontId="7" fillId="0" borderId="116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18" xfId="4" applyNumberFormat="1" applyFont="1" applyFill="1" applyBorder="1" applyAlignment="1">
      <alignment horizontal="right" vertical="center"/>
    </xf>
    <xf numFmtId="3" fontId="32" fillId="8" borderId="119" xfId="114" applyNumberFormat="1" applyFont="1" applyFill="1" applyBorder="1" applyAlignment="1">
      <alignment vertical="center"/>
    </xf>
    <xf numFmtId="0" fontId="31" fillId="8" borderId="115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horizontal="right" vertical="center"/>
    </xf>
    <xf numFmtId="0" fontId="27" fillId="8" borderId="122" xfId="4" applyFont="1" applyFill="1" applyBorder="1" applyAlignment="1">
      <alignment vertical="center"/>
    </xf>
    <xf numFmtId="0" fontId="27" fillId="8" borderId="110" xfId="4" applyFont="1" applyFill="1" applyBorder="1" applyAlignment="1">
      <alignment vertical="center"/>
    </xf>
    <xf numFmtId="3" fontId="33" fillId="8" borderId="119" xfId="114" applyNumberFormat="1" applyFont="1" applyFill="1" applyBorder="1" applyAlignment="1">
      <alignment vertical="center"/>
    </xf>
    <xf numFmtId="0" fontId="31" fillId="8" borderId="110" xfId="4" applyFont="1" applyFill="1" applyBorder="1" applyAlignment="1">
      <alignment vertical="center"/>
    </xf>
    <xf numFmtId="3" fontId="31" fillId="8" borderId="117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18" xfId="4" applyNumberFormat="1" applyFont="1" applyFill="1" applyBorder="1" applyAlignment="1">
      <alignment horizontal="right" vertical="center"/>
    </xf>
    <xf numFmtId="3" fontId="33" fillId="0" borderId="117" xfId="114" applyNumberFormat="1" applyFont="1" applyFill="1" applyBorder="1" applyAlignment="1">
      <alignment vertical="center"/>
    </xf>
    <xf numFmtId="3" fontId="27" fillId="0" borderId="116" xfId="4" applyNumberFormat="1" applyFont="1" applyFill="1" applyBorder="1" applyAlignment="1">
      <alignment horizontal="right" vertical="center"/>
    </xf>
    <xf numFmtId="3" fontId="27" fillId="8" borderId="117" xfId="0" applyNumberFormat="1" applyFont="1" applyFill="1" applyBorder="1" applyAlignment="1">
      <alignment vertical="center"/>
    </xf>
    <xf numFmtId="3" fontId="31" fillId="28" borderId="117" xfId="0" applyNumberFormat="1" applyFont="1" applyFill="1" applyBorder="1" applyAlignment="1">
      <alignment vertical="center"/>
    </xf>
    <xf numFmtId="3" fontId="27" fillId="2" borderId="115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43" fontId="31" fillId="0" borderId="112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3" fontId="27" fillId="25" borderId="152" xfId="4" applyNumberFormat="1" applyFont="1" applyFill="1" applyBorder="1" applyAlignment="1">
      <alignment horizontal="right" vertical="center"/>
    </xf>
    <xf numFmtId="3" fontId="33" fillId="0" borderId="152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24" fillId="22" borderId="68" xfId="4" applyNumberFormat="1" applyFont="1" applyFill="1" applyBorder="1" applyAlignment="1">
      <alignment horizontal="right" vertical="center"/>
    </xf>
    <xf numFmtId="3" fontId="31" fillId="0" borderId="112" xfId="0" applyNumberFormat="1" applyFont="1" applyFill="1" applyBorder="1" applyAlignment="1">
      <alignment horizontal="right" vertical="center"/>
    </xf>
    <xf numFmtId="0" fontId="28" fillId="55" borderId="22" xfId="0" quotePrefix="1" applyFont="1" applyFill="1" applyBorder="1" applyAlignment="1">
      <alignment horizontal="center" vertical="top"/>
    </xf>
    <xf numFmtId="3" fontId="18" fillId="8" borderId="65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15" xfId="4" applyFont="1" applyFill="1" applyBorder="1" applyAlignment="1">
      <alignment horizontal="left" vertical="center"/>
    </xf>
    <xf numFmtId="3" fontId="25" fillId="6" borderId="151" xfId="0" applyNumberFormat="1" applyFont="1" applyFill="1" applyBorder="1" applyAlignment="1">
      <alignment vertical="top"/>
    </xf>
    <xf numFmtId="43" fontId="25" fillId="6" borderId="151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57" xfId="4" applyFont="1" applyFill="1" applyBorder="1" applyAlignment="1">
      <alignment horizontal="left" vertical="center"/>
    </xf>
    <xf numFmtId="3" fontId="25" fillId="6" borderId="151" xfId="0" applyNumberFormat="1" applyFont="1" applyFill="1" applyBorder="1" applyAlignment="1"/>
    <xf numFmtId="3" fontId="29" fillId="2" borderId="115" xfId="4" applyNumberFormat="1" applyFont="1" applyFill="1" applyBorder="1" applyAlignment="1">
      <alignment vertical="center" wrapText="1"/>
    </xf>
    <xf numFmtId="3" fontId="31" fillId="0" borderId="151" xfId="0" applyNumberFormat="1" applyFont="1" applyFill="1" applyBorder="1" applyAlignment="1">
      <alignment vertical="top"/>
    </xf>
    <xf numFmtId="0" fontId="29" fillId="2" borderId="115" xfId="4" applyFont="1" applyFill="1" applyBorder="1" applyAlignment="1">
      <alignment vertical="center"/>
    </xf>
    <xf numFmtId="3" fontId="27" fillId="0" borderId="151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51" xfId="1" applyFont="1" applyFill="1" applyBorder="1" applyAlignment="1">
      <alignment vertical="center"/>
    </xf>
    <xf numFmtId="43" fontId="31" fillId="0" borderId="152" xfId="1" applyFont="1" applyFill="1" applyBorder="1" applyAlignment="1">
      <alignment vertical="center"/>
    </xf>
    <xf numFmtId="0" fontId="29" fillId="2" borderId="157" xfId="4" applyFont="1" applyFill="1" applyBorder="1" applyAlignment="1">
      <alignment vertical="center"/>
    </xf>
    <xf numFmtId="0" fontId="7" fillId="0" borderId="123" xfId="4" applyFont="1" applyFill="1" applyBorder="1" applyAlignment="1">
      <alignment vertical="center"/>
    </xf>
    <xf numFmtId="43" fontId="31" fillId="0" borderId="128" xfId="1" applyFont="1" applyFill="1" applyBorder="1" applyAlignment="1">
      <alignment vertical="center"/>
    </xf>
    <xf numFmtId="3" fontId="25" fillId="6" borderId="151" xfId="0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vertical="top"/>
    </xf>
    <xf numFmtId="43" fontId="27" fillId="2" borderId="152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2" xfId="0" applyNumberFormat="1" applyFont="1" applyFill="1" applyBorder="1" applyAlignment="1">
      <alignment vertical="top"/>
    </xf>
    <xf numFmtId="3" fontId="25" fillId="25" borderId="151" xfId="0" applyNumberFormat="1" applyFont="1" applyFill="1" applyBorder="1" applyAlignment="1">
      <alignment vertical="top"/>
    </xf>
    <xf numFmtId="0" fontId="27" fillId="2" borderId="115" xfId="4" applyFont="1" applyFill="1" applyBorder="1" applyAlignment="1">
      <alignment vertical="top"/>
    </xf>
    <xf numFmtId="0" fontId="31" fillId="0" borderId="125" xfId="0" applyFont="1" applyFill="1" applyBorder="1" applyAlignment="1">
      <alignment horizontal="left" vertical="center" wrapText="1"/>
    </xf>
    <xf numFmtId="0" fontId="7" fillId="6" borderId="156" xfId="0" applyFont="1" applyFill="1" applyBorder="1" applyAlignment="1">
      <alignment horizontal="left" vertical="center" wrapText="1"/>
    </xf>
    <xf numFmtId="3" fontId="27" fillId="2" borderId="158" xfId="4" applyNumberFormat="1" applyFont="1" applyFill="1" applyBorder="1" applyAlignment="1">
      <alignment vertical="center" wrapText="1"/>
    </xf>
    <xf numFmtId="3" fontId="27" fillId="2" borderId="151" xfId="0" applyNumberFormat="1" applyFont="1" applyFill="1" applyBorder="1" applyAlignment="1">
      <alignment vertical="top"/>
    </xf>
    <xf numFmtId="0" fontId="27" fillId="2" borderId="124" xfId="4" applyFont="1" applyFill="1" applyBorder="1" applyAlignment="1">
      <alignment vertical="top"/>
    </xf>
    <xf numFmtId="0" fontId="31" fillId="6" borderId="156" xfId="0" applyFont="1" applyFill="1" applyBorder="1" applyAlignment="1">
      <alignment vertical="top"/>
    </xf>
    <xf numFmtId="43" fontId="25" fillId="6" borderId="152" xfId="1" applyFont="1" applyFill="1" applyBorder="1" applyAlignment="1">
      <alignment vertical="top"/>
    </xf>
    <xf numFmtId="3" fontId="31" fillId="0" borderId="128" xfId="0" applyNumberFormat="1" applyFont="1" applyFill="1" applyBorder="1" applyAlignment="1">
      <alignment vertical="top"/>
    </xf>
    <xf numFmtId="3" fontId="31" fillId="25" borderId="117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2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5" borderId="21" xfId="4" applyFont="1" applyFill="1" applyBorder="1" applyAlignment="1">
      <alignment horizontal="left" vertical="center"/>
    </xf>
    <xf numFmtId="0" fontId="29" fillId="8" borderId="115" xfId="4" applyFont="1" applyFill="1" applyBorder="1" applyAlignment="1">
      <alignment vertical="top"/>
    </xf>
    <xf numFmtId="0" fontId="7" fillId="8" borderId="115" xfId="4" applyFont="1" applyFill="1" applyBorder="1" applyAlignment="1">
      <alignment vertical="top"/>
    </xf>
    <xf numFmtId="0" fontId="7" fillId="8" borderId="115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52" xfId="4" applyNumberFormat="1" applyFont="1" applyFill="1" applyBorder="1" applyAlignment="1">
      <alignment vertical="center"/>
    </xf>
    <xf numFmtId="3" fontId="24" fillId="6" borderId="151" xfId="4" applyNumberFormat="1" applyFont="1" applyFill="1" applyBorder="1" applyAlignment="1">
      <alignment vertical="center"/>
    </xf>
    <xf numFmtId="0" fontId="29" fillId="0" borderId="115" xfId="4" applyFont="1" applyFill="1" applyBorder="1" applyAlignment="1">
      <alignment vertical="top"/>
    </xf>
    <xf numFmtId="3" fontId="29" fillId="0" borderId="152" xfId="4" applyNumberFormat="1" applyFont="1" applyFill="1" applyBorder="1" applyAlignment="1">
      <alignment horizontal="right" vertical="center"/>
    </xf>
    <xf numFmtId="0" fontId="7" fillId="0" borderId="115" xfId="4" applyFont="1" applyFill="1" applyBorder="1" applyAlignment="1">
      <alignment vertical="top"/>
    </xf>
    <xf numFmtId="3" fontId="7" fillId="0" borderId="152" xfId="4" applyNumberFormat="1" applyFont="1" applyFill="1" applyBorder="1" applyAlignment="1">
      <alignment horizontal="right" vertical="center"/>
    </xf>
    <xf numFmtId="3" fontId="7" fillId="0" borderId="151" xfId="4" applyNumberFormat="1" applyFont="1" applyFill="1" applyBorder="1" applyAlignment="1">
      <alignment horizontal="right" vertical="center"/>
    </xf>
    <xf numFmtId="3" fontId="31" fillId="0" borderId="151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51" xfId="1" applyFont="1" applyFill="1" applyBorder="1" applyAlignment="1">
      <alignment vertical="center"/>
    </xf>
    <xf numFmtId="0" fontId="31" fillId="0" borderId="0" xfId="0" applyFont="1" applyBorder="1" applyAlignment="1">
      <alignment vertical="top"/>
    </xf>
    <xf numFmtId="3" fontId="25" fillId="6" borderId="152" xfId="4" applyNumberFormat="1" applyFont="1" applyFill="1" applyBorder="1" applyAlignment="1">
      <alignment vertical="center"/>
    </xf>
    <xf numFmtId="0" fontId="7" fillId="0" borderId="115" xfId="4" applyFont="1" applyFill="1" applyBorder="1" applyAlignment="1">
      <alignment vertical="center"/>
    </xf>
    <xf numFmtId="0" fontId="31" fillId="0" borderId="0" xfId="0" applyFont="1" applyBorder="1" applyAlignment="1"/>
    <xf numFmtId="3" fontId="27" fillId="0" borderId="152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52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6" xfId="4" applyFont="1" applyFill="1" applyBorder="1" applyAlignment="1">
      <alignment horizontal="left" vertical="center"/>
    </xf>
    <xf numFmtId="43" fontId="24" fillId="6" borderId="152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5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5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5" borderId="25" xfId="112" applyFont="1" applyFill="1" applyBorder="1" applyAlignment="1">
      <alignment horizontal="left" vertical="center"/>
    </xf>
    <xf numFmtId="0" fontId="28" fillId="55" borderId="22" xfId="112" quotePrefix="1" applyFont="1" applyFill="1" applyBorder="1" applyAlignment="1">
      <alignment horizontal="center" vertical="center"/>
    </xf>
    <xf numFmtId="3" fontId="27" fillId="55" borderId="23" xfId="112" quotePrefix="1" applyNumberFormat="1" applyFont="1" applyFill="1" applyBorder="1" applyAlignment="1">
      <alignment horizontal="right" vertical="center"/>
    </xf>
    <xf numFmtId="3" fontId="29" fillId="8" borderId="122" xfId="4" applyNumberFormat="1" applyFont="1" applyFill="1" applyBorder="1" applyAlignment="1">
      <alignment vertical="center" wrapText="1"/>
    </xf>
    <xf numFmtId="3" fontId="29" fillId="8" borderId="110" xfId="4" applyNumberFormat="1" applyFont="1" applyFill="1" applyBorder="1" applyAlignment="1">
      <alignment vertical="center" wrapText="1"/>
    </xf>
    <xf numFmtId="3" fontId="27" fillId="8" borderId="117" xfId="112" applyNumberFormat="1" applyFont="1" applyFill="1" applyBorder="1" applyAlignment="1">
      <alignment vertical="center"/>
    </xf>
    <xf numFmtId="3" fontId="27" fillId="23" borderId="117" xfId="112" applyNumberFormat="1" applyFont="1" applyFill="1" applyBorder="1" applyAlignment="1">
      <alignment vertical="center"/>
    </xf>
    <xf numFmtId="3" fontId="7" fillId="8" borderId="122" xfId="4" applyNumberFormat="1" applyFont="1" applyFill="1" applyBorder="1" applyAlignment="1">
      <alignment vertical="center" wrapText="1"/>
    </xf>
    <xf numFmtId="3" fontId="7" fillId="8" borderId="110" xfId="4" applyNumberFormat="1" applyFont="1" applyFill="1" applyBorder="1" applyAlignment="1">
      <alignment vertical="center" wrapText="1"/>
    </xf>
    <xf numFmtId="3" fontId="7" fillId="8" borderId="117" xfId="112" applyNumberFormat="1" applyFont="1" applyFill="1" applyBorder="1" applyAlignment="1">
      <alignment vertical="center"/>
    </xf>
    <xf numFmtId="0" fontId="29" fillId="8" borderId="122" xfId="4" applyFont="1" applyFill="1" applyBorder="1" applyAlignment="1">
      <alignment vertical="center"/>
    </xf>
    <xf numFmtId="0" fontId="29" fillId="8" borderId="110" xfId="4" applyFont="1" applyFill="1" applyBorder="1" applyAlignment="1">
      <alignment vertical="center"/>
    </xf>
    <xf numFmtId="0" fontId="7" fillId="8" borderId="110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2" xfId="4" applyNumberFormat="1" applyFont="1" applyFill="1" applyBorder="1" applyAlignment="1">
      <alignment vertical="center" wrapText="1"/>
    </xf>
    <xf numFmtId="0" fontId="7" fillId="0" borderId="122" xfId="4" applyFont="1" applyFill="1" applyBorder="1" applyAlignment="1">
      <alignment vertical="center"/>
    </xf>
    <xf numFmtId="0" fontId="29" fillId="2" borderId="122" xfId="4" applyFont="1" applyFill="1" applyBorder="1" applyAlignment="1">
      <alignment vertical="center"/>
    </xf>
    <xf numFmtId="0" fontId="31" fillId="0" borderId="123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30" xfId="4" applyFont="1" applyFill="1" applyBorder="1" applyAlignment="1">
      <alignment vertical="center"/>
    </xf>
    <xf numFmtId="0" fontId="27" fillId="55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7" fillId="55" borderId="65" xfId="0" applyFont="1" applyFill="1" applyBorder="1" applyAlignment="1">
      <alignment horizontal="left" vertical="center"/>
    </xf>
    <xf numFmtId="0" fontId="28" fillId="55" borderId="6" xfId="0" quotePrefix="1" applyFont="1" applyFill="1" applyBorder="1" applyAlignment="1">
      <alignment horizontal="center" vertical="center"/>
    </xf>
    <xf numFmtId="3" fontId="27" fillId="55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0" fontId="31" fillId="0" borderId="78" xfId="4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5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27" fillId="2" borderId="152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2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5" borderId="20" xfId="0" quotePrefix="1" applyFont="1" applyFill="1" applyBorder="1" applyAlignment="1">
      <alignment horizontal="center" vertical="center"/>
    </xf>
    <xf numFmtId="3" fontId="27" fillId="55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31" fillId="0" borderId="151" xfId="4" applyNumberFormat="1" applyFont="1" applyFill="1" applyBorder="1" applyAlignment="1">
      <alignment vertical="center"/>
    </xf>
    <xf numFmtId="3" fontId="29" fillId="55" borderId="27" xfId="4" applyNumberFormat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vertical="center"/>
    </xf>
    <xf numFmtId="3" fontId="31" fillId="0" borderId="128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29" fillId="55" borderId="17" xfId="4" applyNumberFormat="1" applyFont="1" applyFill="1" applyBorder="1" applyAlignment="1">
      <alignment horizontal="right" vertical="center"/>
    </xf>
    <xf numFmtId="3" fontId="29" fillId="55" borderId="23" xfId="112" quotePrefix="1" applyNumberFormat="1" applyFont="1" applyFill="1" applyBorder="1" applyAlignment="1">
      <alignment horizontal="right" vertical="center"/>
    </xf>
    <xf numFmtId="3" fontId="31" fillId="0" borderId="153" xfId="4" applyNumberFormat="1" applyFont="1" applyFill="1" applyBorder="1" applyAlignment="1">
      <alignment vertical="center"/>
    </xf>
    <xf numFmtId="3" fontId="25" fillId="6" borderId="119" xfId="0" applyNumberFormat="1" applyFont="1" applyFill="1" applyBorder="1" applyAlignment="1">
      <alignment vertical="top"/>
    </xf>
    <xf numFmtId="3" fontId="25" fillId="22" borderId="119" xfId="0" applyNumberFormat="1" applyFont="1" applyFill="1" applyBorder="1" applyAlignment="1">
      <alignment vertical="top"/>
    </xf>
    <xf numFmtId="3" fontId="27" fillId="2" borderId="119" xfId="0" applyNumberFormat="1" applyFont="1" applyFill="1" applyBorder="1" applyAlignment="1">
      <alignment vertical="top"/>
    </xf>
    <xf numFmtId="3" fontId="27" fillId="0" borderId="119" xfId="0" applyNumberFormat="1" applyFont="1" applyFill="1" applyBorder="1" applyAlignment="1">
      <alignment vertical="top"/>
    </xf>
    <xf numFmtId="3" fontId="24" fillId="22" borderId="151" xfId="4" applyNumberFormat="1" applyFont="1" applyFill="1" applyBorder="1" applyAlignment="1">
      <alignment horizontal="right" vertical="center"/>
    </xf>
    <xf numFmtId="3" fontId="25" fillId="22" borderId="151" xfId="4" applyNumberFormat="1" applyFont="1" applyFill="1" applyBorder="1" applyAlignment="1">
      <alignment horizontal="right" vertical="center"/>
    </xf>
    <xf numFmtId="3" fontId="33" fillId="0" borderId="151" xfId="6" applyNumberFormat="1" applyFont="1" applyFill="1" applyBorder="1" applyAlignment="1">
      <alignment vertical="center"/>
    </xf>
    <xf numFmtId="3" fontId="31" fillId="0" borderId="152" xfId="4" applyNumberFormat="1" applyFont="1" applyFill="1" applyBorder="1" applyAlignment="1">
      <alignment vertical="center"/>
    </xf>
    <xf numFmtId="3" fontId="25" fillId="6" borderId="152" xfId="4" applyNumberFormat="1" applyFont="1" applyFill="1" applyBorder="1" applyAlignment="1">
      <alignment horizontal="right" vertical="center"/>
    </xf>
    <xf numFmtId="43" fontId="7" fillId="0" borderId="152" xfId="1" applyFont="1" applyFill="1" applyBorder="1" applyAlignment="1">
      <alignment horizontal="right" vertical="center"/>
    </xf>
    <xf numFmtId="0" fontId="27" fillId="2" borderId="115" xfId="4" applyFont="1" applyFill="1" applyBorder="1" applyAlignment="1">
      <alignment vertical="center"/>
    </xf>
    <xf numFmtId="43" fontId="33" fillId="0" borderId="152" xfId="1" applyFont="1" applyFill="1" applyBorder="1" applyAlignment="1">
      <alignment vertical="center"/>
    </xf>
    <xf numFmtId="3" fontId="27" fillId="2" borderId="157" xfId="4" applyNumberFormat="1" applyFont="1" applyFill="1" applyBorder="1" applyAlignment="1">
      <alignment vertical="center" wrapText="1"/>
    </xf>
    <xf numFmtId="0" fontId="7" fillId="0" borderId="130" xfId="4" applyFont="1" applyFill="1" applyBorder="1" applyAlignment="1">
      <alignment vertical="center"/>
    </xf>
    <xf numFmtId="0" fontId="31" fillId="0" borderId="115" xfId="4" applyFont="1" applyFill="1" applyBorder="1" applyAlignment="1">
      <alignment vertical="center"/>
    </xf>
    <xf numFmtId="43" fontId="33" fillId="0" borderId="151" xfId="1" applyFont="1" applyFill="1" applyBorder="1" applyAlignment="1">
      <alignment vertical="center"/>
    </xf>
    <xf numFmtId="43" fontId="31" fillId="0" borderId="128" xfId="1" applyFont="1" applyFill="1" applyBorder="1" applyAlignment="1">
      <alignment horizontal="right" vertical="center"/>
    </xf>
    <xf numFmtId="3" fontId="37" fillId="0" borderId="0" xfId="0" applyNumberFormat="1" applyFont="1" applyAlignment="1">
      <alignment vertical="center"/>
    </xf>
    <xf numFmtId="0" fontId="7" fillId="8" borderId="74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57" xfId="4" applyFont="1" applyFill="1" applyBorder="1" applyAlignment="1">
      <alignment horizontal="left" vertical="center"/>
    </xf>
    <xf numFmtId="3" fontId="29" fillId="13" borderId="152" xfId="4" applyNumberFormat="1" applyFont="1" applyFill="1" applyBorder="1" applyAlignment="1">
      <alignment horizontal="right" vertical="center"/>
    </xf>
    <xf numFmtId="3" fontId="7" fillId="13" borderId="152" xfId="4" applyNumberFormat="1" applyFont="1" applyFill="1" applyBorder="1" applyAlignment="1">
      <alignment horizontal="right" vertical="center"/>
    </xf>
    <xf numFmtId="0" fontId="29" fillId="13" borderId="157" xfId="4" applyFont="1" applyFill="1" applyBorder="1" applyAlignment="1">
      <alignment vertical="center"/>
    </xf>
    <xf numFmtId="0" fontId="29" fillId="13" borderId="156" xfId="4" applyFont="1" applyFill="1" applyBorder="1" applyAlignment="1">
      <alignment vertical="center"/>
    </xf>
    <xf numFmtId="3" fontId="27" fillId="13" borderId="152" xfId="4" applyNumberFormat="1" applyFont="1" applyFill="1" applyBorder="1" applyAlignment="1">
      <alignment horizontal="right" vertical="center"/>
    </xf>
    <xf numFmtId="0" fontId="31" fillId="6" borderId="152" xfId="0" applyFont="1" applyFill="1" applyBorder="1" applyAlignment="1">
      <alignment vertical="top"/>
    </xf>
    <xf numFmtId="3" fontId="27" fillId="2" borderId="152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61" xfId="4" applyNumberFormat="1" applyFont="1" applyFill="1" applyBorder="1" applyAlignment="1">
      <alignment horizontal="right" vertical="center"/>
    </xf>
    <xf numFmtId="3" fontId="29" fillId="8" borderId="152" xfId="4" applyNumberFormat="1" applyFont="1" applyFill="1" applyBorder="1" applyAlignment="1">
      <alignment vertical="center"/>
    </xf>
    <xf numFmtId="3" fontId="7" fillId="8" borderId="152" xfId="4" applyNumberFormat="1" applyFont="1" applyFill="1" applyBorder="1" applyAlignment="1">
      <alignment vertical="center"/>
    </xf>
    <xf numFmtId="0" fontId="7" fillId="8" borderId="115" xfId="4" applyFont="1" applyFill="1" applyBorder="1" applyAlignment="1">
      <alignment vertical="center" wrapText="1"/>
    </xf>
    <xf numFmtId="3" fontId="27" fillId="8" borderId="152" xfId="4" applyNumberFormat="1" applyFont="1" applyFill="1" applyBorder="1" applyAlignment="1">
      <alignment vertical="center"/>
    </xf>
    <xf numFmtId="0" fontId="21" fillId="2" borderId="156" xfId="0" applyFont="1" applyFill="1" applyBorder="1" applyAlignment="1">
      <alignment horizontal="center" vertical="top"/>
    </xf>
    <xf numFmtId="0" fontId="21" fillId="2" borderId="151" xfId="0" applyFont="1" applyFill="1" applyBorder="1" applyAlignment="1">
      <alignment horizontal="center" vertical="top"/>
    </xf>
    <xf numFmtId="0" fontId="21" fillId="2" borderId="151" xfId="0" quotePrefix="1" applyFont="1" applyFill="1" applyBorder="1" applyAlignment="1">
      <alignment horizontal="center" vertical="top"/>
    </xf>
    <xf numFmtId="0" fontId="21" fillId="26" borderId="151" xfId="0" quotePrefix="1" applyFont="1" applyFill="1" applyBorder="1" applyAlignment="1">
      <alignment horizontal="center" vertical="top"/>
    </xf>
    <xf numFmtId="0" fontId="21" fillId="2" borderId="154" xfId="0" quotePrefix="1" applyFont="1" applyFill="1" applyBorder="1" applyAlignment="1">
      <alignment horizontal="center" vertical="top"/>
    </xf>
    <xf numFmtId="0" fontId="34" fillId="0" borderId="51" xfId="0" applyFont="1" applyFill="1" applyBorder="1" applyAlignment="1">
      <alignment vertical="top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7" borderId="38" xfId="0" applyFont="1" applyFill="1" applyBorder="1" applyAlignment="1">
      <alignment vertical="center"/>
    </xf>
    <xf numFmtId="3" fontId="62" fillId="57" borderId="39" xfId="0" applyNumberFormat="1" applyFont="1" applyFill="1" applyBorder="1" applyAlignment="1">
      <alignment vertical="center" wrapText="1"/>
    </xf>
    <xf numFmtId="3" fontId="62" fillId="57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7" borderId="12" xfId="0" applyNumberFormat="1" applyFont="1" applyFill="1" applyBorder="1" applyAlignment="1">
      <alignment vertical="center" wrapText="1"/>
    </xf>
    <xf numFmtId="3" fontId="62" fillId="57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65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3" fontId="62" fillId="13" borderId="57" xfId="0" applyNumberFormat="1" applyFont="1" applyFill="1" applyBorder="1" applyAlignment="1">
      <alignment vertical="center" wrapText="1"/>
    </xf>
    <xf numFmtId="3" fontId="62" fillId="13" borderId="58" xfId="0" applyNumberFormat="1" applyFont="1" applyFill="1" applyBorder="1" applyAlignment="1">
      <alignment horizontal="center"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3" fontId="62" fillId="13" borderId="74" xfId="0" applyNumberFormat="1" applyFont="1" applyFill="1" applyBorder="1" applyAlignment="1">
      <alignment horizontal="center" vertical="center" wrapText="1"/>
    </xf>
    <xf numFmtId="3" fontId="62" fillId="13" borderId="0" xfId="0" applyNumberFormat="1" applyFont="1" applyFill="1" applyBorder="1" applyAlignment="1">
      <alignment vertical="center" wrapText="1"/>
    </xf>
    <xf numFmtId="3" fontId="62" fillId="0" borderId="0" xfId="0" applyNumberFormat="1" applyFont="1" applyFill="1" applyBorder="1" applyAlignment="1">
      <alignment vertical="center" wrapText="1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6" fillId="12" borderId="0" xfId="0" applyNumberFormat="1" applyFont="1" applyFill="1" applyBorder="1" applyAlignment="1">
      <alignment vertical="center"/>
    </xf>
    <xf numFmtId="3" fontId="76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36" fillId="6" borderId="12" xfId="0" applyNumberFormat="1" applyFont="1" applyFill="1" applyBorder="1"/>
    <xf numFmtId="3" fontId="76" fillId="12" borderId="0" xfId="0" applyNumberFormat="1" applyFont="1" applyFill="1" applyBorder="1"/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29" xfId="0" applyNumberFormat="1" applyFont="1" applyFill="1" applyBorder="1"/>
    <xf numFmtId="3" fontId="77" fillId="17" borderId="0" xfId="0" applyNumberFormat="1" applyFont="1" applyFill="1" applyBorder="1"/>
    <xf numFmtId="3" fontId="77" fillId="8" borderId="0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0" fontId="7" fillId="11" borderId="37" xfId="0" applyFont="1" applyFill="1" applyBorder="1" applyAlignment="1">
      <alignment vertical="center" wrapText="1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3" fontId="76" fillId="2" borderId="0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24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60" xfId="4" applyNumberFormat="1" applyFont="1" applyFill="1" applyBorder="1" applyAlignment="1">
      <alignment vertical="center" wrapText="1"/>
    </xf>
    <xf numFmtId="0" fontId="7" fillId="0" borderId="160" xfId="4" applyFont="1" applyFill="1" applyBorder="1" applyAlignment="1">
      <alignment vertical="center"/>
    </xf>
    <xf numFmtId="0" fontId="29" fillId="2" borderId="160" xfId="4" applyFont="1" applyFill="1" applyBorder="1" applyAlignment="1">
      <alignment vertical="center"/>
    </xf>
    <xf numFmtId="0" fontId="7" fillId="0" borderId="158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5" borderId="9" xfId="1" applyFont="1" applyFill="1" applyBorder="1" applyAlignment="1">
      <alignment horizontal="right" vertical="center"/>
    </xf>
    <xf numFmtId="0" fontId="27" fillId="55" borderId="115" xfId="0" applyFont="1" applyFill="1" applyBorder="1" applyAlignment="1">
      <alignment horizontal="left" vertical="top"/>
    </xf>
    <xf numFmtId="0" fontId="7" fillId="8" borderId="115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3" fontId="7" fillId="0" borderId="12" xfId="4" applyNumberFormat="1" applyFont="1" applyFill="1" applyBorder="1" applyAlignment="1">
      <alignment vertical="top"/>
    </xf>
    <xf numFmtId="3" fontId="7" fillId="0" borderId="72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29" xfId="1" applyFont="1" applyFill="1" applyBorder="1" applyAlignment="1">
      <alignment vertical="top"/>
    </xf>
    <xf numFmtId="3" fontId="7" fillId="0" borderId="129" xfId="4" applyNumberFormat="1" applyFont="1" applyFill="1" applyBorder="1" applyAlignment="1">
      <alignment vertical="top"/>
    </xf>
    <xf numFmtId="0" fontId="21" fillId="0" borderId="0" xfId="0" applyFont="1" applyAlignment="1">
      <alignment vertical="center"/>
    </xf>
    <xf numFmtId="0" fontId="28" fillId="59" borderId="121" xfId="0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" fontId="31" fillId="55" borderId="35" xfId="0" applyNumberFormat="1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top"/>
    </xf>
    <xf numFmtId="3" fontId="28" fillId="60" borderId="35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 vertical="center"/>
    </xf>
    <xf numFmtId="3" fontId="28" fillId="59" borderId="9" xfId="0" applyNumberFormat="1" applyFont="1" applyFill="1" applyBorder="1" applyAlignment="1">
      <alignment vertical="top"/>
    </xf>
    <xf numFmtId="3" fontId="28" fillId="55" borderId="9" xfId="0" applyNumberFormat="1" applyFont="1" applyFill="1" applyBorder="1" applyAlignment="1">
      <alignment horizontal="right" vertical="center"/>
    </xf>
    <xf numFmtId="3" fontId="28" fillId="0" borderId="112" xfId="0" applyNumberFormat="1" applyFont="1" applyFill="1" applyBorder="1" applyAlignment="1">
      <alignment vertical="center"/>
    </xf>
    <xf numFmtId="0" fontId="26" fillId="0" borderId="41" xfId="0" applyFont="1" applyBorder="1" applyAlignment="1"/>
    <xf numFmtId="0" fontId="27" fillId="55" borderId="8" xfId="4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right" vertical="center"/>
    </xf>
    <xf numFmtId="0" fontId="27" fillId="55" borderId="0" xfId="4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right" vertical="center"/>
    </xf>
    <xf numFmtId="0" fontId="27" fillId="55" borderId="66" xfId="0" applyFont="1" applyFill="1" applyBorder="1" applyAlignment="1">
      <alignment horizontal="left" vertical="center"/>
    </xf>
    <xf numFmtId="3" fontId="27" fillId="55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27" fillId="8" borderId="117" xfId="1" applyFont="1" applyFill="1" applyBorder="1" applyAlignment="1">
      <alignment vertical="center"/>
    </xf>
    <xf numFmtId="43" fontId="31" fillId="28" borderId="117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67" xfId="0" applyNumberFormat="1" applyFont="1" applyBorder="1" applyAlignment="1">
      <alignment vertical="center"/>
    </xf>
    <xf numFmtId="0" fontId="39" fillId="0" borderId="167" xfId="0" applyFont="1" applyBorder="1" applyAlignment="1">
      <alignment vertical="center"/>
    </xf>
    <xf numFmtId="3" fontId="39" fillId="0" borderId="167" xfId="0" applyNumberFormat="1" applyFont="1" applyBorder="1" applyAlignment="1">
      <alignment vertical="center"/>
    </xf>
    <xf numFmtId="0" fontId="18" fillId="0" borderId="167" xfId="0" applyFont="1" applyBorder="1" applyAlignment="1">
      <alignment vertical="top"/>
    </xf>
    <xf numFmtId="3" fontId="37" fillId="0" borderId="167" xfId="0" applyNumberFormat="1" applyFont="1" applyBorder="1"/>
    <xf numFmtId="3" fontId="8" fillId="0" borderId="167" xfId="0" applyNumberFormat="1" applyFont="1" applyBorder="1" applyAlignment="1">
      <alignment vertical="top"/>
    </xf>
    <xf numFmtId="0" fontId="37" fillId="0" borderId="167" xfId="0" applyFont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4" fillId="2" borderId="0" xfId="0" applyNumberFormat="1" applyFont="1" applyFill="1" applyBorder="1" applyAlignment="1">
      <alignment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19" xfId="0" applyNumberFormat="1" applyFont="1" applyFill="1" applyBorder="1" applyAlignment="1">
      <alignment vertical="top"/>
    </xf>
    <xf numFmtId="0" fontId="31" fillId="0" borderId="115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52" xfId="4" applyFont="1" applyFill="1" applyBorder="1" applyAlignment="1">
      <alignment horizontal="left" vertical="center"/>
    </xf>
    <xf numFmtId="0" fontId="7" fillId="8" borderId="152" xfId="4" applyFont="1" applyFill="1" applyBorder="1" applyAlignment="1">
      <alignment vertical="top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52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52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0" fontId="8" fillId="0" borderId="0" xfId="0" applyFont="1" applyFill="1"/>
    <xf numFmtId="3" fontId="31" fillId="0" borderId="39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62" fillId="37" borderId="39" xfId="0" applyNumberFormat="1" applyFont="1" applyFill="1" applyBorder="1" applyAlignment="1">
      <alignment vertical="center" wrapText="1"/>
    </xf>
    <xf numFmtId="3" fontId="62" fillId="38" borderId="40" xfId="0" applyNumberFormat="1" applyFont="1" applyFill="1" applyBorder="1" applyAlignment="1">
      <alignment vertical="center" wrapText="1"/>
    </xf>
    <xf numFmtId="164" fontId="72" fillId="0" borderId="0" xfId="0" applyNumberFormat="1" applyFont="1" applyFill="1" applyBorder="1" applyAlignment="1">
      <alignment vertical="center"/>
    </xf>
    <xf numFmtId="3" fontId="62" fillId="6" borderId="39" xfId="0" applyNumberFormat="1" applyFont="1" applyFill="1" applyBorder="1" applyAlignment="1">
      <alignment vertical="center" wrapText="1"/>
    </xf>
    <xf numFmtId="3" fontId="62" fillId="39" borderId="40" xfId="0" applyNumberFormat="1" applyFont="1" applyFill="1" applyBorder="1" applyAlignment="1">
      <alignment horizontal="center" vertical="center" wrapText="1"/>
    </xf>
    <xf numFmtId="164" fontId="72" fillId="2" borderId="0" xfId="0" applyNumberFormat="1" applyFont="1" applyFill="1" applyBorder="1" applyAlignment="1">
      <alignment vertical="center"/>
    </xf>
    <xf numFmtId="3" fontId="62" fillId="2" borderId="15" xfId="0" applyNumberFormat="1" applyFont="1" applyFill="1" applyBorder="1" applyAlignment="1">
      <alignment vertical="center" wrapText="1"/>
    </xf>
    <xf numFmtId="3" fontId="62" fillId="0" borderId="42" xfId="0" applyNumberFormat="1" applyFont="1" applyFill="1" applyBorder="1" applyAlignment="1">
      <alignment horizontal="center" vertical="center" wrapText="1"/>
    </xf>
    <xf numFmtId="3" fontId="76" fillId="4" borderId="35" xfId="0" applyNumberFormat="1" applyFont="1" applyFill="1" applyBorder="1" applyAlignment="1">
      <alignment vertical="center" wrapText="1"/>
    </xf>
    <xf numFmtId="3" fontId="65" fillId="40" borderId="46" xfId="0" applyNumberFormat="1" applyFont="1" applyFill="1" applyBorder="1" applyAlignment="1">
      <alignment vertical="center" wrapText="1"/>
    </xf>
    <xf numFmtId="3" fontId="76" fillId="6" borderId="30" xfId="0" applyNumberFormat="1" applyFont="1" applyFill="1" applyBorder="1" applyAlignment="1">
      <alignment vertical="center" wrapText="1"/>
    </xf>
    <xf numFmtId="3" fontId="62" fillId="41" borderId="49" xfId="0" applyNumberFormat="1" applyFont="1" applyFill="1" applyBorder="1" applyAlignment="1">
      <alignment horizontal="center" vertical="center" wrapText="1"/>
    </xf>
    <xf numFmtId="3" fontId="76" fillId="4" borderId="30" xfId="0" applyNumberFormat="1" applyFont="1" applyFill="1" applyBorder="1" applyAlignment="1">
      <alignment vertical="center" wrapText="1"/>
    </xf>
    <xf numFmtId="3" fontId="65" fillId="40" borderId="154" xfId="0" applyNumberFormat="1" applyFont="1" applyFill="1" applyBorder="1" applyAlignment="1">
      <alignment horizontal="center" vertical="center" wrapText="1"/>
    </xf>
    <xf numFmtId="3" fontId="62" fillId="37" borderId="1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/>
    <xf numFmtId="3" fontId="8" fillId="0" borderId="127" xfId="0" applyNumberFormat="1" applyFont="1" applyBorder="1"/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3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/>
    <xf numFmtId="0" fontId="8" fillId="0" borderId="3" xfId="0" applyFont="1" applyFill="1" applyBorder="1"/>
    <xf numFmtId="0" fontId="8" fillId="0" borderId="26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66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4" xfId="0" applyFont="1" applyFill="1" applyBorder="1"/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164" fontId="7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 wrapText="1"/>
    </xf>
    <xf numFmtId="0" fontId="72" fillId="2" borderId="0" xfId="0" applyFont="1" applyFill="1" applyBorder="1" applyAlignment="1">
      <alignment vertical="center" wrapText="1"/>
    </xf>
    <xf numFmtId="0" fontId="78" fillId="0" borderId="0" xfId="0" applyFont="1" applyAlignment="1">
      <alignment vertical="center"/>
    </xf>
    <xf numFmtId="0" fontId="63" fillId="58" borderId="115" xfId="0" applyFont="1" applyFill="1" applyBorder="1"/>
    <xf numFmtId="0" fontId="31" fillId="55" borderId="115" xfId="4" applyFont="1" applyFill="1" applyBorder="1" applyAlignment="1">
      <alignment horizontal="left" vertical="center"/>
    </xf>
    <xf numFmtId="0" fontId="63" fillId="56" borderId="115" xfId="0" applyFont="1" applyFill="1" applyBorder="1" applyAlignment="1">
      <alignment vertical="center"/>
    </xf>
    <xf numFmtId="3" fontId="31" fillId="0" borderId="167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15" xfId="4" applyFont="1" applyFill="1" applyBorder="1" applyAlignment="1">
      <alignment horizontal="left"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7" xfId="4" applyNumberFormat="1" applyFont="1" applyFill="1" applyBorder="1" applyAlignment="1">
      <alignment vertical="center" wrapText="1"/>
    </xf>
    <xf numFmtId="0" fontId="27" fillId="2" borderId="103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2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3" fontId="27" fillId="25" borderId="117" xfId="0" applyNumberFormat="1" applyFont="1" applyFill="1" applyBorder="1" applyAlignment="1">
      <alignment horizontal="center"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2" xfId="1" applyFont="1" applyFill="1" applyBorder="1" applyAlignment="1">
      <alignment vertical="center"/>
    </xf>
    <xf numFmtId="0" fontId="30" fillId="8" borderId="5" xfId="0" applyFont="1" applyFill="1" applyBorder="1" applyAlignment="1">
      <alignment vertical="top"/>
    </xf>
    <xf numFmtId="3" fontId="27" fillId="55" borderId="18" xfId="4" applyNumberFormat="1" applyFont="1" applyFill="1" applyBorder="1" applyAlignment="1">
      <alignment horizontal="right" vertical="center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51" xfId="0" applyNumberFormat="1" applyFont="1" applyFill="1" applyBorder="1" applyAlignment="1">
      <alignment vertical="center"/>
    </xf>
    <xf numFmtId="3" fontId="31" fillId="25" borderId="154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54" xfId="0" applyNumberFormat="1" applyFont="1" applyFill="1" applyBorder="1" applyAlignment="1">
      <alignment vertical="top"/>
    </xf>
    <xf numFmtId="0" fontId="57" fillId="8" borderId="65" xfId="0" applyFont="1" applyFill="1" applyBorder="1" applyAlignment="1">
      <alignment horizontal="center" vertical="top" wrapText="1"/>
    </xf>
    <xf numFmtId="0" fontId="31" fillId="8" borderId="115" xfId="0" applyFont="1" applyFill="1" applyBorder="1" applyAlignment="1">
      <alignment vertical="center" wrapText="1"/>
    </xf>
    <xf numFmtId="0" fontId="57" fillId="8" borderId="65" xfId="0" applyFont="1" applyFill="1" applyBorder="1" applyAlignment="1">
      <alignment horizontal="center" vertical="center" wrapText="1"/>
    </xf>
    <xf numFmtId="3" fontId="7" fillId="23" borderId="154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5" xfId="4" applyFont="1" applyFill="1" applyBorder="1" applyAlignment="1">
      <alignment vertical="top" wrapText="1"/>
    </xf>
    <xf numFmtId="0" fontId="31" fillId="8" borderId="156" xfId="0" applyFont="1" applyFill="1" applyBorder="1" applyAlignment="1">
      <alignment vertical="top" wrapText="1"/>
    </xf>
    <xf numFmtId="3" fontId="31" fillId="8" borderId="118" xfId="0" applyNumberFormat="1" applyFont="1" applyFill="1" applyBorder="1" applyAlignment="1">
      <alignment vertical="top"/>
    </xf>
    <xf numFmtId="0" fontId="18" fillId="8" borderId="65" xfId="0" applyFont="1" applyFill="1" applyBorder="1" applyAlignment="1">
      <alignment horizontal="center" vertical="top" wrapText="1"/>
    </xf>
    <xf numFmtId="0" fontId="18" fillId="8" borderId="6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43" fontId="25" fillId="6" borderId="151" xfId="1" applyFont="1" applyFill="1" applyBorder="1" applyAlignment="1"/>
    <xf numFmtId="3" fontId="31" fillId="0" borderId="119" xfId="4" applyNumberFormat="1" applyFont="1" applyFill="1" applyBorder="1" applyAlignment="1"/>
    <xf numFmtId="3" fontId="27" fillId="2" borderId="151" xfId="0" applyNumberFormat="1" applyFont="1" applyFill="1" applyBorder="1" applyAlignment="1">
      <alignment vertical="center"/>
    </xf>
    <xf numFmtId="3" fontId="31" fillId="0" borderId="153" xfId="0" applyNumberFormat="1" applyFont="1" applyFill="1" applyBorder="1" applyAlignment="1">
      <alignment vertical="center"/>
    </xf>
    <xf numFmtId="43" fontId="27" fillId="2" borderId="151" xfId="1" applyFont="1" applyFill="1" applyBorder="1" applyAlignment="1">
      <alignment vertical="center"/>
    </xf>
    <xf numFmtId="3" fontId="27" fillId="2" borderId="162" xfId="0" applyNumberFormat="1" applyFont="1" applyFill="1" applyBorder="1" applyAlignment="1">
      <alignment vertical="center"/>
    </xf>
    <xf numFmtId="3" fontId="31" fillId="0" borderId="162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51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51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65" fillId="0" borderId="0" xfId="0" applyFont="1" applyBorder="1"/>
    <xf numFmtId="3" fontId="34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68" xfId="4" applyNumberFormat="1" applyFont="1" applyFill="1" applyBorder="1" applyAlignment="1">
      <alignment vertical="center"/>
    </xf>
    <xf numFmtId="0" fontId="0" fillId="0" borderId="0" xfId="0" applyFont="1" applyBorder="1"/>
    <xf numFmtId="0" fontId="66" fillId="37" borderId="84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3" fontId="76" fillId="6" borderId="171" xfId="0" applyNumberFormat="1" applyFont="1" applyFill="1" applyBorder="1" applyAlignment="1">
      <alignment vertical="center" wrapText="1"/>
    </xf>
    <xf numFmtId="3" fontId="24" fillId="6" borderId="171" xfId="4" applyNumberFormat="1" applyFont="1" applyFill="1" applyBorder="1" applyAlignment="1">
      <alignment horizontal="right" vertical="center"/>
    </xf>
    <xf numFmtId="3" fontId="25" fillId="6" borderId="171" xfId="4" applyNumberFormat="1" applyFont="1" applyFill="1" applyBorder="1" applyAlignment="1">
      <alignment horizontal="right" vertical="center"/>
    </xf>
    <xf numFmtId="3" fontId="25" fillId="22" borderId="171" xfId="4" applyNumberFormat="1" applyFont="1" applyFill="1" applyBorder="1" applyAlignment="1">
      <alignment horizontal="right" vertical="center"/>
    </xf>
    <xf numFmtId="3" fontId="27" fillId="0" borderId="171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horizontal="right" vertical="center"/>
    </xf>
    <xf numFmtId="3" fontId="32" fillId="0" borderId="171" xfId="6" applyNumberFormat="1" applyFont="1" applyFill="1" applyBorder="1" applyAlignment="1">
      <alignment vertical="center"/>
    </xf>
    <xf numFmtId="3" fontId="33" fillId="0" borderId="171" xfId="6" applyNumberFormat="1" applyFont="1" applyFill="1" applyBorder="1" applyAlignment="1">
      <alignment vertical="center"/>
    </xf>
    <xf numFmtId="0" fontId="31" fillId="6" borderId="169" xfId="0" applyFont="1" applyFill="1" applyBorder="1" applyAlignment="1">
      <alignment vertical="top"/>
    </xf>
    <xf numFmtId="3" fontId="27" fillId="2" borderId="176" xfId="0" applyNumberFormat="1" applyFont="1" applyFill="1" applyBorder="1" applyAlignment="1">
      <alignment vertical="top"/>
    </xf>
    <xf numFmtId="3" fontId="25" fillId="25" borderId="177" xfId="0" applyNumberFormat="1" applyFont="1" applyFill="1" applyBorder="1" applyAlignment="1">
      <alignment vertical="top"/>
    </xf>
    <xf numFmtId="3" fontId="28" fillId="2" borderId="176" xfId="0" applyNumberFormat="1" applyFont="1" applyFill="1" applyBorder="1" applyAlignment="1">
      <alignment vertical="top"/>
    </xf>
    <xf numFmtId="3" fontId="31" fillId="0" borderId="176" xfId="0" applyNumberFormat="1" applyFont="1" applyFill="1" applyBorder="1" applyAlignment="1">
      <alignment vertical="top"/>
    </xf>
    <xf numFmtId="3" fontId="31" fillId="25" borderId="177" xfId="0" applyNumberFormat="1" applyFont="1" applyFill="1" applyBorder="1" applyAlignment="1">
      <alignment vertical="top"/>
    </xf>
    <xf numFmtId="3" fontId="27" fillId="0" borderId="176" xfId="0" applyNumberFormat="1" applyFont="1" applyFill="1" applyBorder="1" applyAlignment="1">
      <alignment vertical="top"/>
    </xf>
    <xf numFmtId="43" fontId="27" fillId="0" borderId="176" xfId="1" applyFont="1" applyFill="1" applyBorder="1" applyAlignment="1">
      <alignment vertical="top"/>
    </xf>
    <xf numFmtId="3" fontId="31" fillId="0" borderId="176" xfId="0" applyNumberFormat="1" applyFont="1" applyFill="1" applyBorder="1" applyAlignment="1">
      <alignment horizontal="right" vertical="center"/>
    </xf>
    <xf numFmtId="43" fontId="31" fillId="0" borderId="176" xfId="1" applyFont="1" applyFill="1" applyBorder="1" applyAlignment="1">
      <alignment horizontal="right" vertical="center"/>
    </xf>
    <xf numFmtId="0" fontId="7" fillId="6" borderId="178" xfId="0" applyFont="1" applyFill="1" applyBorder="1" applyAlignment="1">
      <alignment horizontal="left" vertical="center" wrapText="1"/>
    </xf>
    <xf numFmtId="3" fontId="25" fillId="6" borderId="176" xfId="0" applyNumberFormat="1" applyFont="1" applyFill="1" applyBorder="1" applyAlignment="1">
      <alignment vertical="top"/>
    </xf>
    <xf numFmtId="3" fontId="27" fillId="2" borderId="179" xfId="4" applyNumberFormat="1" applyFont="1" applyFill="1" applyBorder="1" applyAlignment="1">
      <alignment vertical="center" wrapText="1"/>
    </xf>
    <xf numFmtId="3" fontId="31" fillId="0" borderId="177" xfId="0" applyNumberFormat="1" applyFont="1" applyFill="1" applyBorder="1" applyAlignment="1">
      <alignment vertical="top"/>
    </xf>
    <xf numFmtId="0" fontId="27" fillId="2" borderId="180" xfId="4" applyFont="1" applyFill="1" applyBorder="1" applyAlignment="1">
      <alignment vertical="top"/>
    </xf>
    <xf numFmtId="3" fontId="28" fillId="2" borderId="128" xfId="0" applyNumberFormat="1" applyFont="1" applyFill="1" applyBorder="1" applyAlignment="1">
      <alignment vertical="top"/>
    </xf>
    <xf numFmtId="0" fontId="31" fillId="6" borderId="178" xfId="0" applyFont="1" applyFill="1" applyBorder="1" applyAlignment="1">
      <alignment vertical="top"/>
    </xf>
    <xf numFmtId="3" fontId="25" fillId="6" borderId="176" xfId="0" applyNumberFormat="1" applyFont="1" applyFill="1" applyBorder="1" applyAlignment="1">
      <alignment vertical="center"/>
    </xf>
    <xf numFmtId="3" fontId="25" fillId="22" borderId="177" xfId="0" applyNumberFormat="1" applyFont="1" applyFill="1" applyBorder="1" applyAlignment="1">
      <alignment vertical="center"/>
    </xf>
    <xf numFmtId="3" fontId="27" fillId="32" borderId="176" xfId="0" applyNumberFormat="1" applyFont="1" applyFill="1" applyBorder="1" applyAlignment="1">
      <alignment vertical="center"/>
    </xf>
    <xf numFmtId="3" fontId="27" fillId="25" borderId="177" xfId="0" applyNumberFormat="1" applyFont="1" applyFill="1" applyBorder="1" applyAlignment="1">
      <alignment vertical="center"/>
    </xf>
    <xf numFmtId="3" fontId="31" fillId="2" borderId="176" xfId="0" applyNumberFormat="1" applyFont="1" applyFill="1" applyBorder="1" applyAlignment="1">
      <alignment vertical="top"/>
    </xf>
    <xf numFmtId="3" fontId="25" fillId="32" borderId="176" xfId="0" applyNumberFormat="1" applyFont="1" applyFill="1" applyBorder="1" applyAlignment="1">
      <alignment vertical="top"/>
    </xf>
    <xf numFmtId="3" fontId="27" fillId="25" borderId="177" xfId="0" applyNumberFormat="1" applyFont="1" applyFill="1" applyBorder="1" applyAlignment="1">
      <alignment vertical="top"/>
    </xf>
    <xf numFmtId="3" fontId="28" fillId="57" borderId="176" xfId="0" applyNumberFormat="1" applyFont="1" applyFill="1" applyBorder="1" applyAlignment="1">
      <alignment vertical="top"/>
    </xf>
    <xf numFmtId="3" fontId="28" fillId="58" borderId="176" xfId="0" applyNumberFormat="1" applyFont="1" applyFill="1" applyBorder="1" applyAlignment="1">
      <alignment vertical="top"/>
    </xf>
    <xf numFmtId="3" fontId="31" fillId="0" borderId="176" xfId="4" applyNumberFormat="1" applyFont="1" applyFill="1" applyBorder="1" applyAlignment="1">
      <alignment vertical="center"/>
    </xf>
    <xf numFmtId="3" fontId="28" fillId="59" borderId="176" xfId="0" applyNumberFormat="1" applyFont="1" applyFill="1" applyBorder="1" applyAlignment="1">
      <alignment vertical="top"/>
    </xf>
    <xf numFmtId="3" fontId="28" fillId="55" borderId="176" xfId="0" applyNumberFormat="1" applyFont="1" applyFill="1" applyBorder="1" applyAlignment="1">
      <alignment vertical="top"/>
    </xf>
    <xf numFmtId="43" fontId="28" fillId="25" borderId="177" xfId="1" applyFont="1" applyFill="1" applyBorder="1" applyAlignment="1">
      <alignment vertical="center"/>
    </xf>
    <xf numFmtId="3" fontId="27" fillId="0" borderId="177" xfId="0" applyNumberFormat="1" applyFont="1" applyFill="1" applyBorder="1" applyAlignment="1">
      <alignment vertical="top"/>
    </xf>
    <xf numFmtId="3" fontId="31" fillId="0" borderId="177" xfId="4" applyNumberFormat="1" applyFont="1" applyFill="1" applyBorder="1" applyAlignment="1">
      <alignment vertical="center"/>
    </xf>
    <xf numFmtId="3" fontId="31" fillId="23" borderId="177" xfId="0" applyNumberFormat="1" applyFont="1" applyFill="1" applyBorder="1" applyAlignment="1">
      <alignment vertical="center"/>
    </xf>
    <xf numFmtId="0" fontId="28" fillId="58" borderId="178" xfId="0" applyFont="1" applyFill="1" applyBorder="1" applyAlignment="1">
      <alignment vertical="top"/>
    </xf>
    <xf numFmtId="0" fontId="28" fillId="56" borderId="175" xfId="0" applyFont="1" applyFill="1" applyBorder="1" applyAlignment="1">
      <alignment vertical="center"/>
    </xf>
    <xf numFmtId="3" fontId="28" fillId="56" borderId="176" xfId="0" applyNumberFormat="1" applyFont="1" applyFill="1" applyBorder="1" applyAlignment="1">
      <alignment vertical="center"/>
    </xf>
    <xf numFmtId="0" fontId="28" fillId="59" borderId="178" xfId="0" applyFont="1" applyFill="1" applyBorder="1" applyAlignment="1">
      <alignment vertical="top"/>
    </xf>
    <xf numFmtId="0" fontId="28" fillId="59" borderId="175" xfId="0" applyFont="1" applyFill="1" applyBorder="1" applyAlignment="1">
      <alignment vertical="top"/>
    </xf>
    <xf numFmtId="0" fontId="31" fillId="55" borderId="175" xfId="0" applyFont="1" applyFill="1" applyBorder="1" applyAlignment="1">
      <alignment vertical="top"/>
    </xf>
    <xf numFmtId="0" fontId="31" fillId="55" borderId="178" xfId="0" applyFont="1" applyFill="1" applyBorder="1" applyAlignment="1">
      <alignment vertical="top"/>
    </xf>
    <xf numFmtId="3" fontId="25" fillId="6" borderId="177" xfId="0" applyNumberFormat="1" applyFont="1" applyFill="1" applyBorder="1" applyAlignment="1">
      <alignment vertical="center"/>
    </xf>
    <xf numFmtId="0" fontId="27" fillId="2" borderId="181" xfId="4" applyFont="1" applyFill="1" applyBorder="1" applyAlignment="1">
      <alignment vertical="top"/>
    </xf>
    <xf numFmtId="0" fontId="31" fillId="6" borderId="178" xfId="0" applyFont="1" applyFill="1" applyBorder="1" applyAlignment="1">
      <alignment vertical="center"/>
    </xf>
    <xf numFmtId="3" fontId="25" fillId="22" borderId="176" xfId="0" applyNumberFormat="1" applyFont="1" applyFill="1" applyBorder="1" applyAlignment="1">
      <alignment vertical="center"/>
    </xf>
    <xf numFmtId="0" fontId="31" fillId="0" borderId="182" xfId="0" applyFont="1" applyFill="1" applyBorder="1" applyAlignment="1">
      <alignment horizontal="left" vertical="center" wrapText="1"/>
    </xf>
    <xf numFmtId="3" fontId="25" fillId="6" borderId="177" xfId="0" applyNumberFormat="1" applyFont="1" applyFill="1" applyBorder="1" applyAlignment="1">
      <alignment vertical="top"/>
    </xf>
    <xf numFmtId="3" fontId="27" fillId="2" borderId="177" xfId="0" applyNumberFormat="1" applyFont="1" applyFill="1" applyBorder="1" applyAlignment="1">
      <alignment vertical="top"/>
    </xf>
    <xf numFmtId="0" fontId="25" fillId="6" borderId="181" xfId="4" applyFont="1" applyFill="1" applyBorder="1" applyAlignment="1">
      <alignment horizontal="left" vertical="center"/>
    </xf>
    <xf numFmtId="0" fontId="25" fillId="6" borderId="178" xfId="4" applyFont="1" applyFill="1" applyBorder="1" applyAlignment="1">
      <alignment horizontal="left" vertical="center"/>
    </xf>
    <xf numFmtId="3" fontId="24" fillId="6" borderId="176" xfId="4" applyNumberFormat="1" applyFont="1" applyFill="1" applyBorder="1" applyAlignment="1">
      <alignment vertical="center"/>
    </xf>
    <xf numFmtId="3" fontId="25" fillId="22" borderId="177" xfId="4" applyNumberFormat="1" applyFont="1" applyFill="1" applyBorder="1" applyAlignment="1">
      <alignment horizontal="right" vertical="center"/>
    </xf>
    <xf numFmtId="3" fontId="27" fillId="2" borderId="180" xfId="4" applyNumberFormat="1" applyFont="1" applyFill="1" applyBorder="1" applyAlignment="1">
      <alignment vertical="center" wrapText="1"/>
    </xf>
    <xf numFmtId="3" fontId="33" fillId="0" borderId="176" xfId="6" applyNumberFormat="1" applyFont="1" applyFill="1" applyBorder="1" applyAlignment="1">
      <alignment vertical="center"/>
    </xf>
    <xf numFmtId="3" fontId="27" fillId="25" borderId="176" xfId="4" applyNumberFormat="1" applyFont="1" applyFill="1" applyBorder="1" applyAlignment="1">
      <alignment horizontal="right" vertical="center"/>
    </xf>
    <xf numFmtId="0" fontId="7" fillId="0" borderId="180" xfId="4" applyFont="1" applyFill="1" applyBorder="1" applyAlignment="1">
      <alignment vertical="center"/>
    </xf>
    <xf numFmtId="3" fontId="7" fillId="0" borderId="168" xfId="4" applyNumberFormat="1" applyFont="1" applyFill="1" applyBorder="1" applyAlignment="1">
      <alignment horizontal="right" vertical="center"/>
    </xf>
    <xf numFmtId="3" fontId="27" fillId="2" borderId="181" xfId="4" applyNumberFormat="1" applyFont="1" applyFill="1" applyBorder="1" applyAlignment="1">
      <alignment vertical="center" wrapText="1"/>
    </xf>
    <xf numFmtId="3" fontId="27" fillId="0" borderId="168" xfId="4" applyNumberFormat="1" applyFont="1" applyFill="1" applyBorder="1" applyAlignment="1">
      <alignment horizontal="right" vertical="center"/>
    </xf>
    <xf numFmtId="3" fontId="33" fillId="0" borderId="177" xfId="6" applyNumberFormat="1" applyFont="1" applyFill="1" applyBorder="1" applyAlignment="1">
      <alignment vertical="center"/>
    </xf>
    <xf numFmtId="43" fontId="24" fillId="6" borderId="176" xfId="4" applyNumberFormat="1" applyFont="1" applyFill="1" applyBorder="1" applyAlignment="1">
      <alignment vertical="center"/>
    </xf>
    <xf numFmtId="43" fontId="33" fillId="0" borderId="176" xfId="6" applyNumberFormat="1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horizontal="right" vertical="center"/>
    </xf>
    <xf numFmtId="3" fontId="25" fillId="6" borderId="176" xfId="4" applyNumberFormat="1" applyFont="1" applyFill="1" applyBorder="1" applyAlignment="1">
      <alignment horizontal="right" vertical="center"/>
    </xf>
    <xf numFmtId="3" fontId="27" fillId="0" borderId="176" xfId="4" applyNumberFormat="1" applyFont="1" applyFill="1" applyBorder="1" applyAlignment="1">
      <alignment horizontal="right" vertical="center"/>
    </xf>
    <xf numFmtId="3" fontId="31" fillId="0" borderId="176" xfId="4" applyNumberFormat="1" applyFont="1" applyFill="1" applyBorder="1" applyAlignment="1">
      <alignment horizontal="right" vertical="center"/>
    </xf>
    <xf numFmtId="3" fontId="7" fillId="0" borderId="176" xfId="4" applyNumberFormat="1" applyFont="1" applyFill="1" applyBorder="1" applyAlignment="1">
      <alignment horizontal="right" vertical="center"/>
    </xf>
    <xf numFmtId="3" fontId="31" fillId="25" borderId="176" xfId="4" applyNumberFormat="1" applyFont="1" applyFill="1" applyBorder="1" applyAlignment="1">
      <alignment horizontal="right" vertical="center"/>
    </xf>
    <xf numFmtId="3" fontId="29" fillId="2" borderId="181" xfId="4" applyNumberFormat="1" applyFont="1" applyFill="1" applyBorder="1" applyAlignment="1">
      <alignment vertical="center" wrapText="1"/>
    </xf>
    <xf numFmtId="3" fontId="32" fillId="0" borderId="177" xfId="6" applyNumberFormat="1" applyFont="1" applyFill="1" applyBorder="1" applyAlignment="1">
      <alignment vertical="center"/>
    </xf>
    <xf numFmtId="3" fontId="27" fillId="2" borderId="176" xfId="4" applyNumberFormat="1" applyFont="1" applyFill="1" applyBorder="1" applyAlignment="1">
      <alignment vertical="center"/>
    </xf>
    <xf numFmtId="0" fontId="25" fillId="6" borderId="169" xfId="4" applyFont="1" applyFill="1" applyBorder="1" applyAlignment="1">
      <alignment horizontal="left" vertical="center"/>
    </xf>
    <xf numFmtId="3" fontId="23" fillId="6" borderId="176" xfId="6" applyNumberFormat="1" applyFont="1" applyFill="1" applyBorder="1" applyAlignment="1">
      <alignment horizontal="right" vertical="center"/>
    </xf>
    <xf numFmtId="3" fontId="33" fillId="0" borderId="176" xfId="6" applyNumberFormat="1" applyFont="1" applyFill="1" applyBorder="1" applyAlignment="1">
      <alignment horizontal="right" vertical="center"/>
    </xf>
    <xf numFmtId="43" fontId="31" fillId="0" borderId="168" xfId="1" applyFont="1" applyFill="1" applyBorder="1" applyAlignment="1">
      <alignment horizontal="right" vertical="center"/>
    </xf>
    <xf numFmtId="43" fontId="33" fillId="0" borderId="176" xfId="1" applyFont="1" applyFill="1" applyBorder="1" applyAlignment="1">
      <alignment horizontal="right" vertical="center"/>
    </xf>
    <xf numFmtId="3" fontId="29" fillId="2" borderId="176" xfId="4" applyNumberFormat="1" applyFont="1" applyFill="1" applyBorder="1" applyAlignment="1">
      <alignment vertical="center"/>
    </xf>
    <xf numFmtId="43" fontId="23" fillId="6" borderId="176" xfId="1" applyFont="1" applyFill="1" applyBorder="1" applyAlignment="1">
      <alignment horizontal="right" vertical="center"/>
    </xf>
    <xf numFmtId="0" fontId="7" fillId="0" borderId="181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3" xfId="1" applyFont="1" applyFill="1" applyBorder="1" applyAlignment="1">
      <alignment horizontal="right" vertical="center"/>
    </xf>
    <xf numFmtId="3" fontId="7" fillId="0" borderId="173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vertical="center"/>
    </xf>
    <xf numFmtId="0" fontId="27" fillId="2" borderId="181" xfId="4" applyFont="1" applyFill="1" applyBorder="1" applyAlignment="1">
      <alignment vertical="center"/>
    </xf>
    <xf numFmtId="3" fontId="24" fillId="6" borderId="176" xfId="4" applyNumberFormat="1" applyFont="1" applyFill="1" applyBorder="1" applyAlignment="1">
      <alignment horizontal="right" vertical="center"/>
    </xf>
    <xf numFmtId="3" fontId="29" fillId="0" borderId="176" xfId="4" applyNumberFormat="1" applyFont="1" applyFill="1" applyBorder="1" applyAlignment="1">
      <alignment horizontal="right" vertical="center"/>
    </xf>
    <xf numFmtId="43" fontId="7" fillId="0" borderId="176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3" fontId="65" fillId="17" borderId="35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25" fillId="6" borderId="177" xfId="4" applyNumberFormat="1" applyFont="1" applyFill="1" applyBorder="1" applyAlignment="1">
      <alignment horizontal="right" vertical="center"/>
    </xf>
    <xf numFmtId="3" fontId="24" fillId="22" borderId="177" xfId="4" applyNumberFormat="1" applyFont="1" applyFill="1" applyBorder="1" applyAlignment="1">
      <alignment horizontal="right" vertical="center"/>
    </xf>
    <xf numFmtId="3" fontId="25" fillId="6" borderId="177" xfId="4" applyNumberFormat="1" applyFont="1" applyFill="1" applyBorder="1" applyAlignment="1">
      <alignment vertical="center"/>
    </xf>
    <xf numFmtId="43" fontId="25" fillId="6" borderId="177" xfId="1" applyFont="1" applyFill="1" applyBorder="1" applyAlignment="1">
      <alignment vertical="center"/>
    </xf>
    <xf numFmtId="43" fontId="31" fillId="0" borderId="153" xfId="1" applyFont="1" applyFill="1" applyBorder="1" applyAlignment="1">
      <alignment horizontal="right" vertical="center"/>
    </xf>
    <xf numFmtId="43" fontId="33" fillId="0" borderId="177" xfId="1" applyFont="1" applyFill="1" applyBorder="1" applyAlignment="1">
      <alignment vertical="center"/>
    </xf>
    <xf numFmtId="3" fontId="24" fillId="6" borderId="177" xfId="4" applyNumberFormat="1" applyFont="1" applyFill="1" applyBorder="1" applyAlignment="1">
      <alignment vertical="center"/>
    </xf>
    <xf numFmtId="3" fontId="25" fillId="22" borderId="176" xfId="4" applyNumberFormat="1" applyFont="1" applyFill="1" applyBorder="1" applyAlignment="1">
      <alignment horizontal="right" vertical="center"/>
    </xf>
    <xf numFmtId="3" fontId="32" fillId="0" borderId="176" xfId="6" applyNumberFormat="1" applyFont="1" applyFill="1" applyBorder="1" applyAlignment="1">
      <alignment vertical="center"/>
    </xf>
    <xf numFmtId="43" fontId="25" fillId="6" borderId="176" xfId="1" applyFont="1" applyFill="1" applyBorder="1" applyAlignment="1">
      <alignment vertical="top"/>
    </xf>
    <xf numFmtId="3" fontId="25" fillId="22" borderId="176" xfId="0" applyNumberFormat="1" applyFont="1" applyFill="1" applyBorder="1" applyAlignment="1">
      <alignment vertical="top"/>
    </xf>
    <xf numFmtId="3" fontId="27" fillId="2" borderId="184" xfId="4" applyNumberFormat="1" applyFont="1" applyFill="1" applyBorder="1" applyAlignment="1">
      <alignment vertical="center" wrapText="1"/>
    </xf>
    <xf numFmtId="43" fontId="27" fillId="25" borderId="177" xfId="1" applyFont="1" applyFill="1" applyBorder="1" applyAlignment="1">
      <alignment horizontal="center" vertical="top"/>
    </xf>
    <xf numFmtId="43" fontId="31" fillId="25" borderId="177" xfId="1" applyFont="1" applyFill="1" applyBorder="1" applyAlignment="1">
      <alignment horizontal="center" vertical="top"/>
    </xf>
    <xf numFmtId="0" fontId="23" fillId="0" borderId="169" xfId="0" applyFont="1" applyBorder="1" applyAlignment="1">
      <alignment horizontal="center" vertical="center" wrapText="1"/>
    </xf>
    <xf numFmtId="0" fontId="28" fillId="58" borderId="169" xfId="0" applyFont="1" applyFill="1" applyBorder="1" applyAlignment="1">
      <alignment vertical="top"/>
    </xf>
    <xf numFmtId="0" fontId="28" fillId="56" borderId="121" xfId="0" applyFont="1" applyFill="1" applyBorder="1" applyAlignment="1">
      <alignment vertical="center"/>
    </xf>
    <xf numFmtId="0" fontId="39" fillId="59" borderId="184" xfId="0" applyFont="1" applyFill="1" applyBorder="1"/>
    <xf numFmtId="0" fontId="28" fillId="59" borderId="169" xfId="0" applyFont="1" applyFill="1" applyBorder="1" applyAlignment="1">
      <alignment vertical="top"/>
    </xf>
    <xf numFmtId="0" fontId="31" fillId="55" borderId="121" xfId="0" applyFont="1" applyFill="1" applyBorder="1" applyAlignment="1">
      <alignment vertical="top"/>
    </xf>
    <xf numFmtId="0" fontId="31" fillId="55" borderId="169" xfId="0" applyFont="1" applyFill="1" applyBorder="1" applyAlignment="1">
      <alignment vertical="top"/>
    </xf>
    <xf numFmtId="3" fontId="27" fillId="0" borderId="177" xfId="0" applyNumberFormat="1" applyFont="1" applyFill="1" applyBorder="1" applyAlignment="1">
      <alignment vertical="center"/>
    </xf>
    <xf numFmtId="3" fontId="27" fillId="8" borderId="177" xfId="0" applyNumberFormat="1" applyFont="1" applyFill="1" applyBorder="1" applyAlignment="1">
      <alignment vertical="center"/>
    </xf>
    <xf numFmtId="3" fontId="27" fillId="23" borderId="177" xfId="0" applyNumberFormat="1" applyFont="1" applyFill="1" applyBorder="1" applyAlignment="1">
      <alignment vertical="center"/>
    </xf>
    <xf numFmtId="3" fontId="31" fillId="28" borderId="177" xfId="0" applyNumberFormat="1" applyFont="1" applyFill="1" applyBorder="1" applyAlignment="1">
      <alignment vertical="center"/>
    </xf>
    <xf numFmtId="3" fontId="7" fillId="23" borderId="177" xfId="0" applyNumberFormat="1" applyFont="1" applyFill="1" applyBorder="1" applyAlignment="1">
      <alignment vertical="center"/>
    </xf>
    <xf numFmtId="3" fontId="27" fillId="25" borderId="176" xfId="0" applyNumberFormat="1" applyFont="1" applyFill="1" applyBorder="1" applyAlignment="1">
      <alignment vertical="top"/>
    </xf>
    <xf numFmtId="3" fontId="27" fillId="2" borderId="177" xfId="0" applyNumberFormat="1" applyFont="1" applyFill="1" applyBorder="1" applyAlignment="1">
      <alignment vertical="center"/>
    </xf>
    <xf numFmtId="3" fontId="7" fillId="8" borderId="177" xfId="4" applyNumberFormat="1" applyFont="1" applyFill="1" applyBorder="1" applyAlignment="1">
      <alignment horizontal="right" vertical="center"/>
    </xf>
    <xf numFmtId="3" fontId="29" fillId="0" borderId="177" xfId="4" applyNumberFormat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vertical="top"/>
    </xf>
    <xf numFmtId="3" fontId="7" fillId="25" borderId="177" xfId="4" applyNumberFormat="1" applyFont="1" applyFill="1" applyBorder="1" applyAlignment="1">
      <alignment vertical="center"/>
    </xf>
    <xf numFmtId="0" fontId="31" fillId="0" borderId="181" xfId="4" applyFont="1" applyFill="1" applyBorder="1" applyAlignment="1">
      <alignment vertical="center"/>
    </xf>
    <xf numFmtId="3" fontId="33" fillId="25" borderId="177" xfId="6" applyNumberFormat="1" applyFont="1" applyFill="1" applyBorder="1" applyAlignment="1">
      <alignment vertical="center"/>
    </xf>
    <xf numFmtId="0" fontId="25" fillId="6" borderId="177" xfId="4" applyFont="1" applyFill="1" applyBorder="1" applyAlignment="1">
      <alignment horizontal="left" vertical="center"/>
    </xf>
    <xf numFmtId="3" fontId="25" fillId="22" borderId="177" xfId="0" applyNumberFormat="1" applyFont="1" applyFill="1" applyBorder="1" applyAlignment="1">
      <alignment vertical="top"/>
    </xf>
    <xf numFmtId="3" fontId="31" fillId="23" borderId="177" xfId="0" applyNumberFormat="1" applyFont="1" applyFill="1" applyBorder="1" applyAlignment="1">
      <alignment vertical="top"/>
    </xf>
    <xf numFmtId="3" fontId="31" fillId="0" borderId="177" xfId="0" applyNumberFormat="1" applyFont="1" applyFill="1" applyBorder="1" applyAlignment="1">
      <alignment vertical="center"/>
    </xf>
    <xf numFmtId="3" fontId="27" fillId="0" borderId="177" xfId="4" applyNumberFormat="1" applyFont="1" applyFill="1" applyBorder="1" applyAlignment="1">
      <alignment vertical="center" wrapText="1"/>
    </xf>
    <xf numFmtId="0" fontId="32" fillId="0" borderId="187" xfId="0" applyFont="1" applyBorder="1" applyAlignment="1">
      <alignment vertical="center"/>
    </xf>
    <xf numFmtId="3" fontId="31" fillId="0" borderId="188" xfId="4" applyNumberFormat="1" applyFont="1" applyFill="1" applyBorder="1" applyAlignment="1">
      <alignment vertical="center"/>
    </xf>
    <xf numFmtId="3" fontId="31" fillId="0" borderId="187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17" fillId="8" borderId="11" xfId="0" applyNumberFormat="1" applyFont="1" applyFill="1" applyBorder="1" applyAlignment="1">
      <alignment vertical="center"/>
    </xf>
    <xf numFmtId="2" fontId="27" fillId="55" borderId="36" xfId="4" applyNumberFormat="1" applyFont="1" applyFill="1" applyBorder="1" applyAlignment="1">
      <alignment horizontal="left" vertical="center"/>
    </xf>
    <xf numFmtId="2" fontId="27" fillId="55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5" borderId="65" xfId="4" applyNumberFormat="1" applyFont="1" applyFill="1" applyBorder="1" applyAlignment="1">
      <alignment horizontal="left" vertical="center"/>
    </xf>
    <xf numFmtId="2" fontId="27" fillId="55" borderId="6" xfId="4" applyNumberFormat="1" applyFont="1" applyFill="1" applyBorder="1" applyAlignment="1">
      <alignment horizontal="left" vertical="center"/>
    </xf>
    <xf numFmtId="2" fontId="27" fillId="55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7" fillId="8" borderId="11" xfId="0" applyNumberFormat="1" applyFont="1" applyFill="1" applyBorder="1" applyAlignment="1">
      <alignment vertical="top"/>
    </xf>
    <xf numFmtId="2" fontId="7" fillId="8" borderId="182" xfId="0" applyNumberFormat="1" applyFont="1" applyFill="1" applyBorder="1" applyAlignment="1">
      <alignment vertical="top" wrapText="1"/>
    </xf>
    <xf numFmtId="2" fontId="7" fillId="8" borderId="175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1" fillId="0" borderId="21" xfId="0" applyNumberFormat="1" applyFont="1" applyFill="1" applyBorder="1" applyAlignment="1">
      <alignment vertical="top"/>
    </xf>
    <xf numFmtId="2" fontId="31" fillId="0" borderId="176" xfId="0" applyNumberFormat="1" applyFont="1" applyFill="1" applyBorder="1" applyAlignment="1">
      <alignment vertical="top"/>
    </xf>
    <xf numFmtId="2" fontId="31" fillId="0" borderId="182" xfId="0" applyNumberFormat="1" applyFont="1" applyFill="1" applyBorder="1" applyAlignment="1">
      <alignment horizontal="left" vertical="center" wrapText="1"/>
    </xf>
    <xf numFmtId="2" fontId="27" fillId="2" borderId="184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77" xfId="0" applyNumberFormat="1" applyFont="1" applyFill="1" applyBorder="1" applyAlignment="1">
      <alignment vertical="top"/>
    </xf>
    <xf numFmtId="2" fontId="27" fillId="2" borderId="180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4" xfId="4" applyNumberFormat="1" applyFont="1" applyFill="1" applyBorder="1" applyAlignment="1">
      <alignment vertical="top"/>
    </xf>
    <xf numFmtId="2" fontId="31" fillId="0" borderId="189" xfId="0" applyNumberFormat="1" applyFont="1" applyFill="1" applyBorder="1" applyAlignment="1">
      <alignment horizontal="left" vertical="center" wrapText="1"/>
    </xf>
    <xf numFmtId="2" fontId="25" fillId="6" borderId="184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90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76" xfId="0" applyNumberFormat="1" applyFont="1" applyFill="1" applyBorder="1" applyAlignment="1">
      <alignment vertical="top"/>
    </xf>
    <xf numFmtId="2" fontId="7" fillId="23" borderId="173" xfId="0" applyNumberFormat="1" applyFont="1" applyFill="1" applyBorder="1" applyAlignment="1">
      <alignment vertical="top"/>
    </xf>
    <xf numFmtId="2" fontId="31" fillId="8" borderId="176" xfId="0" applyNumberFormat="1" applyFont="1" applyFill="1" applyBorder="1" applyAlignment="1">
      <alignment vertical="center"/>
    </xf>
    <xf numFmtId="2" fontId="25" fillId="23" borderId="176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6" xfId="0" applyNumberFormat="1" applyFont="1" applyFill="1" applyBorder="1" applyAlignment="1">
      <alignment horizontal="right" vertical="center"/>
    </xf>
    <xf numFmtId="2" fontId="27" fillId="8" borderId="177" xfId="0" applyNumberFormat="1" applyFont="1" applyFill="1" applyBorder="1" applyAlignment="1">
      <alignment horizontal="right" vertical="center"/>
    </xf>
    <xf numFmtId="2" fontId="25" fillId="23" borderId="176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77" xfId="0" applyNumberFormat="1" applyFont="1" applyFill="1" applyBorder="1" applyAlignment="1">
      <alignment vertical="top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77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6" xfId="0" applyNumberFormat="1" applyFont="1" applyFill="1" applyBorder="1" applyAlignment="1">
      <alignment vertical="center"/>
    </xf>
    <xf numFmtId="2" fontId="27" fillId="8" borderId="176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6" xfId="0" applyNumberFormat="1" applyFont="1" applyFill="1" applyBorder="1" applyAlignment="1">
      <alignment vertical="center"/>
    </xf>
    <xf numFmtId="2" fontId="25" fillId="0" borderId="176" xfId="0" applyNumberFormat="1" applyFont="1" applyFill="1" applyBorder="1" applyAlignment="1">
      <alignment vertical="center"/>
    </xf>
    <xf numFmtId="2" fontId="31" fillId="32" borderId="176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6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77" xfId="0" applyNumberFormat="1" applyFont="1" applyFill="1" applyBorder="1" applyAlignment="1"/>
    <xf numFmtId="2" fontId="27" fillId="2" borderId="177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1" fillId="0" borderId="173" xfId="0" applyNumberFormat="1" applyFont="1" applyFill="1" applyBorder="1" applyAlignment="1">
      <alignment vertical="top"/>
    </xf>
    <xf numFmtId="2" fontId="7" fillId="23" borderId="177" xfId="0" applyNumberFormat="1" applyFont="1" applyFill="1" applyBorder="1" applyAlignment="1">
      <alignment horizontal="center" vertical="top"/>
    </xf>
    <xf numFmtId="2" fontId="25" fillId="2" borderId="177" xfId="0" applyNumberFormat="1" applyFont="1" applyFill="1" applyBorder="1" applyAlignment="1"/>
    <xf numFmtId="2" fontId="28" fillId="2" borderId="177" xfId="0" applyNumberFormat="1" applyFont="1" applyFill="1" applyBorder="1" applyAlignment="1"/>
    <xf numFmtId="2" fontId="31" fillId="2" borderId="177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77" xfId="0" applyNumberFormat="1" applyFont="1" applyFill="1" applyBorder="1" applyAlignment="1">
      <alignment vertical="center"/>
    </xf>
    <xf numFmtId="2" fontId="25" fillId="22" borderId="177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77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90" xfId="0" applyNumberFormat="1" applyFont="1" applyFill="1" applyBorder="1" applyAlignment="1">
      <alignment vertical="center" wrapText="1"/>
    </xf>
    <xf numFmtId="2" fontId="31" fillId="2" borderId="187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77" xfId="0" applyNumberFormat="1" applyFont="1" applyBorder="1" applyAlignment="1">
      <alignment vertical="center"/>
    </xf>
    <xf numFmtId="2" fontId="18" fillId="0" borderId="177" xfId="0" applyNumberFormat="1" applyFont="1" applyBorder="1" applyAlignment="1">
      <alignment vertical="top"/>
    </xf>
    <xf numFmtId="3" fontId="29" fillId="8" borderId="177" xfId="0" applyNumberFormat="1" applyFont="1" applyFill="1" applyBorder="1" applyAlignment="1">
      <alignment vertical="center"/>
    </xf>
    <xf numFmtId="3" fontId="7" fillId="28" borderId="177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3" xfId="0" applyNumberFormat="1" applyFont="1" applyFill="1" applyBorder="1" applyAlignment="1">
      <alignment horizontal="right" vertical="center"/>
    </xf>
    <xf numFmtId="3" fontId="25" fillId="6" borderId="173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87" xfId="0" applyNumberFormat="1" applyFont="1" applyFill="1" applyBorder="1" applyAlignment="1">
      <alignment vertical="top"/>
    </xf>
    <xf numFmtId="3" fontId="31" fillId="0" borderId="187" xfId="0" applyNumberFormat="1" applyFont="1" applyFill="1" applyBorder="1" applyAlignment="1">
      <alignment horizontal="right" vertical="center"/>
    </xf>
    <xf numFmtId="3" fontId="31" fillId="0" borderId="176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72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80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80" xfId="0" applyNumberFormat="1" applyFont="1" applyFill="1" applyBorder="1" applyAlignment="1">
      <alignment vertical="center" wrapText="1"/>
    </xf>
    <xf numFmtId="3" fontId="62" fillId="6" borderId="180" xfId="0" applyNumberFormat="1" applyFont="1" applyFill="1" applyBorder="1" applyAlignment="1">
      <alignment wrapText="1"/>
    </xf>
    <xf numFmtId="3" fontId="65" fillId="8" borderId="180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7" borderId="51" xfId="0" applyNumberFormat="1" applyFont="1" applyFill="1" applyBorder="1" applyAlignment="1">
      <alignment vertical="center" wrapText="1"/>
    </xf>
    <xf numFmtId="3" fontId="62" fillId="57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29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80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29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3" fontId="31" fillId="0" borderId="187" xfId="4" applyNumberFormat="1" applyFont="1" applyFill="1" applyBorder="1" applyAlignment="1">
      <alignment vertical="center"/>
    </xf>
    <xf numFmtId="3" fontId="31" fillId="0" borderId="188" xfId="4" applyNumberFormat="1" applyFont="1" applyFill="1" applyBorder="1" applyAlignment="1"/>
    <xf numFmtId="3" fontId="27" fillId="55" borderId="173" xfId="4" applyNumberFormat="1" applyFont="1" applyFill="1" applyBorder="1" applyAlignment="1">
      <alignment horizontal="right" vertical="center"/>
    </xf>
    <xf numFmtId="3" fontId="27" fillId="55" borderId="153" xfId="4" applyNumberFormat="1" applyFont="1" applyFill="1" applyBorder="1" applyAlignment="1">
      <alignment horizontal="right" vertical="center"/>
    </xf>
    <xf numFmtId="3" fontId="27" fillId="21" borderId="173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77" xfId="4" applyNumberFormat="1" applyFont="1" applyFill="1" applyBorder="1" applyAlignment="1">
      <alignment horizontal="right" vertical="center"/>
    </xf>
    <xf numFmtId="43" fontId="25" fillId="6" borderId="176" xfId="1" applyFont="1" applyFill="1" applyBorder="1" applyAlignment="1">
      <alignment horizontal="right" vertical="center"/>
    </xf>
    <xf numFmtId="43" fontId="27" fillId="0" borderId="176" xfId="1" applyFont="1" applyFill="1" applyBorder="1" applyAlignment="1">
      <alignment horizontal="right" vertical="center"/>
    </xf>
    <xf numFmtId="43" fontId="33" fillId="0" borderId="176" xfId="1" applyFont="1" applyFill="1" applyBorder="1" applyAlignment="1">
      <alignment vertical="center"/>
    </xf>
    <xf numFmtId="0" fontId="31" fillId="0" borderId="191" xfId="4" applyFont="1" applyFill="1" applyBorder="1" applyAlignment="1">
      <alignment vertical="center"/>
    </xf>
    <xf numFmtId="43" fontId="24" fillId="6" borderId="176" xfId="1" applyFont="1" applyFill="1" applyBorder="1" applyAlignment="1">
      <alignment vertical="center"/>
    </xf>
    <xf numFmtId="43" fontId="27" fillId="2" borderId="176" xfId="1" applyFont="1" applyFill="1" applyBorder="1" applyAlignment="1">
      <alignment vertical="center"/>
    </xf>
    <xf numFmtId="3" fontId="81" fillId="4" borderId="30" xfId="0" applyNumberFormat="1" applyFont="1" applyFill="1" applyBorder="1" applyAlignment="1">
      <alignment vertical="center" wrapText="1"/>
    </xf>
    <xf numFmtId="3" fontId="81" fillId="4" borderId="35" xfId="0" applyNumberFormat="1" applyFont="1" applyFill="1" applyBorder="1" applyAlignment="1">
      <alignment vertical="center" wrapText="1"/>
    </xf>
    <xf numFmtId="3" fontId="82" fillId="40" borderId="46" xfId="0" applyNumberFormat="1" applyFont="1" applyFill="1" applyBorder="1" applyAlignment="1">
      <alignment vertical="center" wrapText="1"/>
    </xf>
    <xf numFmtId="3" fontId="81" fillId="6" borderId="30" xfId="0" applyNumberFormat="1" applyFont="1" applyFill="1" applyBorder="1" applyAlignment="1">
      <alignment vertical="center" wrapText="1"/>
    </xf>
    <xf numFmtId="3" fontId="81" fillId="6" borderId="171" xfId="0" applyNumberFormat="1" applyFont="1" applyFill="1" applyBorder="1" applyAlignment="1">
      <alignment vertical="center" wrapText="1"/>
    </xf>
    <xf numFmtId="3" fontId="82" fillId="40" borderId="154" xfId="0" applyNumberFormat="1" applyFont="1" applyFill="1" applyBorder="1" applyAlignment="1">
      <alignment horizontal="center" vertical="center" wrapText="1"/>
    </xf>
    <xf numFmtId="3" fontId="24" fillId="6" borderId="168" xfId="4" applyNumberFormat="1" applyFont="1" applyFill="1" applyBorder="1" applyAlignment="1">
      <alignment vertical="center"/>
    </xf>
    <xf numFmtId="3" fontId="27" fillId="2" borderId="177" xfId="4" applyNumberFormat="1" applyFont="1" applyFill="1" applyBorder="1" applyAlignment="1">
      <alignment vertical="center"/>
    </xf>
    <xf numFmtId="3" fontId="32" fillId="0" borderId="187" xfId="6" applyNumberFormat="1" applyFont="1" applyFill="1" applyBorder="1" applyAlignment="1">
      <alignment vertical="center"/>
    </xf>
    <xf numFmtId="3" fontId="27" fillId="25" borderId="177" xfId="4" applyNumberFormat="1" applyFont="1" applyFill="1" applyBorder="1" applyAlignment="1">
      <alignment horizontal="right" vertical="center"/>
    </xf>
    <xf numFmtId="3" fontId="7" fillId="0" borderId="187" xfId="4" applyNumberFormat="1" applyFont="1" applyFill="1" applyBorder="1" applyAlignment="1">
      <alignment horizontal="right" vertical="center"/>
    </xf>
    <xf numFmtId="43" fontId="7" fillId="0" borderId="187" xfId="1" applyFont="1" applyFill="1" applyBorder="1" applyAlignment="1">
      <alignment horizontal="right" vertical="center"/>
    </xf>
    <xf numFmtId="3" fontId="24" fillId="6" borderId="177" xfId="0" applyNumberFormat="1" applyFont="1" applyFill="1" applyBorder="1" applyAlignment="1">
      <alignment horizontal="right" vertical="center"/>
    </xf>
    <xf numFmtId="3" fontId="29" fillId="0" borderId="177" xfId="0" applyNumberFormat="1" applyFont="1" applyFill="1" applyBorder="1" applyAlignment="1">
      <alignment horizontal="right" vertical="center"/>
    </xf>
    <xf numFmtId="3" fontId="7" fillId="0" borderId="177" xfId="0" applyNumberFormat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vertical="center"/>
    </xf>
    <xf numFmtId="43" fontId="31" fillId="0" borderId="187" xfId="1" applyFont="1" applyFill="1" applyBorder="1" applyAlignment="1">
      <alignment vertical="center"/>
    </xf>
    <xf numFmtId="3" fontId="31" fillId="0" borderId="188" xfId="4" applyNumberFormat="1" applyFont="1" applyFill="1" applyBorder="1" applyAlignment="1">
      <alignment horizontal="right" vertical="center"/>
    </xf>
    <xf numFmtId="3" fontId="28" fillId="23" borderId="177" xfId="4" applyNumberFormat="1" applyFont="1" applyFill="1" applyBorder="1" applyAlignment="1">
      <alignment horizontal="right" vertical="center"/>
    </xf>
    <xf numFmtId="3" fontId="24" fillId="6" borderId="177" xfId="4" applyNumberFormat="1" applyFont="1" applyFill="1" applyBorder="1" applyAlignment="1"/>
    <xf numFmtId="3" fontId="33" fillId="23" borderId="177" xfId="6" applyNumberFormat="1" applyFont="1" applyFill="1" applyBorder="1" applyAlignment="1">
      <alignment vertical="center"/>
    </xf>
    <xf numFmtId="3" fontId="31" fillId="23" borderId="177" xfId="4" applyNumberFormat="1" applyFont="1" applyFill="1" applyBorder="1" applyAlignment="1">
      <alignment vertical="center"/>
    </xf>
    <xf numFmtId="0" fontId="28" fillId="55" borderId="178" xfId="0" quotePrefix="1" applyFont="1" applyFill="1" applyBorder="1" applyAlignment="1">
      <alignment horizontal="center" vertical="top"/>
    </xf>
    <xf numFmtId="3" fontId="27" fillId="55" borderId="176" xfId="0" quotePrefix="1" applyNumberFormat="1" applyFont="1" applyFill="1" applyBorder="1" applyAlignment="1">
      <alignment horizontal="right" vertical="top"/>
    </xf>
    <xf numFmtId="43" fontId="27" fillId="55" borderId="176" xfId="1" quotePrefix="1" applyFont="1" applyFill="1" applyBorder="1" applyAlignment="1">
      <alignment horizontal="right" vertical="top"/>
    </xf>
    <xf numFmtId="0" fontId="25" fillId="6" borderId="176" xfId="0" applyFont="1" applyFill="1" applyBorder="1" applyAlignment="1">
      <alignment vertical="center"/>
    </xf>
    <xf numFmtId="3" fontId="25" fillId="6" borderId="180" xfId="0" applyNumberFormat="1" applyFont="1" applyFill="1" applyBorder="1" applyAlignment="1">
      <alignment vertical="center"/>
    </xf>
    <xf numFmtId="43" fontId="25" fillId="6" borderId="185" xfId="1" applyFont="1" applyFill="1" applyBorder="1" applyAlignment="1">
      <alignment vertical="center"/>
    </xf>
    <xf numFmtId="3" fontId="25" fillId="6" borderId="185" xfId="0" applyNumberFormat="1" applyFont="1" applyFill="1" applyBorder="1" applyAlignment="1">
      <alignment vertical="center"/>
    </xf>
    <xf numFmtId="0" fontId="27" fillId="8" borderId="176" xfId="4" applyFont="1" applyFill="1" applyBorder="1" applyAlignment="1">
      <alignment horizontal="left" vertical="center"/>
    </xf>
    <xf numFmtId="3" fontId="27" fillId="8" borderId="177" xfId="4" applyNumberFormat="1" applyFont="1" applyFill="1" applyBorder="1" applyAlignment="1">
      <alignment vertical="top"/>
    </xf>
    <xf numFmtId="43" fontId="27" fillId="8" borderId="177" xfId="1" applyFont="1" applyFill="1" applyBorder="1" applyAlignment="1">
      <alignment vertical="top"/>
    </xf>
    <xf numFmtId="0" fontId="7" fillId="8" borderId="176" xfId="4" applyFont="1" applyFill="1" applyBorder="1" applyAlignment="1">
      <alignment vertical="top"/>
    </xf>
    <xf numFmtId="3" fontId="7" fillId="8" borderId="177" xfId="4" applyNumberFormat="1" applyFont="1" applyFill="1" applyBorder="1" applyAlignment="1">
      <alignment vertical="top"/>
    </xf>
    <xf numFmtId="43" fontId="7" fillId="8" borderId="177" xfId="1" applyFont="1" applyFill="1" applyBorder="1" applyAlignment="1">
      <alignment vertical="top"/>
    </xf>
    <xf numFmtId="3" fontId="7" fillId="25" borderId="177" xfId="4" applyNumberFormat="1" applyFont="1" applyFill="1" applyBorder="1" applyAlignment="1">
      <alignment vertical="top"/>
    </xf>
    <xf numFmtId="0" fontId="7" fillId="8" borderId="176" xfId="4" applyFont="1" applyFill="1" applyBorder="1" applyAlignment="1">
      <alignment vertical="center"/>
    </xf>
    <xf numFmtId="3" fontId="7" fillId="8" borderId="177" xfId="4" applyNumberFormat="1" applyFont="1" applyFill="1" applyBorder="1" applyAlignment="1">
      <alignment vertical="center"/>
    </xf>
    <xf numFmtId="43" fontId="31" fillId="8" borderId="177" xfId="1" applyFont="1" applyFill="1" applyBorder="1" applyAlignment="1">
      <alignment vertical="center"/>
    </xf>
    <xf numFmtId="43" fontId="7" fillId="8" borderId="177" xfId="1" applyFont="1" applyFill="1" applyBorder="1" applyAlignment="1">
      <alignment vertical="center"/>
    </xf>
    <xf numFmtId="0" fontId="7" fillId="8" borderId="178" xfId="4" applyFont="1" applyFill="1" applyBorder="1" applyAlignment="1">
      <alignment vertical="top"/>
    </xf>
    <xf numFmtId="3" fontId="31" fillId="8" borderId="177" xfId="4" applyNumberFormat="1" applyFont="1" applyFill="1" applyBorder="1" applyAlignment="1">
      <alignment vertical="top"/>
    </xf>
    <xf numFmtId="43" fontId="31" fillId="8" borderId="177" xfId="1" applyFont="1" applyFill="1" applyBorder="1" applyAlignment="1">
      <alignment vertical="top"/>
    </xf>
    <xf numFmtId="0" fontId="7" fillId="8" borderId="188" xfId="4" applyFont="1" applyFill="1" applyBorder="1" applyAlignment="1">
      <alignment vertical="top"/>
    </xf>
    <xf numFmtId="3" fontId="31" fillId="8" borderId="187" xfId="4" applyNumberFormat="1" applyFont="1" applyFill="1" applyBorder="1" applyAlignment="1">
      <alignment vertical="top"/>
    </xf>
    <xf numFmtId="3" fontId="25" fillId="6" borderId="178" xfId="4" applyNumberFormat="1" applyFont="1" applyFill="1" applyBorder="1" applyAlignment="1">
      <alignment vertical="center"/>
    </xf>
    <xf numFmtId="3" fontId="25" fillId="22" borderId="177" xfId="4" applyNumberFormat="1" applyFont="1" applyFill="1" applyBorder="1" applyAlignment="1">
      <alignment vertical="center"/>
    </xf>
    <xf numFmtId="3" fontId="31" fillId="0" borderId="177" xfId="4" applyNumberFormat="1" applyFont="1" applyFill="1" applyBorder="1" applyAlignment="1">
      <alignment horizontal="right" vertical="center"/>
    </xf>
    <xf numFmtId="43" fontId="7" fillId="0" borderId="177" xfId="1" applyFont="1" applyFill="1" applyBorder="1" applyAlignment="1">
      <alignment vertical="top"/>
    </xf>
    <xf numFmtId="3" fontId="31" fillId="0" borderId="187" xfId="4" applyNumberFormat="1" applyFont="1" applyFill="1" applyBorder="1" applyAlignment="1"/>
    <xf numFmtId="3" fontId="31" fillId="0" borderId="187" xfId="4" applyNumberFormat="1" applyFont="1" applyFill="1" applyBorder="1" applyAlignment="1">
      <alignment horizontal="right" vertical="center"/>
    </xf>
    <xf numFmtId="3" fontId="29" fillId="0" borderId="187" xfId="4" applyNumberFormat="1" applyFont="1" applyFill="1" applyBorder="1" applyAlignment="1">
      <alignment horizontal="right" vertical="center"/>
    </xf>
    <xf numFmtId="43" fontId="33" fillId="0" borderId="171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6" borderId="0" xfId="0" applyNumberFormat="1" applyFont="1" applyFill="1" applyBorder="1" applyAlignment="1">
      <alignment vertical="top"/>
    </xf>
    <xf numFmtId="0" fontId="29" fillId="0" borderId="115" xfId="4" applyFont="1" applyFill="1" applyBorder="1" applyAlignment="1">
      <alignment vertical="center"/>
    </xf>
    <xf numFmtId="3" fontId="31" fillId="0" borderId="177" xfId="4" applyNumberFormat="1" applyFont="1" applyFill="1" applyBorder="1" applyAlignment="1">
      <alignment vertical="top"/>
    </xf>
    <xf numFmtId="3" fontId="7" fillId="8" borderId="180" xfId="4" applyNumberFormat="1" applyFont="1" applyFill="1" applyBorder="1" applyAlignment="1">
      <alignment vertical="center" wrapText="1"/>
    </xf>
    <xf numFmtId="3" fontId="7" fillId="8" borderId="177" xfId="0" applyNumberFormat="1" applyFont="1" applyFill="1" applyBorder="1" applyAlignment="1">
      <alignment vertical="center"/>
    </xf>
    <xf numFmtId="3" fontId="32" fillId="8" borderId="176" xfId="6" applyNumberFormat="1" applyFont="1" applyFill="1" applyBorder="1" applyAlignment="1">
      <alignment vertical="center"/>
    </xf>
    <xf numFmtId="3" fontId="27" fillId="0" borderId="173" xfId="4" applyNumberFormat="1" applyFont="1" applyFill="1" applyBorder="1" applyAlignment="1">
      <alignment horizontal="right" vertical="center"/>
    </xf>
    <xf numFmtId="43" fontId="7" fillId="0" borderId="168" xfId="1" applyFont="1" applyFill="1" applyBorder="1" applyAlignment="1">
      <alignment horizontal="right" vertical="center"/>
    </xf>
    <xf numFmtId="43" fontId="7" fillId="0" borderId="168" xfId="1" applyNumberFormat="1" applyFont="1" applyFill="1" applyBorder="1" applyAlignment="1">
      <alignment horizontal="right" vertical="center"/>
    </xf>
    <xf numFmtId="43" fontId="27" fillId="0" borderId="168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0" fontId="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2" fillId="38" borderId="0" xfId="0" applyNumberFormat="1" applyFont="1" applyFill="1" applyBorder="1" applyAlignment="1">
      <alignment vertical="center" wrapText="1"/>
    </xf>
    <xf numFmtId="3" fontId="62" fillId="39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vertical="center" wrapText="1"/>
    </xf>
    <xf numFmtId="3" fontId="62" fillId="41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horizontal="center" vertical="center" wrapText="1"/>
    </xf>
    <xf numFmtId="3" fontId="82" fillId="40" borderId="0" xfId="0" applyNumberFormat="1" applyFont="1" applyFill="1" applyBorder="1" applyAlignment="1">
      <alignment vertical="center" wrapText="1"/>
    </xf>
    <xf numFmtId="3" fontId="82" fillId="40" borderId="0" xfId="0" applyNumberFormat="1" applyFont="1" applyFill="1" applyBorder="1" applyAlignment="1">
      <alignment horizontal="center" vertical="center" wrapText="1"/>
    </xf>
    <xf numFmtId="164" fontId="62" fillId="38" borderId="0" xfId="0" applyNumberFormat="1" applyFont="1" applyFill="1" applyBorder="1" applyAlignment="1">
      <alignment vertical="center" wrapText="1"/>
    </xf>
    <xf numFmtId="164" fontId="8" fillId="0" borderId="0" xfId="0" applyNumberFormat="1" applyFont="1" applyBorder="1"/>
    <xf numFmtId="3" fontId="27" fillId="21" borderId="72" xfId="4" applyNumberFormat="1" applyFont="1" applyFill="1" applyBorder="1" applyAlignment="1">
      <alignment horizontal="right" vertical="center"/>
    </xf>
    <xf numFmtId="3" fontId="27" fillId="21" borderId="186" xfId="4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>
      <alignment vertical="center"/>
    </xf>
    <xf numFmtId="43" fontId="38" fillId="62" borderId="177" xfId="1" applyFont="1" applyFill="1" applyBorder="1" applyAlignment="1">
      <alignment horizontal="right" vertical="center"/>
    </xf>
    <xf numFmtId="0" fontId="39" fillId="0" borderId="177" xfId="0" applyFont="1" applyBorder="1"/>
    <xf numFmtId="43" fontId="24" fillId="32" borderId="177" xfId="1" applyFont="1" applyFill="1" applyBorder="1" applyAlignment="1"/>
    <xf numFmtId="3" fontId="31" fillId="32" borderId="177" xfId="4" applyNumberFormat="1" applyFont="1" applyFill="1" applyBorder="1" applyAlignment="1"/>
    <xf numFmtId="41" fontId="24" fillId="6" borderId="176" xfId="4" applyNumberFormat="1" applyFont="1" applyFill="1" applyBorder="1" applyAlignment="1">
      <alignment vertical="center"/>
    </xf>
    <xf numFmtId="41" fontId="33" fillId="0" borderId="177" xfId="6" applyNumberFormat="1" applyFont="1" applyFill="1" applyBorder="1" applyAlignment="1">
      <alignment vertical="center"/>
    </xf>
    <xf numFmtId="41" fontId="7" fillId="0" borderId="187" xfId="4" applyNumberFormat="1" applyFont="1" applyFill="1" applyBorder="1" applyAlignment="1">
      <alignment horizontal="right" vertical="center"/>
    </xf>
    <xf numFmtId="43" fontId="24" fillId="6" borderId="176" xfId="1" applyNumberFormat="1" applyFont="1" applyFill="1" applyBorder="1" applyAlignment="1">
      <alignment vertical="center"/>
    </xf>
    <xf numFmtId="43" fontId="7" fillId="0" borderId="168" xfId="4" applyNumberFormat="1" applyFont="1" applyFill="1" applyBorder="1" applyAlignment="1">
      <alignment horizontal="right" vertical="center"/>
    </xf>
    <xf numFmtId="166" fontId="31" fillId="0" borderId="168" xfId="4" applyNumberFormat="1" applyFont="1" applyFill="1" applyBorder="1" applyAlignment="1">
      <alignment vertical="center"/>
    </xf>
    <xf numFmtId="166" fontId="7" fillId="0" borderId="168" xfId="1" applyNumberFormat="1" applyFont="1" applyFill="1" applyBorder="1" applyAlignment="1">
      <alignment horizontal="right" vertical="center"/>
    </xf>
    <xf numFmtId="43" fontId="27" fillId="0" borderId="168" xfId="1" applyNumberFormat="1" applyFont="1" applyFill="1" applyBorder="1" applyAlignment="1">
      <alignment horizontal="right" vertical="center"/>
    </xf>
    <xf numFmtId="43" fontId="27" fillId="0" borderId="168" xfId="4" applyNumberFormat="1" applyFont="1" applyFill="1" applyBorder="1" applyAlignment="1">
      <alignment horizontal="right" vertical="center"/>
    </xf>
    <xf numFmtId="3" fontId="24" fillId="6" borderId="176" xfId="1" applyNumberFormat="1" applyFont="1" applyFill="1" applyBorder="1" applyAlignment="1">
      <alignment vertical="center"/>
    </xf>
    <xf numFmtId="166" fontId="27" fillId="0" borderId="168" xfId="1" applyNumberFormat="1" applyFont="1" applyFill="1" applyBorder="1" applyAlignment="1">
      <alignment horizontal="right" vertical="center"/>
    </xf>
    <xf numFmtId="43" fontId="33" fillId="0" borderId="177" xfId="1" applyNumberFormat="1" applyFont="1" applyFill="1" applyBorder="1" applyAlignment="1">
      <alignment vertical="center"/>
    </xf>
    <xf numFmtId="166" fontId="7" fillId="0" borderId="176" xfId="1" applyNumberFormat="1" applyFont="1" applyFill="1" applyBorder="1" applyAlignment="1">
      <alignment horizontal="right" vertical="center"/>
    </xf>
    <xf numFmtId="43" fontId="7" fillId="0" borderId="177" xfId="1" applyNumberFormat="1" applyFont="1" applyFill="1" applyBorder="1" applyAlignment="1">
      <alignment horizontal="right" vertical="center"/>
    </xf>
    <xf numFmtId="43" fontId="7" fillId="0" borderId="176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187" xfId="1" applyNumberFormat="1" applyFont="1" applyFill="1" applyBorder="1" applyAlignment="1">
      <alignment horizontal="right" vertical="center"/>
    </xf>
    <xf numFmtId="43" fontId="7" fillId="0" borderId="187" xfId="4" applyNumberFormat="1" applyFont="1" applyFill="1" applyBorder="1" applyAlignment="1">
      <alignment horizontal="right" vertical="center"/>
    </xf>
    <xf numFmtId="3" fontId="8" fillId="6" borderId="176" xfId="0" applyNumberFormat="1" applyFont="1" applyFill="1" applyBorder="1"/>
    <xf numFmtId="3" fontId="8" fillId="8" borderId="176" xfId="0" applyNumberFormat="1" applyFont="1" applyFill="1" applyBorder="1"/>
    <xf numFmtId="3" fontId="65" fillId="17" borderId="9" xfId="0" applyNumberFormat="1" applyFont="1" applyFill="1" applyBorder="1"/>
    <xf numFmtId="3" fontId="6" fillId="11" borderId="176" xfId="0" applyNumberFormat="1" applyFont="1" applyFill="1" applyBorder="1"/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6" fillId="11" borderId="74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8" fillId="18" borderId="25" xfId="0" applyNumberFormat="1" applyFont="1" applyFill="1" applyBorder="1"/>
    <xf numFmtId="3" fontId="38" fillId="0" borderId="177" xfId="4" applyNumberFormat="1" applyFont="1" applyFill="1" applyBorder="1" applyAlignment="1">
      <alignment horizontal="right" vertical="center"/>
    </xf>
    <xf numFmtId="0" fontId="39" fillId="0" borderId="167" xfId="0" applyFont="1" applyBorder="1"/>
    <xf numFmtId="3" fontId="37" fillId="0" borderId="177" xfId="0" applyNumberFormat="1" applyFont="1" applyBorder="1"/>
    <xf numFmtId="3" fontId="8" fillId="0" borderId="177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3" fillId="6" borderId="152" xfId="6" applyNumberFormat="1" applyFont="1" applyFill="1" applyBorder="1" applyAlignment="1">
      <alignment horizontal="right" vertical="center"/>
    </xf>
    <xf numFmtId="43" fontId="23" fillId="6" borderId="152" xfId="1" applyFont="1" applyFill="1" applyBorder="1" applyAlignment="1">
      <alignment horizontal="right" vertical="center"/>
    </xf>
    <xf numFmtId="3" fontId="25" fillId="22" borderId="162" xfId="4" applyNumberFormat="1" applyFont="1" applyFill="1" applyBorder="1" applyAlignment="1">
      <alignment horizontal="right" vertical="center"/>
    </xf>
    <xf numFmtId="3" fontId="33" fillId="0" borderId="152" xfId="6" applyNumberFormat="1" applyFont="1" applyFill="1" applyBorder="1" applyAlignment="1">
      <alignment horizontal="right" vertical="center"/>
    </xf>
    <xf numFmtId="43" fontId="33" fillId="0" borderId="152" xfId="1" applyFont="1" applyFill="1" applyBorder="1" applyAlignment="1">
      <alignment horizontal="right" vertical="center"/>
    </xf>
    <xf numFmtId="43" fontId="31" fillId="0" borderId="152" xfId="1" applyFont="1" applyFill="1" applyBorder="1" applyAlignment="1">
      <alignment horizontal="right" vertical="center"/>
    </xf>
    <xf numFmtId="3" fontId="7" fillId="0" borderId="152" xfId="0" applyNumberFormat="1" applyFont="1" applyFill="1" applyBorder="1" applyAlignment="1">
      <alignment vertical="top"/>
    </xf>
    <xf numFmtId="3" fontId="27" fillId="0" borderId="162" xfId="4" applyNumberFormat="1" applyFont="1" applyFill="1" applyBorder="1" applyAlignment="1">
      <alignment horizontal="right" vertical="center"/>
    </xf>
    <xf numFmtId="3" fontId="31" fillId="0" borderId="162" xfId="4" applyNumberFormat="1" applyFont="1" applyFill="1" applyBorder="1" applyAlignment="1">
      <alignment vertical="center"/>
    </xf>
    <xf numFmtId="3" fontId="31" fillId="23" borderId="187" xfId="4" applyNumberFormat="1" applyFont="1" applyFill="1" applyBorder="1" applyAlignment="1">
      <alignment vertical="center"/>
    </xf>
    <xf numFmtId="3" fontId="31" fillId="0" borderId="152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3" fontId="25" fillId="6" borderId="162" xfId="4" applyNumberFormat="1" applyFont="1" applyFill="1" applyBorder="1" applyAlignment="1">
      <alignment vertical="center"/>
    </xf>
    <xf numFmtId="3" fontId="24" fillId="6" borderId="162" xfId="4" applyNumberFormat="1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3" fontId="29" fillId="2" borderId="152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vertical="center"/>
    </xf>
    <xf numFmtId="3" fontId="31" fillId="0" borderId="129" xfId="4" applyNumberFormat="1" applyFont="1" applyFill="1" applyBorder="1" applyAlignment="1">
      <alignment horizontal="right" vertical="center"/>
    </xf>
    <xf numFmtId="0" fontId="24" fillId="6" borderId="177" xfId="4" applyFont="1" applyFill="1" applyBorder="1" applyAlignment="1">
      <alignment horizontal="left" vertical="center"/>
    </xf>
    <xf numFmtId="3" fontId="29" fillId="2" borderId="177" xfId="4" applyNumberFormat="1" applyFont="1" applyFill="1" applyBorder="1" applyAlignment="1">
      <alignment vertical="top" wrapText="1"/>
    </xf>
    <xf numFmtId="0" fontId="7" fillId="0" borderId="177" xfId="4" applyFont="1" applyFill="1" applyBorder="1" applyAlignment="1">
      <alignment vertical="top"/>
    </xf>
    <xf numFmtId="0" fontId="29" fillId="2" borderId="177" xfId="4" applyFont="1" applyFill="1" applyBorder="1" applyAlignment="1">
      <alignment vertical="top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5" fillId="6" borderId="167" xfId="4" applyNumberFormat="1" applyFont="1" applyFill="1" applyBorder="1" applyAlignment="1">
      <alignment horizontal="right" vertical="center"/>
    </xf>
    <xf numFmtId="3" fontId="24" fillId="6" borderId="177" xfId="4" applyNumberFormat="1" applyFont="1" applyFill="1" applyBorder="1" applyAlignment="1">
      <alignment horizontal="right" vertical="center"/>
    </xf>
    <xf numFmtId="3" fontId="29" fillId="2" borderId="177" xfId="4" applyNumberFormat="1" applyFont="1" applyFill="1" applyBorder="1" applyAlignment="1">
      <alignment vertical="center" wrapText="1"/>
    </xf>
    <xf numFmtId="0" fontId="7" fillId="0" borderId="187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77" xfId="0" applyNumberFormat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vertical="top"/>
    </xf>
    <xf numFmtId="3" fontId="38" fillId="0" borderId="151" xfId="0" applyNumberFormat="1" applyFont="1" applyFill="1" applyBorder="1" applyAlignment="1">
      <alignment vertical="center"/>
    </xf>
    <xf numFmtId="3" fontId="38" fillId="0" borderId="112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2" xfId="0" applyNumberFormat="1" applyFont="1" applyFill="1" applyBorder="1" applyAlignment="1">
      <alignment horizontal="right" vertical="center"/>
    </xf>
    <xf numFmtId="3" fontId="27" fillId="0" borderId="162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0" fontId="31" fillId="6" borderId="177" xfId="0" applyFont="1" applyFill="1" applyBorder="1" applyAlignment="1">
      <alignment vertical="top"/>
    </xf>
    <xf numFmtId="3" fontId="27" fillId="0" borderId="177" xfId="4" applyNumberFormat="1" applyFont="1" applyFill="1" applyBorder="1" applyAlignment="1">
      <alignment vertical="top" wrapText="1"/>
    </xf>
    <xf numFmtId="0" fontId="32" fillId="0" borderId="177" xfId="0" applyFont="1" applyBorder="1"/>
    <xf numFmtId="3" fontId="31" fillId="2" borderId="177" xfId="0" applyNumberFormat="1" applyFont="1" applyFill="1" applyBorder="1" applyAlignment="1">
      <alignment vertical="top"/>
    </xf>
    <xf numFmtId="0" fontId="32" fillId="0" borderId="177" xfId="0" applyFont="1" applyBorder="1" applyAlignment="1">
      <alignment vertical="center"/>
    </xf>
    <xf numFmtId="3" fontId="31" fillId="2" borderId="177" xfId="0" applyNumberFormat="1" applyFont="1" applyFill="1" applyBorder="1" applyAlignment="1">
      <alignment vertical="center"/>
    </xf>
    <xf numFmtId="0" fontId="33" fillId="0" borderId="177" xfId="0" applyFont="1" applyBorder="1" applyAlignment="1">
      <alignment vertical="center"/>
    </xf>
    <xf numFmtId="0" fontId="31" fillId="6" borderId="177" xfId="0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3" xfId="4" applyNumberFormat="1" applyFont="1" applyFill="1" applyBorder="1" applyAlignment="1">
      <alignment vertical="center"/>
    </xf>
    <xf numFmtId="43" fontId="31" fillId="0" borderId="193" xfId="1" applyFont="1" applyFill="1" applyBorder="1" applyAlignment="1"/>
    <xf numFmtId="3" fontId="31" fillId="23" borderId="35" xfId="0" applyNumberFormat="1" applyFont="1" applyFill="1" applyBorder="1" applyAlignment="1">
      <alignment vertical="top"/>
    </xf>
    <xf numFmtId="0" fontId="24" fillId="8" borderId="19" xfId="4" applyFont="1" applyFill="1" applyBorder="1" applyAlignment="1">
      <alignment horizontal="left" vertical="center" wrapText="1"/>
    </xf>
    <xf numFmtId="3" fontId="31" fillId="0" borderId="129" xfId="4" applyNumberFormat="1" applyFont="1" applyFill="1" applyBorder="1" applyAlignment="1">
      <alignment vertical="top"/>
    </xf>
    <xf numFmtId="3" fontId="7" fillId="0" borderId="153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77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6" xfId="1" applyNumberFormat="1" applyFont="1" applyFill="1" applyBorder="1" applyAlignment="1">
      <alignment horizontal="right" vertical="center"/>
    </xf>
    <xf numFmtId="3" fontId="27" fillId="0" borderId="173" xfId="1" applyNumberFormat="1" applyFont="1" applyFill="1" applyBorder="1" applyAlignment="1">
      <alignment horizontal="right" vertical="center"/>
    </xf>
    <xf numFmtId="43" fontId="27" fillId="0" borderId="173" xfId="1" applyFont="1" applyFill="1" applyBorder="1" applyAlignment="1">
      <alignment horizontal="right" vertical="center"/>
    </xf>
    <xf numFmtId="43" fontId="31" fillId="0" borderId="176" xfId="1" applyFont="1" applyFill="1" applyBorder="1" applyAlignment="1"/>
    <xf numFmtId="3" fontId="31" fillId="0" borderId="176" xfId="1" applyNumberFormat="1" applyFont="1" applyFill="1" applyBorder="1" applyAlignment="1">
      <alignment horizontal="right"/>
    </xf>
    <xf numFmtId="3" fontId="33" fillId="0" borderId="177" xfId="1" applyNumberFormat="1" applyFont="1" applyFill="1" applyBorder="1" applyAlignment="1">
      <alignment horizontal="right" vertical="center"/>
    </xf>
    <xf numFmtId="3" fontId="31" fillId="2" borderId="187" xfId="0" applyNumberFormat="1" applyFont="1" applyFill="1" applyBorder="1" applyAlignment="1">
      <alignment vertical="center"/>
    </xf>
    <xf numFmtId="43" fontId="27" fillId="2" borderId="177" xfId="1" applyFont="1" applyFill="1" applyBorder="1" applyAlignment="1">
      <alignment vertical="center"/>
    </xf>
    <xf numFmtId="3" fontId="17" fillId="6" borderId="178" xfId="4" applyNumberFormat="1" applyFont="1" applyFill="1" applyBorder="1" applyAlignment="1">
      <alignment vertical="center"/>
    </xf>
    <xf numFmtId="3" fontId="7" fillId="0" borderId="187" xfId="4" applyNumberFormat="1" applyFont="1" applyFill="1" applyBorder="1" applyAlignment="1"/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77" xfId="1" applyFont="1" applyFill="1" applyBorder="1" applyAlignment="1">
      <alignment horizontal="right" vertical="center"/>
    </xf>
    <xf numFmtId="3" fontId="7" fillId="0" borderId="187" xfId="0" applyNumberFormat="1" applyFont="1" applyFill="1" applyBorder="1" applyAlignment="1">
      <alignment vertical="top"/>
    </xf>
    <xf numFmtId="43" fontId="7" fillId="0" borderId="187" xfId="1" applyFont="1" applyFill="1" applyBorder="1" applyAlignment="1">
      <alignment vertical="top"/>
    </xf>
    <xf numFmtId="3" fontId="7" fillId="25" borderId="187" xfId="4" applyNumberFormat="1" applyFont="1" applyFill="1" applyBorder="1" applyAlignment="1">
      <alignment vertical="top"/>
    </xf>
    <xf numFmtId="3" fontId="7" fillId="0" borderId="177" xfId="0" applyNumberFormat="1" applyFont="1" applyFill="1" applyBorder="1" applyAlignment="1">
      <alignment vertical="top"/>
    </xf>
    <xf numFmtId="3" fontId="24" fillId="34" borderId="177" xfId="4" applyNumberFormat="1" applyFont="1" applyFill="1" applyBorder="1" applyAlignment="1">
      <alignment horizontal="center" vertical="center"/>
    </xf>
    <xf numFmtId="3" fontId="7" fillId="0" borderId="185" xfId="4" applyNumberFormat="1" applyFont="1" applyFill="1" applyBorder="1" applyAlignment="1">
      <alignment vertical="top"/>
    </xf>
    <xf numFmtId="0" fontId="37" fillId="0" borderId="177" xfId="0" applyFont="1" applyBorder="1" applyAlignment="1">
      <alignment vertical="center"/>
    </xf>
    <xf numFmtId="0" fontId="39" fillId="0" borderId="177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3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7" fillId="0" borderId="187" xfId="4" applyFont="1" applyFill="1" applyBorder="1" applyAlignment="1">
      <alignment vertical="top"/>
    </xf>
    <xf numFmtId="3" fontId="27" fillId="23" borderId="177" xfId="4" applyNumberFormat="1" applyFont="1" applyFill="1" applyBorder="1" applyAlignment="1">
      <alignment horizontal="right" vertical="center"/>
    </xf>
    <xf numFmtId="3" fontId="7" fillId="25" borderId="177" xfId="4" applyNumberFormat="1" applyFont="1" applyFill="1" applyBorder="1" applyAlignment="1">
      <alignment horizontal="right" vertical="center"/>
    </xf>
    <xf numFmtId="3" fontId="32" fillId="0" borderId="193" xfId="6" applyNumberFormat="1" applyFont="1" applyFill="1" applyBorder="1" applyAlignment="1">
      <alignment vertical="center"/>
    </xf>
    <xf numFmtId="0" fontId="65" fillId="0" borderId="185" xfId="0" applyFont="1" applyBorder="1" applyAlignment="1">
      <alignment horizontal="center" vertical="center"/>
    </xf>
    <xf numFmtId="0" fontId="65" fillId="0" borderId="173" xfId="0" applyFont="1" applyBorder="1" applyAlignment="1">
      <alignment horizontal="center" vertical="center"/>
    </xf>
    <xf numFmtId="0" fontId="65" fillId="0" borderId="173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7" xfId="0" applyNumberFormat="1" applyFont="1" applyFill="1" applyBorder="1"/>
    <xf numFmtId="3" fontId="6" fillId="6" borderId="177" xfId="0" applyNumberFormat="1" applyFont="1" applyFill="1" applyBorder="1"/>
    <xf numFmtId="0" fontId="6" fillId="0" borderId="195" xfId="0" applyFont="1" applyFill="1" applyBorder="1" applyAlignment="1">
      <alignment vertical="center" wrapText="1"/>
    </xf>
    <xf numFmtId="0" fontId="31" fillId="55" borderId="195" xfId="4" applyFont="1" applyFill="1" applyBorder="1" applyAlignment="1">
      <alignment horizontal="left" vertical="center"/>
    </xf>
    <xf numFmtId="0" fontId="27" fillId="2" borderId="195" xfId="4" applyFont="1" applyFill="1" applyBorder="1" applyAlignment="1">
      <alignment vertical="top"/>
    </xf>
    <xf numFmtId="3" fontId="27" fillId="0" borderId="152" xfId="0" applyNumberFormat="1" applyFont="1" applyFill="1" applyBorder="1" applyAlignment="1">
      <alignment vertical="top"/>
    </xf>
    <xf numFmtId="3" fontId="27" fillId="25" borderId="162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77" xfId="0" applyFont="1" applyBorder="1" applyAlignment="1">
      <alignment vertical="center"/>
    </xf>
    <xf numFmtId="3" fontId="8" fillId="0" borderId="177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5" xfId="4" applyFont="1" applyFill="1" applyBorder="1" applyAlignment="1">
      <alignment vertical="top"/>
    </xf>
    <xf numFmtId="3" fontId="27" fillId="8" borderId="162" xfId="4" applyNumberFormat="1" applyFont="1" applyFill="1" applyBorder="1" applyAlignment="1">
      <alignment vertical="top"/>
    </xf>
    <xf numFmtId="0" fontId="7" fillId="8" borderId="195" xfId="4" applyFont="1" applyFill="1" applyBorder="1" applyAlignment="1">
      <alignment vertical="top" wrapText="1"/>
    </xf>
    <xf numFmtId="3" fontId="7" fillId="8" borderId="162" xfId="4" applyNumberFormat="1" applyFont="1" applyFill="1" applyBorder="1" applyAlignment="1">
      <alignment vertical="top"/>
    </xf>
    <xf numFmtId="0" fontId="7" fillId="8" borderId="195" xfId="4" applyFont="1" applyFill="1" applyBorder="1" applyAlignment="1">
      <alignment vertical="top"/>
    </xf>
    <xf numFmtId="0" fontId="31" fillId="8" borderId="193" xfId="4" applyFont="1" applyFill="1" applyBorder="1" applyAlignment="1">
      <alignment horizontal="left" vertical="center"/>
    </xf>
    <xf numFmtId="3" fontId="7" fillId="8" borderId="187" xfId="4" applyNumberFormat="1" applyFont="1" applyFill="1" applyBorder="1" applyAlignment="1">
      <alignment vertical="top"/>
    </xf>
    <xf numFmtId="0" fontId="24" fillId="6" borderId="195" xfId="4" applyFont="1" applyFill="1" applyBorder="1" applyAlignment="1">
      <alignment horizontal="left" vertical="center"/>
    </xf>
    <xf numFmtId="3" fontId="24" fillId="22" borderId="162" xfId="4" applyNumberFormat="1" applyFont="1" applyFill="1" applyBorder="1" applyAlignment="1">
      <alignment vertical="center"/>
    </xf>
    <xf numFmtId="0" fontId="29" fillId="0" borderId="195" xfId="4" applyFont="1" applyFill="1" applyBorder="1" applyAlignment="1">
      <alignment vertical="top"/>
    </xf>
    <xf numFmtId="3" fontId="29" fillId="0" borderId="162" xfId="4" applyNumberFormat="1" applyFont="1" applyFill="1" applyBorder="1" applyAlignment="1">
      <alignment horizontal="right" vertical="center"/>
    </xf>
    <xf numFmtId="3" fontId="29" fillId="25" borderId="162" xfId="4" applyNumberFormat="1" applyFont="1" applyFill="1" applyBorder="1" applyAlignment="1">
      <alignment horizontal="right" vertical="center"/>
    </xf>
    <xf numFmtId="0" fontId="7" fillId="0" borderId="195" xfId="4" applyFont="1" applyFill="1" applyBorder="1" applyAlignment="1">
      <alignment vertical="top"/>
    </xf>
    <xf numFmtId="3" fontId="7" fillId="0" borderId="162" xfId="4" applyNumberFormat="1" applyFont="1" applyFill="1" applyBorder="1" applyAlignment="1"/>
    <xf numFmtId="3" fontId="7" fillId="0" borderId="162" xfId="4" applyNumberFormat="1" applyFont="1" applyFill="1" applyBorder="1" applyAlignment="1">
      <alignment vertical="top"/>
    </xf>
    <xf numFmtId="3" fontId="7" fillId="25" borderId="162" xfId="4" applyNumberFormat="1" applyFont="1" applyFill="1" applyBorder="1" applyAlignment="1">
      <alignment vertical="center"/>
    </xf>
    <xf numFmtId="0" fontId="7" fillId="32" borderId="195" xfId="4" applyFont="1" applyFill="1" applyBorder="1" applyAlignment="1">
      <alignment vertical="top"/>
    </xf>
    <xf numFmtId="0" fontId="29" fillId="0" borderId="195" xfId="4" applyFont="1" applyFill="1" applyBorder="1" applyAlignment="1">
      <alignment horizontal="left" vertical="center"/>
    </xf>
    <xf numFmtId="0" fontId="29" fillId="8" borderId="178" xfId="4" applyFont="1" applyFill="1" applyBorder="1" applyAlignment="1">
      <alignment vertical="center"/>
    </xf>
    <xf numFmtId="3" fontId="29" fillId="23" borderId="162" xfId="4" applyNumberFormat="1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vertical="center" wrapText="1"/>
    </xf>
    <xf numFmtId="3" fontId="27" fillId="23" borderId="162" xfId="4" applyNumberFormat="1" applyFont="1" applyFill="1" applyBorder="1" applyAlignment="1">
      <alignment vertical="center"/>
    </xf>
    <xf numFmtId="0" fontId="7" fillId="8" borderId="178" xfId="4" applyFont="1" applyFill="1" applyBorder="1" applyAlignment="1">
      <alignment vertical="center" wrapText="1"/>
    </xf>
    <xf numFmtId="0" fontId="7" fillId="8" borderId="195" xfId="4" applyFont="1" applyFill="1" applyBorder="1" applyAlignment="1">
      <alignment vertical="center" wrapText="1"/>
    </xf>
    <xf numFmtId="0" fontId="25" fillId="6" borderId="195" xfId="4" applyFont="1" applyFill="1" applyBorder="1" applyAlignment="1">
      <alignment horizontal="left" vertical="center"/>
    </xf>
    <xf numFmtId="3" fontId="27" fillId="8" borderId="195" xfId="4" applyNumberFormat="1" applyFont="1" applyFill="1" applyBorder="1" applyAlignment="1">
      <alignment vertical="center" wrapText="1"/>
    </xf>
    <xf numFmtId="3" fontId="27" fillId="8" borderId="178" xfId="4" applyNumberFormat="1" applyFont="1" applyFill="1" applyBorder="1" applyAlignment="1">
      <alignment vertical="center" wrapText="1"/>
    </xf>
    <xf numFmtId="0" fontId="27" fillId="8" borderId="195" xfId="4" applyFont="1" applyFill="1" applyBorder="1" applyAlignment="1">
      <alignment vertical="center"/>
    </xf>
    <xf numFmtId="0" fontId="27" fillId="8" borderId="178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0" fontId="27" fillId="13" borderId="178" xfId="4" applyFont="1" applyFill="1" applyBorder="1" applyAlignment="1">
      <alignment vertical="center"/>
    </xf>
    <xf numFmtId="3" fontId="32" fillId="13" borderId="193" xfId="6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31" fillId="8" borderId="187" xfId="0" applyNumberFormat="1" applyFont="1" applyFill="1" applyBorder="1" applyAlignment="1">
      <alignment vertical="center"/>
    </xf>
    <xf numFmtId="3" fontId="31" fillId="8" borderId="193" xfId="0" applyNumberFormat="1" applyFont="1" applyFill="1" applyBorder="1" applyAlignment="1">
      <alignment vertical="center"/>
    </xf>
    <xf numFmtId="3" fontId="27" fillId="2" borderId="195" xfId="4" applyNumberFormat="1" applyFont="1" applyFill="1" applyBorder="1" applyAlignment="1">
      <alignment vertical="center" wrapText="1"/>
    </xf>
    <xf numFmtId="0" fontId="31" fillId="0" borderId="195" xfId="4" applyFont="1" applyFill="1" applyBorder="1" applyAlignment="1">
      <alignment vertical="center"/>
    </xf>
    <xf numFmtId="0" fontId="27" fillId="2" borderId="195" xfId="4" applyFont="1" applyFill="1" applyBorder="1" applyAlignment="1">
      <alignment vertical="center"/>
    </xf>
    <xf numFmtId="43" fontId="31" fillId="0" borderId="193" xfId="1" applyFont="1" applyFill="1" applyBorder="1" applyAlignment="1">
      <alignment horizontal="right" vertical="center"/>
    </xf>
    <xf numFmtId="0" fontId="7" fillId="0" borderId="195" xfId="4" applyFont="1" applyFill="1" applyBorder="1" applyAlignment="1">
      <alignment horizontal="left" vertical="center"/>
    </xf>
    <xf numFmtId="0" fontId="7" fillId="0" borderId="125" xfId="4" applyFont="1" applyFill="1" applyBorder="1" applyAlignment="1">
      <alignment horizontal="left" vertical="center"/>
    </xf>
    <xf numFmtId="3" fontId="31" fillId="0" borderId="193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78" xfId="0" applyFont="1" applyFill="1" applyBorder="1" applyAlignment="1">
      <alignment horizontal="center" vertical="top"/>
    </xf>
    <xf numFmtId="0" fontId="21" fillId="2" borderId="162" xfId="0" applyFont="1" applyFill="1" applyBorder="1" applyAlignment="1">
      <alignment horizontal="center" vertical="top"/>
    </xf>
    <xf numFmtId="0" fontId="21" fillId="2" borderId="162" xfId="0" quotePrefix="1" applyFont="1" applyFill="1" applyBorder="1" applyAlignment="1">
      <alignment horizontal="center" vertical="top"/>
    </xf>
    <xf numFmtId="0" fontId="21" fillId="26" borderId="162" xfId="0" quotePrefix="1" applyFont="1" applyFill="1" applyBorder="1" applyAlignment="1">
      <alignment horizontal="center" vertical="top"/>
    </xf>
    <xf numFmtId="0" fontId="21" fillId="2" borderId="172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2" xfId="4" applyNumberFormat="1" applyFont="1" applyFill="1" applyBorder="1" applyAlignment="1">
      <alignment vertical="top"/>
    </xf>
    <xf numFmtId="3" fontId="7" fillId="23" borderId="162" xfId="4" applyNumberFormat="1" applyFont="1" applyFill="1" applyBorder="1" applyAlignment="1">
      <alignment vertical="top"/>
    </xf>
    <xf numFmtId="0" fontId="18" fillId="0" borderId="120" xfId="4" applyFont="1" applyFill="1" applyBorder="1" applyAlignment="1">
      <alignment horizontal="center" vertical="center" wrapText="1"/>
    </xf>
    <xf numFmtId="3" fontId="24" fillId="6" borderId="178" xfId="4" applyNumberFormat="1" applyFont="1" applyFill="1" applyBorder="1" applyAlignment="1">
      <alignment vertical="center"/>
    </xf>
    <xf numFmtId="3" fontId="25" fillId="6" borderId="160" xfId="4" applyNumberFormat="1" applyFont="1" applyFill="1" applyBorder="1" applyAlignment="1">
      <alignment vertical="center"/>
    </xf>
    <xf numFmtId="3" fontId="25" fillId="22" borderId="162" xfId="4" applyNumberFormat="1" applyFont="1" applyFill="1" applyBorder="1" applyAlignment="1">
      <alignment vertical="center"/>
    </xf>
    <xf numFmtId="3" fontId="29" fillId="0" borderId="155" xfId="4" applyNumberFormat="1" applyFont="1" applyFill="1" applyBorder="1" applyAlignment="1">
      <alignment horizontal="right" vertical="center"/>
    </xf>
    <xf numFmtId="3" fontId="27" fillId="25" borderId="162" xfId="4" applyNumberFormat="1" applyFont="1" applyFill="1" applyBorder="1" applyAlignment="1">
      <alignment horizontal="right" vertical="center"/>
    </xf>
    <xf numFmtId="0" fontId="7" fillId="0" borderId="195" xfId="4" applyFont="1" applyFill="1" applyBorder="1" applyAlignment="1"/>
    <xf numFmtId="3" fontId="31" fillId="0" borderId="155" xfId="4" applyNumberFormat="1" applyFont="1" applyFill="1" applyBorder="1" applyAlignment="1"/>
    <xf numFmtId="3" fontId="31" fillId="0" borderId="162" xfId="4" applyNumberFormat="1" applyFont="1" applyFill="1" applyBorder="1" applyAlignment="1"/>
    <xf numFmtId="3" fontId="29" fillId="0" borderId="160" xfId="4" applyNumberFormat="1" applyFont="1" applyFill="1" applyBorder="1" applyAlignment="1">
      <alignment horizontal="right" vertical="center"/>
    </xf>
    <xf numFmtId="3" fontId="31" fillId="0" borderId="155" xfId="4" applyNumberFormat="1" applyFont="1" applyFill="1" applyBorder="1" applyAlignment="1">
      <alignment horizontal="right" vertical="center"/>
    </xf>
    <xf numFmtId="3" fontId="7" fillId="0" borderId="155" xfId="4" applyNumberFormat="1" applyFont="1" applyFill="1" applyBorder="1" applyAlignment="1">
      <alignment horizontal="right" vertical="center"/>
    </xf>
    <xf numFmtId="3" fontId="24" fillId="6" borderId="160" xfId="4" applyNumberFormat="1" applyFont="1" applyFill="1" applyBorder="1" applyAlignment="1">
      <alignment vertical="center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7" xfId="0" applyNumberFormat="1" applyFont="1" applyFill="1" applyBorder="1" applyAlignment="1">
      <alignment vertical="center" wrapText="1"/>
    </xf>
    <xf numFmtId="0" fontId="38" fillId="0" borderId="177" xfId="4" applyFont="1" applyFill="1" applyBorder="1" applyAlignment="1">
      <alignment vertical="top"/>
    </xf>
    <xf numFmtId="3" fontId="63" fillId="0" borderId="177" xfId="6" applyNumberFormat="1" applyFont="1" applyFill="1" applyBorder="1" applyAlignment="1">
      <alignment vertical="center"/>
    </xf>
    <xf numFmtId="0" fontId="29" fillId="2" borderId="181" xfId="4" applyFont="1" applyFill="1" applyBorder="1" applyAlignment="1">
      <alignment vertical="center"/>
    </xf>
    <xf numFmtId="3" fontId="25" fillId="32" borderId="9" xfId="0" applyNumberFormat="1" applyFont="1" applyFill="1" applyBorder="1" applyAlignment="1">
      <alignment vertical="top"/>
    </xf>
    <xf numFmtId="3" fontId="31" fillId="32" borderId="193" xfId="4" applyNumberFormat="1" applyFont="1" applyFill="1" applyBorder="1" applyAlignment="1"/>
    <xf numFmtId="3" fontId="31" fillId="32" borderId="187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5" xfId="4" applyNumberFormat="1" applyFont="1" applyFill="1" applyBorder="1" applyAlignment="1">
      <alignment horizontal="right" vertical="center"/>
    </xf>
    <xf numFmtId="3" fontId="7" fillId="0" borderId="187" xfId="4" applyNumberFormat="1" applyFont="1" applyFill="1" applyBorder="1" applyAlignment="1">
      <alignment vertical="center"/>
    </xf>
    <xf numFmtId="3" fontId="29" fillId="0" borderId="118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3" fontId="29" fillId="25" borderId="117" xfId="4" applyNumberFormat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0" fontId="4" fillId="0" borderId="112" xfId="112" applyFont="1" applyBorder="1" applyAlignment="1">
      <alignment vertical="center"/>
    </xf>
    <xf numFmtId="0" fontId="24" fillId="6" borderId="181" xfId="4" applyFont="1" applyFill="1" applyBorder="1" applyAlignment="1">
      <alignment horizontal="left" vertical="center"/>
    </xf>
    <xf numFmtId="3" fontId="25" fillId="6" borderId="176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43" fontId="25" fillId="6" borderId="152" xfId="1" applyFont="1" applyFill="1" applyBorder="1" applyAlignment="1">
      <alignment vertical="center"/>
    </xf>
    <xf numFmtId="3" fontId="24" fillId="22" borderId="151" xfId="4" applyNumberFormat="1" applyFont="1" applyFill="1" applyBorder="1" applyAlignment="1">
      <alignment vertical="center"/>
    </xf>
    <xf numFmtId="3" fontId="29" fillId="0" borderId="152" xfId="4" applyNumberFormat="1" applyFont="1" applyFill="1" applyBorder="1" applyAlignment="1">
      <alignment vertical="center"/>
    </xf>
    <xf numFmtId="43" fontId="29" fillId="0" borderId="152" xfId="1" applyFont="1" applyFill="1" applyBorder="1" applyAlignment="1">
      <alignment vertical="center"/>
    </xf>
    <xf numFmtId="3" fontId="27" fillId="25" borderId="152" xfId="4" applyNumberFormat="1" applyFont="1" applyFill="1" applyBorder="1" applyAlignment="1">
      <alignment vertical="center"/>
    </xf>
    <xf numFmtId="43" fontId="29" fillId="0" borderId="152" xfId="1" applyFont="1" applyFill="1" applyBorder="1" applyAlignment="1">
      <alignment horizontal="right" vertical="center"/>
    </xf>
    <xf numFmtId="3" fontId="31" fillId="0" borderId="161" xfId="4" applyNumberFormat="1" applyFont="1" applyFill="1" applyBorder="1" applyAlignment="1">
      <alignment horizontal="right" vertical="center"/>
    </xf>
    <xf numFmtId="43" fontId="28" fillId="0" borderId="152" xfId="1" applyFont="1" applyFill="1" applyBorder="1" applyAlignment="1">
      <alignment horizontal="right" vertical="center"/>
    </xf>
    <xf numFmtId="43" fontId="27" fillId="0" borderId="152" xfId="1" applyFont="1" applyFill="1" applyBorder="1" applyAlignment="1">
      <alignment horizontal="right" vertical="center"/>
    </xf>
    <xf numFmtId="43" fontId="31" fillId="0" borderId="161" xfId="1" applyFont="1" applyFill="1" applyBorder="1" applyAlignment="1">
      <alignment horizontal="right" vertical="center"/>
    </xf>
    <xf numFmtId="3" fontId="71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76" xfId="4" applyNumberFormat="1" applyFont="1" applyFill="1" applyBorder="1" applyAlignment="1">
      <alignment horizontal="right" vertical="center"/>
    </xf>
    <xf numFmtId="0" fontId="27" fillId="13" borderId="195" xfId="4" applyFont="1" applyFill="1" applyBorder="1" applyAlignment="1">
      <alignment vertical="center"/>
    </xf>
    <xf numFmtId="3" fontId="27" fillId="13" borderId="176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0" fontId="7" fillId="8" borderId="43" xfId="4" applyFont="1" applyFill="1" applyBorder="1" applyAlignment="1">
      <alignment horizontal="center" vertical="center"/>
    </xf>
    <xf numFmtId="3" fontId="23" fillId="6" borderId="99" xfId="6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7" fillId="8" borderId="177" xfId="4" applyFont="1" applyFill="1" applyBorder="1" applyAlignment="1">
      <alignment vertical="top" wrapText="1"/>
    </xf>
    <xf numFmtId="3" fontId="7" fillId="8" borderId="177" xfId="4" applyNumberFormat="1" applyFont="1" applyFill="1" applyBorder="1" applyAlignment="1">
      <alignment vertical="top" wrapText="1"/>
    </xf>
    <xf numFmtId="0" fontId="18" fillId="8" borderId="172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18" fillId="8" borderId="113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0" fontId="7" fillId="0" borderId="114" xfId="4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5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7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3" fillId="0" borderId="178" xfId="0" applyNumberFormat="1" applyFont="1" applyBorder="1" applyAlignment="1">
      <alignment horizontal="center" vertical="center" wrapText="1"/>
    </xf>
    <xf numFmtId="3" fontId="31" fillId="56" borderId="177" xfId="0" applyNumberFormat="1" applyFont="1" applyFill="1" applyBorder="1" applyAlignment="1">
      <alignment vertical="top"/>
    </xf>
    <xf numFmtId="3" fontId="31" fillId="56" borderId="176" xfId="0" applyNumberFormat="1" applyFont="1" applyFill="1" applyBorder="1" applyAlignment="1">
      <alignment vertical="top"/>
    </xf>
    <xf numFmtId="3" fontId="25" fillId="6" borderId="173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3" xfId="1" applyFont="1" applyFill="1" applyBorder="1" applyAlignment="1">
      <alignment horizontal="right" vertical="center"/>
    </xf>
    <xf numFmtId="0" fontId="7" fillId="8" borderId="195" xfId="4" applyFont="1" applyFill="1" applyBorder="1" applyAlignment="1">
      <alignment vertical="center"/>
    </xf>
    <xf numFmtId="3" fontId="31" fillId="28" borderId="187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7" fillId="8" borderId="130" xfId="4" applyNumberFormat="1" applyFont="1" applyFill="1" applyBorder="1" applyAlignment="1">
      <alignment vertical="center" wrapText="1"/>
    </xf>
    <xf numFmtId="3" fontId="32" fillId="8" borderId="193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3" fontId="27" fillId="2" borderId="45" xfId="4" applyNumberFormat="1" applyFont="1" applyFill="1" applyBorder="1" applyAlignment="1">
      <alignment vertical="center" wrapText="1"/>
    </xf>
    <xf numFmtId="43" fontId="31" fillId="0" borderId="193" xfId="1" applyFont="1" applyFill="1" applyBorder="1" applyAlignment="1">
      <alignment vertical="center"/>
    </xf>
    <xf numFmtId="43" fontId="8" fillId="11" borderId="3" xfId="1" applyFont="1" applyFill="1" applyBorder="1"/>
    <xf numFmtId="0" fontId="7" fillId="8" borderId="52" xfId="4" applyFont="1" applyFill="1" applyBorder="1" applyAlignment="1">
      <alignment vertical="top"/>
    </xf>
    <xf numFmtId="0" fontId="24" fillId="8" borderId="52" xfId="4" applyFont="1" applyFill="1" applyBorder="1" applyAlignment="1">
      <alignment horizontal="right" vertical="top"/>
    </xf>
    <xf numFmtId="0" fontId="7" fillId="8" borderId="84" xfId="4" applyFont="1" applyFill="1" applyBorder="1" applyAlignment="1">
      <alignment vertical="top"/>
    </xf>
    <xf numFmtId="0" fontId="7" fillId="8" borderId="84" xfId="4" applyFont="1" applyFill="1" applyBorder="1" applyAlignment="1">
      <alignment vertical="center"/>
    </xf>
    <xf numFmtId="0" fontId="7" fillId="8" borderId="1" xfId="4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66" fillId="0" borderId="38" xfId="4" applyFont="1" applyFill="1" applyBorder="1" applyAlignment="1">
      <alignment horizontal="left" vertical="center"/>
    </xf>
    <xf numFmtId="2" fontId="27" fillId="55" borderId="38" xfId="4" applyNumberFormat="1" applyFont="1" applyFill="1" applyBorder="1" applyAlignment="1">
      <alignment horizontal="left" vertical="center"/>
    </xf>
    <xf numFmtId="3" fontId="72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25" fillId="22" borderId="69" xfId="0" applyNumberFormat="1" applyFont="1" applyFill="1" applyBorder="1" applyAlignment="1">
      <alignment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3" fontId="27" fillId="21" borderId="69" xfId="4" applyNumberFormat="1" applyFont="1" applyFill="1" applyBorder="1" applyAlignment="1">
      <alignment horizontal="right" vertical="center"/>
    </xf>
    <xf numFmtId="3" fontId="27" fillId="23" borderId="69" xfId="4" applyNumberFormat="1" applyFont="1" applyFill="1" applyBorder="1" applyAlignment="1">
      <alignment vertical="top"/>
    </xf>
    <xf numFmtId="3" fontId="7" fillId="25" borderId="69" xfId="4" applyNumberFormat="1" applyFont="1" applyFill="1" applyBorder="1" applyAlignment="1">
      <alignment vertical="top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3" fontId="18" fillId="8" borderId="52" xfId="4" applyNumberFormat="1" applyFont="1" applyFill="1" applyBorder="1" applyAlignment="1">
      <alignment vertical="top" wrapText="1"/>
    </xf>
    <xf numFmtId="3" fontId="18" fillId="8" borderId="52" xfId="4" applyNumberFormat="1" applyFont="1" applyFill="1" applyBorder="1" applyAlignment="1">
      <alignment vertical="center" wrapText="1"/>
    </xf>
    <xf numFmtId="3" fontId="18" fillId="8" borderId="5" xfId="4" applyNumberFormat="1" applyFont="1" applyFill="1" applyBorder="1" applyAlignment="1">
      <alignment vertical="top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2" fontId="27" fillId="55" borderId="65" xfId="0" applyNumberFormat="1" applyFont="1" applyFill="1" applyBorder="1" applyAlignment="1">
      <alignment horizontal="left" vertical="top"/>
    </xf>
    <xf numFmtId="2" fontId="28" fillId="55" borderId="6" xfId="0" quotePrefix="1" applyNumberFormat="1" applyFont="1" applyFill="1" applyBorder="1" applyAlignment="1">
      <alignment horizontal="center" vertical="top"/>
    </xf>
    <xf numFmtId="2" fontId="27" fillId="55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3" fontId="75" fillId="0" borderId="13" xfId="0" applyNumberFormat="1" applyFont="1" applyFill="1" applyBorder="1" applyAlignment="1">
      <alignment vertical="center" wrapText="1"/>
    </xf>
    <xf numFmtId="3" fontId="73" fillId="0" borderId="10" xfId="0" applyNumberFormat="1" applyFont="1" applyFill="1" applyBorder="1" applyAlignment="1">
      <alignment vertical="center" wrapText="1"/>
    </xf>
    <xf numFmtId="3" fontId="18" fillId="8" borderId="25" xfId="4" applyNumberFormat="1" applyFont="1" applyFill="1" applyBorder="1" applyAlignment="1">
      <alignment vertical="top" wrapText="1"/>
    </xf>
    <xf numFmtId="3" fontId="25" fillId="25" borderId="35" xfId="0" applyNumberFormat="1" applyFont="1" applyFill="1" applyBorder="1" applyAlignment="1">
      <alignment vertical="top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0" fontId="59" fillId="36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center" vertical="center" wrapText="1"/>
    </xf>
    <xf numFmtId="0" fontId="25" fillId="6" borderId="0" xfId="4" applyFont="1" applyFill="1" applyBorder="1" applyAlignment="1">
      <alignment horizontal="left" vertical="center"/>
    </xf>
    <xf numFmtId="0" fontId="31" fillId="55" borderId="0" xfId="4" applyFont="1" applyFill="1" applyBorder="1" applyAlignment="1">
      <alignment horizontal="left" vertical="center"/>
    </xf>
    <xf numFmtId="3" fontId="31" fillId="55" borderId="0" xfId="0" applyNumberFormat="1" applyFont="1" applyFill="1" applyBorder="1" applyAlignment="1">
      <alignment vertical="top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0" fontId="24" fillId="6" borderId="0" xfId="4" applyFont="1" applyFill="1" applyBorder="1" applyAlignment="1">
      <alignment horizontal="left"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6" borderId="0" xfId="4" applyNumberFormat="1" applyFont="1" applyFill="1" applyBorder="1" applyAlignment="1">
      <alignment horizontal="right" vertical="center"/>
    </xf>
    <xf numFmtId="3" fontId="75" fillId="0" borderId="0" xfId="0" applyNumberFormat="1" applyFont="1" applyFill="1" applyBorder="1" applyAlignment="1">
      <alignment vertical="center" wrapText="1"/>
    </xf>
    <xf numFmtId="3" fontId="73" fillId="0" borderId="0" xfId="0" applyNumberFormat="1" applyFont="1" applyFill="1" applyBorder="1" applyAlignment="1">
      <alignment vertical="center" wrapText="1"/>
    </xf>
    <xf numFmtId="0" fontId="31" fillId="6" borderId="196" xfId="0" applyFont="1" applyFill="1" applyBorder="1" applyAlignment="1">
      <alignment vertical="center"/>
    </xf>
    <xf numFmtId="43" fontId="25" fillId="6" borderId="176" xfId="1" applyFont="1" applyFill="1" applyBorder="1" applyAlignment="1">
      <alignment vertical="center"/>
    </xf>
    <xf numFmtId="3" fontId="27" fillId="0" borderId="176" xfId="0" applyNumberFormat="1" applyFont="1" applyFill="1" applyBorder="1" applyAlignment="1">
      <alignment vertical="center"/>
    </xf>
    <xf numFmtId="43" fontId="27" fillId="0" borderId="176" xfId="1" applyFont="1" applyFill="1" applyBorder="1" applyAlignment="1">
      <alignment vertical="center"/>
    </xf>
    <xf numFmtId="0" fontId="63" fillId="58" borderId="195" xfId="0" applyFont="1" applyFill="1" applyBorder="1"/>
    <xf numFmtId="0" fontId="25" fillId="6" borderId="196" xfId="4" applyFont="1" applyFill="1" applyBorder="1" applyAlignment="1">
      <alignment horizontal="left" vertical="center"/>
    </xf>
    <xf numFmtId="2" fontId="27" fillId="55" borderId="67" xfId="4" applyNumberFormat="1" applyFont="1" applyFill="1" applyBorder="1" applyAlignment="1">
      <alignment horizontal="left" vertical="center"/>
    </xf>
    <xf numFmtId="0" fontId="7" fillId="0" borderId="12" xfId="4" applyFont="1" applyFill="1" applyBorder="1" applyAlignment="1">
      <alignment vertical="top"/>
    </xf>
    <xf numFmtId="0" fontId="29" fillId="2" borderId="25" xfId="4" applyFont="1" applyFill="1" applyBorder="1" applyAlignment="1">
      <alignment vertical="center"/>
    </xf>
    <xf numFmtId="3" fontId="62" fillId="0" borderId="12" xfId="0" applyNumberFormat="1" applyFont="1" applyFill="1" applyBorder="1" applyAlignment="1">
      <alignment vertical="center" wrapText="1"/>
    </xf>
    <xf numFmtId="0" fontId="63" fillId="56" borderId="195" xfId="0" applyFont="1" applyFill="1" applyBorder="1" applyAlignment="1">
      <alignment vertical="center"/>
    </xf>
    <xf numFmtId="2" fontId="27" fillId="55" borderId="181" xfId="4" applyNumberFormat="1" applyFont="1" applyFill="1" applyBorder="1" applyAlignment="1">
      <alignment horizontal="left" vertical="center"/>
    </xf>
    <xf numFmtId="3" fontId="62" fillId="0" borderId="8" xfId="0" applyNumberFormat="1" applyFont="1" applyFill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3" fontId="28" fillId="59" borderId="23" xfId="0" applyNumberFormat="1" applyFont="1" applyFill="1" applyBorder="1" applyAlignment="1">
      <alignment vertical="top"/>
    </xf>
    <xf numFmtId="2" fontId="27" fillId="55" borderId="23" xfId="4" applyNumberFormat="1" applyFont="1" applyFill="1" applyBorder="1" applyAlignment="1">
      <alignment horizontal="right" vertical="center"/>
    </xf>
    <xf numFmtId="3" fontId="28" fillId="23" borderId="12" xfId="4" applyNumberFormat="1" applyFont="1" applyFill="1" applyBorder="1" applyAlignment="1">
      <alignment horizontal="right" vertical="center"/>
    </xf>
    <xf numFmtId="3" fontId="27" fillId="2" borderId="23" xfId="4" applyNumberFormat="1" applyFont="1" applyFill="1" applyBorder="1" applyAlignment="1">
      <alignment vertical="center"/>
    </xf>
    <xf numFmtId="3" fontId="62" fillId="0" borderId="72" xfId="0" applyNumberFormat="1" applyFont="1" applyFill="1" applyBorder="1" applyAlignment="1">
      <alignment vertical="center" wrapText="1"/>
    </xf>
    <xf numFmtId="3" fontId="28" fillId="56" borderId="35" xfId="0" applyNumberFormat="1" applyFont="1" applyFill="1" applyBorder="1" applyAlignment="1">
      <alignment vertical="center"/>
    </xf>
    <xf numFmtId="2" fontId="27" fillId="55" borderId="176" xfId="4" applyNumberFormat="1" applyFont="1" applyFill="1" applyBorder="1" applyAlignment="1">
      <alignment horizontal="right" vertical="center"/>
    </xf>
    <xf numFmtId="3" fontId="72" fillId="2" borderId="8" xfId="0" applyNumberFormat="1" applyFont="1" applyFill="1" applyBorder="1" applyAlignment="1">
      <alignment vertical="center"/>
    </xf>
    <xf numFmtId="3" fontId="74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0" fontId="7" fillId="8" borderId="25" xfId="4" applyFont="1" applyFill="1" applyBorder="1" applyAlignment="1">
      <alignment vertical="top"/>
    </xf>
    <xf numFmtId="3" fontId="31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0" fontId="7" fillId="0" borderId="21" xfId="4" applyFont="1" applyFill="1" applyBorder="1" applyAlignment="1">
      <alignment vertical="center"/>
    </xf>
    <xf numFmtId="0" fontId="29" fillId="8" borderId="0" xfId="0" applyFont="1" applyFill="1" applyBorder="1" applyAlignment="1">
      <alignment vertical="top"/>
    </xf>
    <xf numFmtId="3" fontId="27" fillId="55" borderId="0" xfId="4" applyNumberFormat="1" applyFont="1" applyFill="1" applyBorder="1" applyAlignment="1">
      <alignment horizontal="right" vertical="center"/>
    </xf>
    <xf numFmtId="43" fontId="27" fillId="55" borderId="0" xfId="1" applyFont="1" applyFill="1" applyBorder="1" applyAlignment="1">
      <alignment horizontal="right" vertical="center"/>
    </xf>
    <xf numFmtId="3" fontId="27" fillId="21" borderId="0" xfId="4" applyNumberFormat="1" applyFont="1" applyFill="1" applyBorder="1" applyAlignment="1">
      <alignment horizontal="right" vertical="center"/>
    </xf>
    <xf numFmtId="3" fontId="18" fillId="8" borderId="0" xfId="4" applyNumberFormat="1" applyFont="1" applyFill="1" applyBorder="1" applyAlignment="1">
      <alignment vertical="top" wrapText="1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9" fillId="2" borderId="0" xfId="4" applyNumberFormat="1" applyFont="1" applyFill="1" applyBorder="1" applyAlignment="1">
      <alignment vertical="center" wrapText="1"/>
    </xf>
    <xf numFmtId="3" fontId="25" fillId="22" borderId="180" xfId="0" applyNumberFormat="1" applyFont="1" applyFill="1" applyBorder="1" applyAlignment="1">
      <alignment vertical="center"/>
    </xf>
    <xf numFmtId="3" fontId="27" fillId="25" borderId="180" xfId="4" applyNumberFormat="1" applyFont="1" applyFill="1" applyBorder="1" applyAlignment="1">
      <alignment horizontal="right" vertical="center"/>
    </xf>
    <xf numFmtId="3" fontId="25" fillId="22" borderId="185" xfId="4" applyNumberFormat="1" applyFont="1" applyFill="1" applyBorder="1" applyAlignment="1">
      <alignment horizontal="right"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4" fillId="2" borderId="8" xfId="0" applyFont="1" applyFill="1" applyBorder="1" applyAlignment="1">
      <alignment vertical="center"/>
    </xf>
    <xf numFmtId="3" fontId="27" fillId="23" borderId="185" xfId="0" applyNumberFormat="1" applyFont="1" applyFill="1" applyBorder="1" applyAlignment="1">
      <alignment vertical="center"/>
    </xf>
    <xf numFmtId="3" fontId="31" fillId="25" borderId="180" xfId="4" applyNumberFormat="1" applyFont="1" applyFill="1" applyBorder="1" applyAlignment="1">
      <alignment horizontal="right" vertical="center"/>
    </xf>
    <xf numFmtId="3" fontId="31" fillId="23" borderId="185" xfId="0" applyNumberFormat="1" applyFont="1" applyFill="1" applyBorder="1" applyAlignment="1">
      <alignment vertical="center"/>
    </xf>
    <xf numFmtId="3" fontId="25" fillId="22" borderId="185" xfId="0" applyNumberFormat="1" applyFont="1" applyFill="1" applyBorder="1" applyAlignment="1">
      <alignment vertical="top"/>
    </xf>
    <xf numFmtId="3" fontId="25" fillId="25" borderId="185" xfId="0" applyNumberFormat="1" applyFont="1" applyFill="1" applyBorder="1" applyAlignment="1">
      <alignment vertical="top"/>
    </xf>
    <xf numFmtId="3" fontId="25" fillId="22" borderId="180" xfId="0" applyNumberFormat="1" applyFont="1" applyFill="1" applyBorder="1" applyAlignment="1">
      <alignment vertical="top"/>
    </xf>
    <xf numFmtId="3" fontId="31" fillId="25" borderId="185" xfId="0" applyNumberFormat="1" applyFont="1" applyFill="1" applyBorder="1" applyAlignment="1">
      <alignment vertical="top"/>
    </xf>
    <xf numFmtId="3" fontId="27" fillId="25" borderId="185" xfId="4" applyNumberFormat="1" applyFont="1" applyFill="1" applyBorder="1" applyAlignment="1">
      <alignment horizontal="right" vertical="center"/>
    </xf>
    <xf numFmtId="3" fontId="28" fillId="23" borderId="185" xfId="4" applyNumberFormat="1" applyFont="1" applyFill="1" applyBorder="1" applyAlignment="1">
      <alignment horizontal="right" vertical="center"/>
    </xf>
    <xf numFmtId="3" fontId="33" fillId="25" borderId="185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62" fillId="0" borderId="76" xfId="0" applyNumberFormat="1" applyFont="1" applyFill="1" applyBorder="1" applyAlignment="1">
      <alignment vertical="center" wrapText="1"/>
    </xf>
    <xf numFmtId="3" fontId="31" fillId="0" borderId="168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3" fontId="31" fillId="2" borderId="173" xfId="0" applyNumberFormat="1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vertical="center"/>
    </xf>
    <xf numFmtId="3" fontId="27" fillId="0" borderId="68" xfId="0" applyNumberFormat="1" applyFont="1" applyFill="1" applyBorder="1" applyAlignment="1">
      <alignment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7" fillId="25" borderId="35" xfId="4" applyNumberFormat="1" applyFont="1" applyFill="1" applyBorder="1" applyAlignment="1">
      <alignment horizontal="right" vertical="center"/>
    </xf>
    <xf numFmtId="3" fontId="31" fillId="0" borderId="173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31" fillId="0" borderId="195" xfId="0" applyFont="1" applyFill="1" applyBorder="1" applyAlignment="1">
      <alignment vertical="top"/>
    </xf>
    <xf numFmtId="0" fontId="31" fillId="0" borderId="195" xfId="0" applyFont="1" applyFill="1" applyBorder="1" applyAlignment="1">
      <alignment horizontal="left" vertical="center" wrapText="1"/>
    </xf>
    <xf numFmtId="0" fontId="63" fillId="57" borderId="195" xfId="0" applyFont="1" applyFill="1" applyBorder="1"/>
    <xf numFmtId="0" fontId="39" fillId="59" borderId="195" xfId="0" applyFont="1" applyFill="1" applyBorder="1"/>
    <xf numFmtId="0" fontId="8" fillId="0" borderId="195" xfId="0" applyFont="1" applyFill="1" applyBorder="1" applyAlignment="1">
      <alignment vertical="center" wrapText="1"/>
    </xf>
    <xf numFmtId="3" fontId="28" fillId="60" borderId="176" xfId="0" applyNumberFormat="1" applyFont="1" applyFill="1" applyBorder="1" applyAlignment="1">
      <alignment vertical="center"/>
    </xf>
    <xf numFmtId="3" fontId="28" fillId="60" borderId="177" xfId="0" applyNumberFormat="1" applyFont="1" applyFill="1" applyBorder="1" applyAlignment="1">
      <alignment vertical="center"/>
    </xf>
    <xf numFmtId="43" fontId="31" fillId="25" borderId="177" xfId="1" applyFont="1" applyFill="1" applyBorder="1" applyAlignment="1">
      <alignment vertical="top"/>
    </xf>
    <xf numFmtId="3" fontId="31" fillId="0" borderId="7" xfId="4" applyNumberFormat="1" applyFont="1" applyFill="1" applyBorder="1" applyAlignment="1">
      <alignment vertical="center"/>
    </xf>
    <xf numFmtId="3" fontId="28" fillId="55" borderId="10" xfId="0" applyNumberFormat="1" applyFont="1" applyFill="1" applyBorder="1" applyAlignment="1">
      <alignment vertical="top"/>
    </xf>
    <xf numFmtId="3" fontId="25" fillId="32" borderId="177" xfId="0" applyNumberFormat="1" applyFont="1" applyFill="1" applyBorder="1" applyAlignment="1">
      <alignment vertical="top"/>
    </xf>
    <xf numFmtId="3" fontId="28" fillId="57" borderId="177" xfId="0" applyNumberFormat="1" applyFont="1" applyFill="1" applyBorder="1" applyAlignment="1">
      <alignment vertical="top"/>
    </xf>
    <xf numFmtId="3" fontId="28" fillId="58" borderId="177" xfId="0" applyNumberFormat="1" applyFont="1" applyFill="1" applyBorder="1" applyAlignment="1">
      <alignment vertical="top"/>
    </xf>
    <xf numFmtId="3" fontId="28" fillId="59" borderId="177" xfId="0" applyNumberFormat="1" applyFont="1" applyFill="1" applyBorder="1" applyAlignment="1">
      <alignment vertical="top"/>
    </xf>
    <xf numFmtId="0" fontId="23" fillId="6" borderId="176" xfId="0" applyFont="1" applyFill="1" applyBorder="1" applyAlignment="1">
      <alignment horizontal="center" vertical="center"/>
    </xf>
    <xf numFmtId="3" fontId="27" fillId="2" borderId="177" xfId="4" applyNumberFormat="1" applyFont="1" applyFill="1" applyBorder="1" applyAlignment="1">
      <alignment vertical="top" wrapText="1"/>
    </xf>
    <xf numFmtId="0" fontId="31" fillId="0" borderId="177" xfId="4" applyFont="1" applyFill="1" applyBorder="1" applyAlignment="1">
      <alignment vertical="center"/>
    </xf>
    <xf numFmtId="3" fontId="25" fillId="25" borderId="176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77" xfId="0" applyFont="1" applyFill="1" applyBorder="1" applyAlignment="1">
      <alignment vertical="top"/>
    </xf>
    <xf numFmtId="3" fontId="31" fillId="8" borderId="177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3" xfId="0" applyNumberFormat="1" applyFont="1" applyFill="1" applyBorder="1" applyAlignment="1">
      <alignment vertical="center"/>
    </xf>
    <xf numFmtId="43" fontId="31" fillId="28" borderId="173" xfId="1" applyFont="1" applyFill="1" applyBorder="1" applyAlignment="1">
      <alignment vertical="center"/>
    </xf>
    <xf numFmtId="3" fontId="27" fillId="25" borderId="180" xfId="0" applyNumberFormat="1" applyFont="1" applyFill="1" applyBorder="1" applyAlignment="1">
      <alignment vertical="center"/>
    </xf>
    <xf numFmtId="0" fontId="27" fillId="2" borderId="82" xfId="4" applyFont="1" applyFill="1" applyBorder="1" applyAlignment="1">
      <alignment vertical="top"/>
    </xf>
    <xf numFmtId="0" fontId="7" fillId="0" borderId="177" xfId="4" applyFont="1" applyFill="1" applyBorder="1" applyAlignment="1">
      <alignment vertical="center"/>
    </xf>
    <xf numFmtId="43" fontId="24" fillId="8" borderId="18" xfId="1" applyFont="1" applyFill="1" applyBorder="1" applyAlignment="1">
      <alignment horizontal="right" vertical="center"/>
    </xf>
    <xf numFmtId="3" fontId="24" fillId="8" borderId="18" xfId="4" applyNumberFormat="1" applyFont="1" applyFill="1" applyBorder="1" applyAlignment="1">
      <alignment horizontal="right" vertical="center"/>
    </xf>
    <xf numFmtId="3" fontId="33" fillId="8" borderId="76" xfId="6" applyNumberFormat="1" applyFont="1" applyFill="1" applyBorder="1" applyAlignment="1">
      <alignment horizontal="right"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7" fillId="8" borderId="18" xfId="4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3" fontId="32" fillId="0" borderId="173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80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3" fillId="0" borderId="177" xfId="1" applyNumberFormat="1" applyFont="1" applyFill="1" applyBorder="1" applyAlignment="1">
      <alignment vertical="center"/>
    </xf>
    <xf numFmtId="3" fontId="7" fillId="0" borderId="177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5" borderId="126" xfId="4" applyFont="1" applyFill="1" applyBorder="1" applyAlignment="1">
      <alignment horizontal="left" vertical="center"/>
    </xf>
    <xf numFmtId="3" fontId="27" fillId="55" borderId="119" xfId="4" applyNumberFormat="1" applyFont="1" applyFill="1" applyBorder="1" applyAlignment="1">
      <alignment horizontal="right" vertical="center"/>
    </xf>
    <xf numFmtId="0" fontId="27" fillId="55" borderId="10" xfId="4" applyFont="1" applyFill="1" applyBorder="1" applyAlignment="1">
      <alignment horizontal="left" vertical="center"/>
    </xf>
    <xf numFmtId="0" fontId="27" fillId="55" borderId="72" xfId="0" applyFont="1" applyFill="1" applyBorder="1" applyAlignment="1">
      <alignment horizontal="left" vertical="top"/>
    </xf>
    <xf numFmtId="0" fontId="28" fillId="55" borderId="12" xfId="0" quotePrefix="1" applyFont="1" applyFill="1" applyBorder="1" applyAlignment="1">
      <alignment horizontal="center" vertical="top"/>
    </xf>
    <xf numFmtId="0" fontId="27" fillId="8" borderId="117" xfId="4" applyFont="1" applyFill="1" applyBorder="1" applyAlignment="1">
      <alignment vertical="center"/>
    </xf>
    <xf numFmtId="3" fontId="27" fillId="8" borderId="117" xfId="0" applyNumberFormat="1" applyFont="1" applyFill="1" applyBorder="1" applyAlignment="1">
      <alignment vertical="top"/>
    </xf>
    <xf numFmtId="3" fontId="27" fillId="23" borderId="117" xfId="0" applyNumberFormat="1" applyFont="1" applyFill="1" applyBorder="1" applyAlignment="1">
      <alignment vertical="top"/>
    </xf>
    <xf numFmtId="0" fontId="31" fillId="8" borderId="117" xfId="0" applyFont="1" applyFill="1" applyBorder="1" applyAlignment="1">
      <alignment vertical="top"/>
    </xf>
    <xf numFmtId="3" fontId="31" fillId="8" borderId="117" xfId="0" applyNumberFormat="1" applyFont="1" applyFill="1" applyBorder="1" applyAlignment="1">
      <alignment vertical="top"/>
    </xf>
    <xf numFmtId="3" fontId="28" fillId="23" borderId="117" xfId="0" applyNumberFormat="1" applyFont="1" applyFill="1" applyBorder="1" applyAlignment="1">
      <alignment horizontal="center" vertical="top"/>
    </xf>
    <xf numFmtId="3" fontId="27" fillId="23" borderId="117" xfId="0" applyNumberFormat="1" applyFont="1" applyFill="1" applyBorder="1" applyAlignment="1">
      <alignment horizontal="center" vertical="top"/>
    </xf>
    <xf numFmtId="0" fontId="31" fillId="8" borderId="117" xfId="4" applyFont="1" applyFill="1" applyBorder="1" applyAlignment="1">
      <alignment vertical="center"/>
    </xf>
    <xf numFmtId="3" fontId="31" fillId="23" borderId="117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2" xfId="4" applyFont="1" applyFill="1" applyBorder="1" applyAlignment="1">
      <alignment vertical="center"/>
    </xf>
    <xf numFmtId="0" fontId="31" fillId="0" borderId="177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0" fontId="7" fillId="6" borderId="176" xfId="0" applyFont="1" applyFill="1" applyBorder="1" applyAlignment="1">
      <alignment vertical="top"/>
    </xf>
    <xf numFmtId="3" fontId="25" fillId="6" borderId="177" xfId="0" applyNumberFormat="1" applyFont="1" applyFill="1" applyBorder="1" applyAlignment="1"/>
    <xf numFmtId="43" fontId="25" fillId="6" borderId="177" xfId="1" applyFont="1" applyFill="1" applyBorder="1" applyAlignment="1"/>
    <xf numFmtId="43" fontId="27" fillId="2" borderId="177" xfId="1" applyFont="1" applyFill="1" applyBorder="1" applyAlignment="1"/>
    <xf numFmtId="43" fontId="0" fillId="0" borderId="177" xfId="1" applyFont="1" applyBorder="1"/>
    <xf numFmtId="0" fontId="31" fillId="0" borderId="36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vertical="center"/>
    </xf>
    <xf numFmtId="0" fontId="24" fillId="6" borderId="178" xfId="4" applyFont="1" applyFill="1" applyBorder="1" applyAlignment="1">
      <alignment horizontal="left" vertical="center"/>
    </xf>
    <xf numFmtId="3" fontId="29" fillId="2" borderId="195" xfId="4" applyNumberFormat="1" applyFont="1" applyFill="1" applyBorder="1" applyAlignment="1">
      <alignment vertical="center" wrapText="1"/>
    </xf>
    <xf numFmtId="0" fontId="7" fillId="0" borderId="195" xfId="4" applyFont="1" applyFill="1" applyBorder="1" applyAlignment="1">
      <alignment vertical="center"/>
    </xf>
    <xf numFmtId="0" fontId="7" fillId="0" borderId="191" xfId="4" applyFont="1" applyFill="1" applyBorder="1" applyAlignment="1">
      <alignment vertical="center"/>
    </xf>
    <xf numFmtId="3" fontId="24" fillId="6" borderId="180" xfId="4" applyNumberFormat="1" applyFont="1" applyFill="1" applyBorder="1" applyAlignment="1">
      <alignment horizontal="right" vertical="center"/>
    </xf>
    <xf numFmtId="3" fontId="29" fillId="0" borderId="171" xfId="4" applyNumberFormat="1" applyFont="1" applyFill="1" applyBorder="1" applyAlignment="1">
      <alignment horizontal="right" vertical="center"/>
    </xf>
    <xf numFmtId="43" fontId="7" fillId="0" borderId="162" xfId="1" applyFont="1" applyFill="1" applyBorder="1" applyAlignment="1">
      <alignment horizontal="right" vertical="center"/>
    </xf>
    <xf numFmtId="43" fontId="31" fillId="0" borderId="168" xfId="1" applyFont="1" applyFill="1" applyBorder="1" applyAlignment="1">
      <alignment vertical="center"/>
    </xf>
    <xf numFmtId="3" fontId="29" fillId="0" borderId="168" xfId="4" applyNumberFormat="1" applyFont="1" applyFill="1" applyBorder="1" applyAlignment="1">
      <alignment horizontal="right" vertical="center"/>
    </xf>
    <xf numFmtId="3" fontId="25" fillId="8" borderId="76" xfId="4" applyNumberFormat="1" applyFont="1" applyFill="1" applyBorder="1" applyAlignment="1">
      <alignment horizontal="center" vertical="center"/>
    </xf>
    <xf numFmtId="3" fontId="4" fillId="0" borderId="177" xfId="0" applyNumberFormat="1" applyFont="1" applyBorder="1"/>
    <xf numFmtId="3" fontId="27" fillId="25" borderId="117" xfId="0" applyNumberFormat="1" applyFont="1" applyFill="1" applyBorder="1" applyAlignment="1">
      <alignment vertical="top"/>
    </xf>
    <xf numFmtId="3" fontId="25" fillId="0" borderId="35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5" fillId="6" borderId="117" xfId="0" applyNumberFormat="1" applyFont="1" applyFill="1" applyBorder="1" applyAlignment="1">
      <alignment vertical="center"/>
    </xf>
    <xf numFmtId="3" fontId="27" fillId="2" borderId="117" xfId="0" applyNumberFormat="1" applyFont="1" applyFill="1" applyBorder="1" applyAlignment="1">
      <alignment vertical="center"/>
    </xf>
    <xf numFmtId="3" fontId="28" fillId="2" borderId="193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4" xfId="0" applyFont="1" applyBorder="1" applyAlignment="1">
      <alignment horizontal="center" vertical="top" wrapText="1"/>
    </xf>
    <xf numFmtId="0" fontId="4" fillId="0" borderId="51" xfId="0" applyFont="1" applyBorder="1" applyAlignment="1">
      <alignment vertical="top"/>
    </xf>
    <xf numFmtId="0" fontId="4" fillId="0" borderId="5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3" fontId="27" fillId="55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5" borderId="35" xfId="4" applyNumberFormat="1" applyFont="1" applyFill="1" applyBorder="1" applyAlignment="1">
      <alignment horizontal="right" vertical="center"/>
    </xf>
    <xf numFmtId="2" fontId="4" fillId="0" borderId="177" xfId="0" applyNumberFormat="1" applyFont="1" applyBorder="1"/>
    <xf numFmtId="2" fontId="4" fillId="0" borderId="177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top"/>
    </xf>
    <xf numFmtId="3" fontId="25" fillId="23" borderId="2" xfId="0" applyNumberFormat="1" applyFont="1" applyFill="1" applyBorder="1" applyAlignment="1">
      <alignment vertical="top"/>
    </xf>
    <xf numFmtId="0" fontId="7" fillId="6" borderId="178" xfId="0" applyFont="1" applyFill="1" applyBorder="1" applyAlignment="1">
      <alignment vertical="top"/>
    </xf>
    <xf numFmtId="43" fontId="25" fillId="6" borderId="180" xfId="1" applyFont="1" applyFill="1" applyBorder="1" applyAlignment="1"/>
    <xf numFmtId="3" fontId="25" fillId="22" borderId="185" xfId="0" applyNumberFormat="1" applyFont="1" applyFill="1" applyBorder="1" applyAlignment="1"/>
    <xf numFmtId="43" fontId="27" fillId="2" borderId="180" xfId="1" applyFont="1" applyFill="1" applyBorder="1" applyAlignment="1">
      <alignment vertical="center"/>
    </xf>
    <xf numFmtId="3" fontId="27" fillId="23" borderId="185" xfId="0" applyNumberFormat="1" applyFont="1" applyFill="1" applyBorder="1" applyAlignment="1"/>
    <xf numFmtId="43" fontId="31" fillId="0" borderId="180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43" fontId="31" fillId="0" borderId="114" xfId="1" applyFont="1" applyFill="1" applyBorder="1" applyAlignment="1">
      <alignment vertical="center"/>
    </xf>
    <xf numFmtId="3" fontId="31" fillId="25" borderId="129" xfId="0" applyNumberFormat="1" applyFont="1" applyFill="1" applyBorder="1" applyAlignment="1">
      <alignment vertical="top"/>
    </xf>
    <xf numFmtId="3" fontId="31" fillId="23" borderId="18" xfId="0" applyNumberFormat="1" applyFont="1" applyFill="1" applyBorder="1" applyAlignment="1"/>
    <xf numFmtId="0" fontId="7" fillId="6" borderId="156" xfId="0" applyFont="1" applyFill="1" applyBorder="1" applyAlignment="1">
      <alignment vertical="top"/>
    </xf>
    <xf numFmtId="3" fontId="25" fillId="6" borderId="162" xfId="0" applyNumberFormat="1" applyFont="1" applyFill="1" applyBorder="1" applyAlignment="1"/>
    <xf numFmtId="3" fontId="25" fillId="22" borderId="180" xfId="0" applyNumberFormat="1" applyFont="1" applyFill="1" applyBorder="1" applyAlignment="1"/>
    <xf numFmtId="3" fontId="31" fillId="0" borderId="112" xfId="4" applyNumberFormat="1" applyFont="1" applyFill="1" applyBorder="1" applyAlignment="1"/>
    <xf numFmtId="3" fontId="25" fillId="22" borderId="69" xfId="0" applyNumberFormat="1" applyFont="1" applyFill="1" applyBorder="1" applyAlignment="1"/>
    <xf numFmtId="3" fontId="27" fillId="23" borderId="69" xfId="0" applyNumberFormat="1" applyFont="1" applyFill="1" applyBorder="1" applyAlignment="1"/>
    <xf numFmtId="43" fontId="31" fillId="0" borderId="119" xfId="1" applyFont="1" applyFill="1" applyBorder="1" applyAlignment="1"/>
    <xf numFmtId="43" fontId="31" fillId="0" borderId="112" xfId="1" applyFont="1" applyFill="1" applyBorder="1" applyAlignment="1"/>
    <xf numFmtId="0" fontId="7" fillId="6" borderId="196" xfId="0" applyFont="1" applyFill="1" applyBorder="1" applyAlignment="1">
      <alignment vertical="top"/>
    </xf>
    <xf numFmtId="3" fontId="25" fillId="6" borderId="167" xfId="0" applyNumberFormat="1" applyFont="1" applyFill="1" applyBorder="1" applyAlignment="1"/>
    <xf numFmtId="43" fontId="25" fillId="6" borderId="167" xfId="1" applyFont="1" applyFill="1" applyBorder="1" applyAlignment="1"/>
    <xf numFmtId="3" fontId="25" fillId="22" borderId="7" xfId="0" applyNumberFormat="1" applyFont="1" applyFill="1" applyBorder="1" applyAlignment="1"/>
    <xf numFmtId="3" fontId="27" fillId="2" borderId="167" xfId="0" applyNumberFormat="1" applyFont="1" applyFill="1" applyBorder="1" applyAlignment="1">
      <alignment vertical="center"/>
    </xf>
    <xf numFmtId="43" fontId="27" fillId="2" borderId="167" xfId="1" applyFont="1" applyFill="1" applyBorder="1" applyAlignment="1">
      <alignment vertical="center"/>
    </xf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23" xfId="1" applyFont="1" applyFill="1" applyBorder="1" applyAlignment="1">
      <alignment vertical="center"/>
    </xf>
    <xf numFmtId="3" fontId="31" fillId="25" borderId="72" xfId="0" applyNumberFormat="1" applyFont="1" applyFill="1" applyBorder="1" applyAlignment="1">
      <alignment vertical="top"/>
    </xf>
    <xf numFmtId="0" fontId="4" fillId="0" borderId="66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4" fillId="0" borderId="151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3" fontId="76" fillId="8" borderId="11" xfId="0" applyNumberFormat="1" applyFont="1" applyFill="1" applyBorder="1"/>
    <xf numFmtId="0" fontId="31" fillId="0" borderId="195" xfId="4" applyFont="1" applyFill="1" applyBorder="1" applyAlignment="1">
      <alignment horizontal="left" vertical="center"/>
    </xf>
    <xf numFmtId="3" fontId="7" fillId="0" borderId="193" xfId="0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43" fontId="31" fillId="25" borderId="69" xfId="1" applyFont="1" applyFill="1" applyBorder="1" applyAlignment="1">
      <alignment vertical="top"/>
    </xf>
    <xf numFmtId="43" fontId="31" fillId="25" borderId="185" xfId="1" applyFont="1" applyFill="1" applyBorder="1" applyAlignment="1">
      <alignment vertical="top"/>
    </xf>
    <xf numFmtId="3" fontId="7" fillId="8" borderId="196" xfId="4" applyNumberFormat="1" applyFont="1" applyFill="1" applyBorder="1" applyAlignment="1">
      <alignment vertical="center" wrapText="1"/>
    </xf>
    <xf numFmtId="3" fontId="7" fillId="8" borderId="177" xfId="112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3" fontId="7" fillId="0" borderId="177" xfId="1" applyFont="1" applyFill="1" applyBorder="1" applyAlignment="1">
      <alignment horizontal="right" vertical="center"/>
    </xf>
    <xf numFmtId="3" fontId="20" fillId="0" borderId="0" xfId="112" applyNumberFormat="1" applyFont="1" applyBorder="1" applyAlignment="1">
      <alignment vertical="center"/>
    </xf>
    <xf numFmtId="0" fontId="4" fillId="0" borderId="195" xfId="112" applyFont="1" applyBorder="1" applyAlignment="1">
      <alignment vertical="center"/>
    </xf>
    <xf numFmtId="0" fontId="25" fillId="32" borderId="121" xfId="4" applyFont="1" applyFill="1" applyBorder="1" applyAlignment="1">
      <alignment horizontal="left" vertical="center"/>
    </xf>
    <xf numFmtId="3" fontId="7" fillId="0" borderId="167" xfId="4" applyNumberFormat="1" applyFont="1" applyFill="1" applyBorder="1" applyAlignment="1">
      <alignment vertical="center"/>
    </xf>
    <xf numFmtId="43" fontId="31" fillId="32" borderId="177" xfId="1" applyFont="1" applyFill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7" fillId="0" borderId="117" xfId="4" applyNumberFormat="1" applyFont="1" applyFill="1" applyBorder="1" applyAlignment="1">
      <alignment horizontal="right" vertical="center"/>
    </xf>
    <xf numFmtId="3" fontId="31" fillId="32" borderId="119" xfId="4" applyNumberFormat="1" applyFont="1" applyFill="1" applyBorder="1" applyAlignment="1">
      <alignment vertical="center"/>
    </xf>
    <xf numFmtId="3" fontId="31" fillId="32" borderId="177" xfId="4" applyNumberFormat="1" applyFont="1" applyFill="1" applyBorder="1" applyAlignment="1">
      <alignment vertical="center"/>
    </xf>
    <xf numFmtId="3" fontId="24" fillId="32" borderId="177" xfId="4" applyNumberFormat="1" applyFont="1" applyFill="1" applyBorder="1" applyAlignment="1">
      <alignment vertical="center"/>
    </xf>
    <xf numFmtId="3" fontId="31" fillId="0" borderId="112" xfId="112" applyNumberFormat="1" applyFont="1" applyFill="1" applyBorder="1" applyAlignment="1">
      <alignment vertical="center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7" xfId="0" applyNumberFormat="1" applyFont="1" applyFill="1" applyBorder="1" applyAlignment="1">
      <alignment vertical="top"/>
    </xf>
    <xf numFmtId="3" fontId="25" fillId="2" borderId="177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43" fontId="31" fillId="0" borderId="10" xfId="1" applyFont="1" applyFill="1" applyBorder="1" applyAlignment="1">
      <alignment vertical="center"/>
    </xf>
    <xf numFmtId="3" fontId="27" fillId="0" borderId="177" xfId="4" applyNumberFormat="1" applyFont="1" applyFill="1" applyBorder="1" applyAlignment="1">
      <alignment vertical="center"/>
    </xf>
    <xf numFmtId="3" fontId="6" fillId="6" borderId="35" xfId="0" applyNumberFormat="1" applyFont="1" applyFill="1" applyBorder="1"/>
    <xf numFmtId="0" fontId="7" fillId="6" borderId="196" xfId="0" applyFont="1" applyFill="1" applyBorder="1" applyAlignment="1">
      <alignment vertical="center" wrapText="1"/>
    </xf>
    <xf numFmtId="3" fontId="8" fillId="6" borderId="195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6" xfId="0" applyFont="1" applyFill="1" applyBorder="1" applyAlignment="1">
      <alignment vertical="center" wrapText="1"/>
    </xf>
    <xf numFmtId="3" fontId="25" fillId="22" borderId="10" xfId="0" applyNumberFormat="1" applyFont="1" applyFill="1" applyBorder="1" applyAlignment="1">
      <alignment horizontal="center" vertical="top"/>
    </xf>
    <xf numFmtId="3" fontId="27" fillId="25" borderId="177" xfId="0" applyNumberFormat="1" applyFont="1" applyFill="1" applyBorder="1" applyAlignment="1">
      <alignment horizontal="center" vertical="top"/>
    </xf>
    <xf numFmtId="3" fontId="31" fillId="25" borderId="177" xfId="0" applyNumberFormat="1" applyFont="1" applyFill="1" applyBorder="1" applyAlignment="1">
      <alignment horizontal="center" vertical="top"/>
    </xf>
    <xf numFmtId="3" fontId="8" fillId="56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3" fontId="31" fillId="32" borderId="187" xfId="0" applyNumberFormat="1" applyFont="1" applyFill="1" applyBorder="1" applyAlignment="1">
      <alignment vertical="top"/>
    </xf>
    <xf numFmtId="0" fontId="60" fillId="13" borderId="197" xfId="0" applyFont="1" applyFill="1" applyBorder="1" applyAlignment="1">
      <alignment vertical="center"/>
    </xf>
    <xf numFmtId="0" fontId="60" fillId="13" borderId="196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6" fillId="13" borderId="198" xfId="4" applyFont="1" applyFill="1" applyBorder="1" applyAlignment="1">
      <alignment horizontal="lef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77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0" borderId="168" xfId="4" applyNumberFormat="1" applyFont="1" applyFill="1" applyBorder="1" applyAlignment="1">
      <alignment horizontal="right" vertical="center"/>
    </xf>
    <xf numFmtId="0" fontId="20" fillId="6" borderId="196" xfId="4" applyFont="1" applyFill="1" applyBorder="1" applyAlignment="1">
      <alignment horizontal="left" vertical="center"/>
    </xf>
    <xf numFmtId="43" fontId="29" fillId="0" borderId="168" xfId="1" applyFont="1" applyFill="1" applyBorder="1" applyAlignment="1">
      <alignment horizontal="right" vertical="center"/>
    </xf>
    <xf numFmtId="0" fontId="31" fillId="0" borderId="177" xfId="0" applyFont="1" applyFill="1" applyBorder="1" applyAlignment="1">
      <alignment vertical="top" wrapText="1"/>
    </xf>
    <xf numFmtId="0" fontId="27" fillId="0" borderId="177" xfId="0" applyFont="1" applyFill="1" applyBorder="1" applyAlignment="1">
      <alignment vertical="top" wrapText="1"/>
    </xf>
    <xf numFmtId="0" fontId="31" fillId="0" borderId="187" xfId="4" applyFont="1" applyFill="1" applyBorder="1" applyAlignment="1">
      <alignment vertical="center"/>
    </xf>
    <xf numFmtId="43" fontId="31" fillId="0" borderId="27" xfId="1" applyFont="1" applyFill="1" applyBorder="1" applyAlignment="1">
      <alignment horizontal="right" vertical="center"/>
    </xf>
    <xf numFmtId="3" fontId="24" fillId="6" borderId="151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51" xfId="0" applyNumberFormat="1" applyFont="1" applyFill="1" applyBorder="1" applyAlignment="1">
      <alignment vertical="center"/>
    </xf>
    <xf numFmtId="3" fontId="29" fillId="25" borderId="151" xfId="0" applyNumberFormat="1" applyFont="1" applyFill="1" applyBorder="1" applyAlignment="1">
      <alignment vertical="top"/>
    </xf>
    <xf numFmtId="3" fontId="7" fillId="25" borderId="117" xfId="0" applyNumberFormat="1" applyFont="1" applyFill="1" applyBorder="1" applyAlignment="1">
      <alignment vertical="top"/>
    </xf>
    <xf numFmtId="3" fontId="29" fillId="0" borderId="151" xfId="0" applyNumberFormat="1" applyFont="1" applyFill="1" applyBorder="1" applyAlignment="1">
      <alignment horizontal="right" vertical="center"/>
    </xf>
    <xf numFmtId="3" fontId="7" fillId="25" borderId="117" xfId="0" applyNumberFormat="1" applyFont="1" applyFill="1" applyBorder="1" applyAlignment="1">
      <alignment vertical="center"/>
    </xf>
    <xf numFmtId="3" fontId="38" fillId="0" borderId="161" xfId="0" applyNumberFormat="1" applyFont="1" applyFill="1" applyBorder="1" applyAlignment="1">
      <alignment vertical="center"/>
    </xf>
    <xf numFmtId="3" fontId="7" fillId="0" borderId="151" xfId="0" applyNumberFormat="1" applyFont="1" applyFill="1" applyBorder="1" applyAlignment="1">
      <alignment vertical="center"/>
    </xf>
    <xf numFmtId="0" fontId="7" fillId="23" borderId="35" xfId="0" applyFont="1" applyFill="1" applyBorder="1" applyAlignment="1">
      <alignment vertical="top"/>
    </xf>
    <xf numFmtId="3" fontId="31" fillId="0" borderId="89" xfId="0" applyNumberFormat="1" applyFont="1" applyFill="1" applyBorder="1" applyAlignment="1">
      <alignment vertical="top"/>
    </xf>
    <xf numFmtId="3" fontId="31" fillId="22" borderId="35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3" fontId="28" fillId="0" borderId="97" xfId="0" applyNumberFormat="1" applyFont="1" applyFill="1" applyBorder="1" applyAlignment="1">
      <alignment vertical="center"/>
    </xf>
    <xf numFmtId="0" fontId="7" fillId="8" borderId="103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0" fontId="17" fillId="0" borderId="84" xfId="0" applyFont="1" applyFill="1" applyBorder="1" applyAlignment="1">
      <alignment horizontal="center" vertical="center"/>
    </xf>
    <xf numFmtId="0" fontId="31" fillId="8" borderId="103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vertical="center"/>
    </xf>
    <xf numFmtId="0" fontId="25" fillId="8" borderId="19" xfId="4" applyFont="1" applyFill="1" applyBorder="1" applyAlignment="1">
      <alignment vertical="center" wrapText="1"/>
    </xf>
    <xf numFmtId="0" fontId="24" fillId="6" borderId="20" xfId="4" applyFont="1" applyFill="1" applyBorder="1" applyAlignment="1">
      <alignment horizontal="left" vertical="center"/>
    </xf>
    <xf numFmtId="0" fontId="29" fillId="2" borderId="195" xfId="4" applyFont="1" applyFill="1" applyBorder="1" applyAlignment="1">
      <alignment vertical="center"/>
    </xf>
    <xf numFmtId="3" fontId="63" fillId="8" borderId="76" xfId="6" applyNumberFormat="1" applyFont="1" applyFill="1" applyBorder="1" applyAlignment="1">
      <alignment vertical="center"/>
    </xf>
    <xf numFmtId="43" fontId="31" fillId="0" borderId="188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177" xfId="4" applyNumberFormat="1" applyFont="1" applyFill="1" applyBorder="1" applyAlignment="1">
      <alignment vertical="center" wrapText="1"/>
    </xf>
    <xf numFmtId="0" fontId="21" fillId="2" borderId="196" xfId="0" applyFont="1" applyFill="1" applyBorder="1" applyAlignment="1">
      <alignment horizontal="center" vertical="top"/>
    </xf>
    <xf numFmtId="0" fontId="21" fillId="2" borderId="177" xfId="0" quotePrefix="1" applyFont="1" applyFill="1" applyBorder="1" applyAlignment="1">
      <alignment horizontal="center" vertical="top"/>
    </xf>
    <xf numFmtId="3" fontId="29" fillId="8" borderId="180" xfId="4" applyNumberFormat="1" applyFont="1" applyFill="1" applyBorder="1" applyAlignment="1">
      <alignment vertical="center" wrapText="1"/>
    </xf>
    <xf numFmtId="3" fontId="27" fillId="8" borderId="196" xfId="0" applyNumberFormat="1" applyFont="1" applyFill="1" applyBorder="1" applyAlignment="1">
      <alignment vertical="center"/>
    </xf>
    <xf numFmtId="3" fontId="7" fillId="8" borderId="196" xfId="0" applyNumberFormat="1" applyFont="1" applyFill="1" applyBorder="1" applyAlignment="1">
      <alignment vertical="center"/>
    </xf>
    <xf numFmtId="3" fontId="32" fillId="8" borderId="196" xfId="6" applyNumberFormat="1" applyFont="1" applyFill="1" applyBorder="1" applyAlignment="1">
      <alignment vertical="center"/>
    </xf>
    <xf numFmtId="3" fontId="7" fillId="23" borderId="177" xfId="4" applyNumberFormat="1" applyFont="1" applyFill="1" applyBorder="1" applyAlignment="1">
      <alignment vertical="center"/>
    </xf>
    <xf numFmtId="3" fontId="33" fillId="8" borderId="176" xfId="6" applyNumberFormat="1" applyFont="1" applyFill="1" applyBorder="1" applyAlignment="1">
      <alignment vertical="center"/>
    </xf>
    <xf numFmtId="3" fontId="7" fillId="8" borderId="114" xfId="4" applyNumberFormat="1" applyFont="1" applyFill="1" applyBorder="1" applyAlignment="1">
      <alignment vertical="center" wrapText="1"/>
    </xf>
    <xf numFmtId="3" fontId="31" fillId="0" borderId="193" xfId="1" applyNumberFormat="1" applyFont="1" applyFill="1" applyBorder="1" applyAlignment="1">
      <alignment horizontal="right"/>
    </xf>
    <xf numFmtId="41" fontId="27" fillId="0" borderId="168" xfId="4" applyNumberFormat="1" applyFont="1" applyFill="1" applyBorder="1" applyAlignment="1">
      <alignment horizontal="right" vertical="center"/>
    </xf>
    <xf numFmtId="41" fontId="7" fillId="0" borderId="168" xfId="4" applyNumberFormat="1" applyFont="1" applyFill="1" applyBorder="1" applyAlignment="1">
      <alignment horizontal="right" vertical="center"/>
    </xf>
    <xf numFmtId="3" fontId="32" fillId="8" borderId="177" xfId="6" applyNumberFormat="1" applyFont="1" applyFill="1" applyBorder="1" applyAlignment="1">
      <alignment vertical="center"/>
    </xf>
    <xf numFmtId="3" fontId="7" fillId="0" borderId="193" xfId="4" applyNumberFormat="1" applyFont="1" applyFill="1" applyBorder="1" applyAlignment="1">
      <alignment horizontal="right" vertical="center"/>
    </xf>
    <xf numFmtId="3" fontId="25" fillId="6" borderId="196" xfId="4" applyNumberFormat="1" applyFont="1" applyFill="1" applyBorder="1" applyAlignment="1">
      <alignment vertical="center"/>
    </xf>
    <xf numFmtId="3" fontId="24" fillId="22" borderId="76" xfId="4" applyNumberFormat="1" applyFont="1" applyFill="1" applyBorder="1" applyAlignment="1">
      <alignment horizontal="right" vertical="center"/>
    </xf>
    <xf numFmtId="3" fontId="20" fillId="2" borderId="173" xfId="4" applyNumberFormat="1" applyFont="1" applyFill="1" applyBorder="1" applyAlignment="1">
      <alignment vertical="center" wrapText="1"/>
    </xf>
    <xf numFmtId="0" fontId="17" fillId="6" borderId="20" xfId="4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43" fontId="7" fillId="23" borderId="177" xfId="1" applyFont="1" applyFill="1" applyBorder="1" applyAlignment="1">
      <alignment horizontal="right" vertical="center"/>
    </xf>
    <xf numFmtId="0" fontId="23" fillId="0" borderId="35" xfId="6" applyFont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3" fontId="31" fillId="23" borderId="187" xfId="0" applyNumberFormat="1" applyFont="1" applyFill="1" applyBorder="1" applyAlignment="1"/>
    <xf numFmtId="0" fontId="86" fillId="0" borderId="0" xfId="0" applyFont="1" applyBorder="1"/>
    <xf numFmtId="3" fontId="86" fillId="0" borderId="0" xfId="0" applyNumberFormat="1" applyFont="1" applyBorder="1"/>
    <xf numFmtId="0" fontId="85" fillId="0" borderId="0" xfId="0" applyFont="1" applyBorder="1" applyAlignment="1">
      <alignment vertical="top"/>
    </xf>
    <xf numFmtId="0" fontId="85" fillId="0" borderId="151" xfId="0" applyFont="1" applyBorder="1" applyAlignment="1">
      <alignment horizontal="center" vertical="top"/>
    </xf>
    <xf numFmtId="3" fontId="89" fillId="0" borderId="151" xfId="0" applyNumberFormat="1" applyFont="1" applyBorder="1" applyAlignment="1">
      <alignment vertical="top"/>
    </xf>
    <xf numFmtId="2" fontId="85" fillId="0" borderId="177" xfId="0" applyNumberFormat="1" applyFont="1" applyBorder="1"/>
    <xf numFmtId="3" fontId="85" fillId="0" borderId="177" xfId="0" applyNumberFormat="1" applyFont="1" applyBorder="1"/>
    <xf numFmtId="3" fontId="89" fillId="0" borderId="177" xfId="0" applyNumberFormat="1" applyFont="1" applyBorder="1"/>
    <xf numFmtId="3" fontId="86" fillId="0" borderId="177" xfId="0" applyNumberFormat="1" applyFont="1" applyBorder="1" applyAlignment="1">
      <alignment vertical="top"/>
    </xf>
    <xf numFmtId="1" fontId="21" fillId="2" borderId="35" xfId="0" quotePrefix="1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center" vertical="top"/>
    </xf>
    <xf numFmtId="3" fontId="87" fillId="0" borderId="2" xfId="0" quotePrefix="1" applyNumberFormat="1" applyFont="1" applyBorder="1" applyAlignment="1">
      <alignment horizontal="center" vertical="center"/>
    </xf>
    <xf numFmtId="3" fontId="90" fillId="37" borderId="39" xfId="0" applyNumberFormat="1" applyFont="1" applyFill="1" applyBorder="1" applyAlignment="1">
      <alignment vertical="center" wrapText="1"/>
    </xf>
    <xf numFmtId="3" fontId="90" fillId="6" borderId="39" xfId="0" applyNumberFormat="1" applyFont="1" applyFill="1" applyBorder="1" applyAlignment="1">
      <alignment vertical="center" wrapText="1"/>
    </xf>
    <xf numFmtId="3" fontId="90" fillId="2" borderId="15" xfId="0" applyNumberFormat="1" applyFont="1" applyFill="1" applyBorder="1" applyAlignment="1">
      <alignment vertical="center" wrapText="1"/>
    </xf>
    <xf numFmtId="3" fontId="91" fillId="4" borderId="35" xfId="0" applyNumberFormat="1" applyFont="1" applyFill="1" applyBorder="1" applyAlignment="1">
      <alignment vertical="center" wrapText="1"/>
    </xf>
    <xf numFmtId="3" fontId="91" fillId="6" borderId="30" xfId="0" applyNumberFormat="1" applyFont="1" applyFill="1" applyBorder="1" applyAlignment="1">
      <alignment vertical="center" wrapText="1"/>
    </xf>
    <xf numFmtId="3" fontId="91" fillId="4" borderId="30" xfId="0" applyNumberFormat="1" applyFont="1" applyFill="1" applyBorder="1" applyAlignment="1">
      <alignment vertical="center" wrapText="1"/>
    </xf>
    <xf numFmtId="3" fontId="90" fillId="37" borderId="12" xfId="0" applyNumberFormat="1" applyFont="1" applyFill="1" applyBorder="1" applyAlignment="1">
      <alignment vertical="center" wrapText="1"/>
    </xf>
    <xf numFmtId="3" fontId="27" fillId="55" borderId="16" xfId="4" applyNumberFormat="1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center" vertical="center"/>
    </xf>
    <xf numFmtId="3" fontId="27" fillId="55" borderId="28" xfId="4" applyNumberFormat="1" applyFont="1" applyFill="1" applyBorder="1" applyAlignment="1">
      <alignment horizontal="left" vertical="center"/>
    </xf>
    <xf numFmtId="3" fontId="27" fillId="55" borderId="117" xfId="4" applyNumberFormat="1" applyFont="1" applyFill="1" applyBorder="1" applyAlignment="1">
      <alignment horizontal="left" vertical="center"/>
    </xf>
    <xf numFmtId="3" fontId="27" fillId="55" borderId="13" xfId="4" applyNumberFormat="1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top"/>
    </xf>
    <xf numFmtId="0" fontId="71" fillId="2" borderId="0" xfId="0" applyFont="1" applyFill="1" applyBorder="1" applyAlignment="1">
      <alignment horizontal="center" wrapText="1"/>
    </xf>
    <xf numFmtId="0" fontId="0" fillId="0" borderId="167" xfId="0" applyFont="1" applyBorder="1"/>
    <xf numFmtId="3" fontId="0" fillId="0" borderId="167" xfId="0" applyNumberFormat="1" applyFont="1" applyBorder="1"/>
    <xf numFmtId="0" fontId="25" fillId="0" borderId="4" xfId="4" applyFont="1" applyBorder="1" applyAlignment="1">
      <alignment horizontal="center" vertical="center" wrapText="1"/>
    </xf>
    <xf numFmtId="43" fontId="27" fillId="2" borderId="27" xfId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horizontal="left" vertical="center" wrapText="1"/>
    </xf>
    <xf numFmtId="2" fontId="27" fillId="55" borderId="8" xfId="4" applyNumberFormat="1" applyFont="1" applyFill="1" applyBorder="1" applyAlignment="1">
      <alignment horizontal="right" vertical="center"/>
    </xf>
    <xf numFmtId="2" fontId="27" fillId="55" borderId="24" xfId="4" applyNumberFormat="1" applyFont="1" applyFill="1" applyBorder="1" applyAlignment="1">
      <alignment horizontal="right" vertical="center"/>
    </xf>
    <xf numFmtId="2" fontId="27" fillId="55" borderId="0" xfId="0" quotePrefix="1" applyNumberFormat="1" applyFont="1" applyFill="1" applyBorder="1" applyAlignment="1">
      <alignment horizontal="right" vertical="top"/>
    </xf>
    <xf numFmtId="2" fontId="31" fillId="8" borderId="180" xfId="0" applyNumberFormat="1" applyFont="1" applyFill="1" applyBorder="1" applyAlignment="1">
      <alignment vertical="center"/>
    </xf>
    <xf numFmtId="2" fontId="27" fillId="8" borderId="180" xfId="0" applyNumberFormat="1" applyFont="1" applyFill="1" applyBorder="1" applyAlignment="1">
      <alignment horizontal="right" vertical="center"/>
    </xf>
    <xf numFmtId="2" fontId="31" fillId="8" borderId="180" xfId="0" applyNumberFormat="1" applyFont="1" applyFill="1" applyBorder="1" applyAlignment="1">
      <alignment vertical="top"/>
    </xf>
    <xf numFmtId="2" fontId="25" fillId="6" borderId="7" xfId="4" applyNumberFormat="1" applyFont="1" applyFill="1" applyBorder="1" applyAlignment="1">
      <alignment horizontal="right" vertical="center"/>
    </xf>
    <xf numFmtId="2" fontId="31" fillId="8" borderId="194" xfId="0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center"/>
    </xf>
    <xf numFmtId="2" fontId="27" fillId="8" borderId="0" xfId="0" applyNumberFormat="1" applyFont="1" applyFill="1" applyBorder="1" applyAlignment="1">
      <alignment vertical="center"/>
    </xf>
    <xf numFmtId="2" fontId="31" fillId="8" borderId="27" xfId="0" applyNumberFormat="1" applyFont="1" applyFill="1" applyBorder="1" applyAlignment="1">
      <alignment vertical="center"/>
    </xf>
    <xf numFmtId="2" fontId="25" fillId="6" borderId="35" xfId="0" applyNumberFormat="1" applyFont="1" applyFill="1" applyBorder="1" applyAlignment="1"/>
    <xf numFmtId="2" fontId="27" fillId="2" borderId="173" xfId="0" applyNumberFormat="1" applyFont="1" applyFill="1" applyBorder="1" applyAlignment="1"/>
    <xf numFmtId="2" fontId="27" fillId="2" borderId="176" xfId="0" applyNumberFormat="1" applyFont="1" applyFill="1" applyBorder="1" applyAlignment="1"/>
    <xf numFmtId="2" fontId="28" fillId="2" borderId="13" xfId="0" applyNumberFormat="1" applyFont="1" applyFill="1" applyBorder="1" applyAlignment="1"/>
    <xf numFmtId="2" fontId="31" fillId="0" borderId="13" xfId="0" applyNumberFormat="1" applyFont="1" applyFill="1" applyBorder="1" applyAlignment="1">
      <alignment vertical="top"/>
    </xf>
    <xf numFmtId="2" fontId="27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1" fillId="2" borderId="12" xfId="0" applyNumberFormat="1" applyFont="1" applyFill="1" applyBorder="1" applyAlignment="1">
      <alignment vertical="center"/>
    </xf>
    <xf numFmtId="43" fontId="25" fillId="6" borderId="168" xfId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0" fontId="25" fillId="6" borderId="180" xfId="4" applyFont="1" applyFill="1" applyBorder="1" applyAlignment="1">
      <alignment vertical="center"/>
    </xf>
    <xf numFmtId="3" fontId="27" fillId="32" borderId="168" xfId="4" applyNumberFormat="1" applyFont="1" applyFill="1" applyBorder="1" applyAlignment="1">
      <alignment horizontal="right" vertical="center"/>
    </xf>
    <xf numFmtId="3" fontId="7" fillId="32" borderId="177" xfId="4" applyNumberFormat="1" applyFont="1" applyFill="1" applyBorder="1" applyAlignment="1">
      <alignment horizontal="right" vertical="center"/>
    </xf>
    <xf numFmtId="0" fontId="21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25" fillId="32" borderId="12" xfId="4" applyFont="1" applyFill="1" applyBorder="1" applyAlignment="1">
      <alignment horizontal="center" vertical="center" wrapText="1"/>
    </xf>
    <xf numFmtId="3" fontId="27" fillId="55" borderId="16" xfId="4" applyNumberFormat="1" applyFont="1" applyFill="1" applyBorder="1" applyAlignment="1">
      <alignment horizontal="center" vertical="center"/>
    </xf>
    <xf numFmtId="3" fontId="31" fillId="25" borderId="152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38" fillId="0" borderId="75" xfId="4" applyNumberFormat="1" applyFont="1" applyFill="1" applyBorder="1" applyAlignment="1">
      <alignment horizontal="right" vertical="center"/>
    </xf>
    <xf numFmtId="3" fontId="27" fillId="26" borderId="75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31" fillId="25" borderId="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3" fontId="31" fillId="25" borderId="8" xfId="4" applyNumberFormat="1" applyFont="1" applyFill="1" applyBorder="1" applyAlignment="1">
      <alignment horizontal="right" vertical="center"/>
    </xf>
    <xf numFmtId="3" fontId="7" fillId="2" borderId="72" xfId="4" applyNumberFormat="1" applyFont="1" applyFill="1" applyBorder="1" applyAlignment="1">
      <alignment vertical="center"/>
    </xf>
    <xf numFmtId="3" fontId="29" fillId="25" borderId="176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2" fillId="0" borderId="171" xfId="1" applyFont="1" applyFill="1" applyBorder="1" applyAlignment="1">
      <alignment vertical="center"/>
    </xf>
    <xf numFmtId="43" fontId="7" fillId="0" borderId="177" xfId="1" applyFont="1" applyFill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43" fontId="31" fillId="25" borderId="152" xfId="1" applyFont="1" applyFill="1" applyBorder="1" applyAlignment="1">
      <alignment horizontal="right" vertical="center"/>
    </xf>
    <xf numFmtId="43" fontId="24" fillId="32" borderId="9" xfId="1" applyFont="1" applyFill="1" applyBorder="1" applyAlignment="1">
      <alignment vertical="center"/>
    </xf>
    <xf numFmtId="3" fontId="7" fillId="24" borderId="3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" fontId="25" fillId="26" borderId="51" xfId="4" applyNumberFormat="1" applyFont="1" applyFill="1" applyBorder="1" applyAlignment="1">
      <alignment horizontal="center" vertical="center"/>
    </xf>
    <xf numFmtId="43" fontId="29" fillId="2" borderId="176" xfId="1" applyFont="1" applyFill="1" applyBorder="1" applyAlignment="1">
      <alignment vertical="center"/>
    </xf>
    <xf numFmtId="43" fontId="31" fillId="0" borderId="188" xfId="1" applyFont="1" applyFill="1" applyBorder="1" applyAlignment="1">
      <alignment vertical="center"/>
    </xf>
    <xf numFmtId="43" fontId="31" fillId="0" borderId="192" xfId="1" applyFont="1" applyFill="1" applyBorder="1" applyAlignment="1">
      <alignment horizontal="right" vertical="center"/>
    </xf>
    <xf numFmtId="43" fontId="24" fillId="8" borderId="68" xfId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3" fontId="25" fillId="22" borderId="152" xfId="4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3" fontId="31" fillId="0" borderId="99" xfId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3" fontId="24" fillId="8" borderId="15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31" fillId="2" borderId="69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3" fontId="24" fillId="23" borderId="68" xfId="4" applyNumberFormat="1" applyFont="1" applyFill="1" applyBorder="1" applyAlignment="1">
      <alignment horizontal="right"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4" fillId="22" borderId="152" xfId="4" applyNumberFormat="1" applyFont="1" applyFill="1" applyBorder="1" applyAlignment="1">
      <alignment horizontal="right" vertical="center"/>
    </xf>
    <xf numFmtId="3" fontId="25" fillId="22" borderId="10" xfId="4" applyNumberFormat="1" applyFont="1" applyFill="1" applyBorder="1" applyAlignment="1">
      <alignment horizontal="right" vertical="center"/>
    </xf>
    <xf numFmtId="3" fontId="31" fillId="25" borderId="193" xfId="4" applyNumberFormat="1" applyFont="1" applyFill="1" applyBorder="1" applyAlignment="1">
      <alignment horizontal="right" vertical="center"/>
    </xf>
    <xf numFmtId="3" fontId="31" fillId="0" borderId="128" xfId="4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3" fontId="25" fillId="22" borderId="167" xfId="4" applyNumberFormat="1" applyFont="1" applyFill="1" applyBorder="1" applyAlignment="1">
      <alignment horizontal="right" vertical="center"/>
    </xf>
    <xf numFmtId="3" fontId="24" fillId="6" borderId="167" xfId="4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0" fontId="0" fillId="0" borderId="177" xfId="0" applyFont="1" applyBorder="1"/>
    <xf numFmtId="0" fontId="0" fillId="0" borderId="108" xfId="0" applyFont="1" applyBorder="1" applyAlignment="1">
      <alignment vertical="center"/>
    </xf>
    <xf numFmtId="3" fontId="0" fillId="0" borderId="98" xfId="0" applyNumberFormat="1" applyFont="1" applyBorder="1" applyAlignment="1">
      <alignment vertical="center"/>
    </xf>
    <xf numFmtId="0" fontId="0" fillId="0" borderId="111" xfId="0" applyFont="1" applyBorder="1" applyAlignment="1">
      <alignment vertical="center"/>
    </xf>
    <xf numFmtId="0" fontId="0" fillId="0" borderId="109" xfId="0" applyFont="1" applyBorder="1"/>
    <xf numFmtId="0" fontId="0" fillId="0" borderId="98" xfId="0" applyFont="1" applyFill="1" applyBorder="1"/>
    <xf numFmtId="3" fontId="31" fillId="0" borderId="177" xfId="0" applyNumberFormat="1" applyFont="1" applyFill="1" applyBorder="1" applyAlignment="1">
      <alignment horizontal="right"/>
    </xf>
    <xf numFmtId="0" fontId="0" fillId="0" borderId="171" xfId="0" applyFont="1" applyBorder="1"/>
    <xf numFmtId="0" fontId="0" fillId="32" borderId="177" xfId="0" applyFont="1" applyFill="1" applyBorder="1"/>
    <xf numFmtId="0" fontId="0" fillId="0" borderId="162" xfId="0" applyFont="1" applyBorder="1"/>
    <xf numFmtId="0" fontId="0" fillId="0" borderId="167" xfId="0" applyFont="1" applyBorder="1" applyAlignment="1">
      <alignment vertical="center"/>
    </xf>
    <xf numFmtId="3" fontId="0" fillId="0" borderId="167" xfId="0" applyNumberFormat="1" applyFont="1" applyBorder="1" applyAlignment="1">
      <alignment vertical="center"/>
    </xf>
    <xf numFmtId="0" fontId="0" fillId="0" borderId="193" xfId="0" applyFont="1" applyBorder="1"/>
    <xf numFmtId="0" fontId="0" fillId="0" borderId="50" xfId="0" applyFont="1" applyBorder="1"/>
    <xf numFmtId="0" fontId="0" fillId="0" borderId="173" xfId="0" applyFont="1" applyBorder="1"/>
    <xf numFmtId="0" fontId="0" fillId="0" borderId="187" xfId="0" applyFont="1" applyBorder="1"/>
    <xf numFmtId="0" fontId="0" fillId="0" borderId="13" xfId="0" applyFont="1" applyBorder="1"/>
    <xf numFmtId="0" fontId="0" fillId="0" borderId="39" xfId="0" applyFont="1" applyBorder="1"/>
    <xf numFmtId="0" fontId="0" fillId="0" borderId="12" xfId="0" applyFont="1" applyBorder="1"/>
    <xf numFmtId="0" fontId="0" fillId="0" borderId="68" xfId="0" applyFont="1" applyBorder="1"/>
    <xf numFmtId="0" fontId="0" fillId="0" borderId="17" xfId="0" applyFont="1" applyBorder="1"/>
    <xf numFmtId="1" fontId="21" fillId="2" borderId="35" xfId="0" applyNumberFormat="1" applyFont="1" applyFill="1" applyBorder="1" applyAlignment="1">
      <alignment horizontal="center" vertical="top"/>
    </xf>
    <xf numFmtId="0" fontId="21" fillId="2" borderId="20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center" vertical="top"/>
    </xf>
    <xf numFmtId="0" fontId="0" fillId="0" borderId="117" xfId="0" applyFont="1" applyBorder="1"/>
    <xf numFmtId="0" fontId="0" fillId="0" borderId="112" xfId="0" applyFont="1" applyBorder="1"/>
    <xf numFmtId="3" fontId="60" fillId="0" borderId="177" xfId="0" applyNumberFormat="1" applyFont="1" applyBorder="1"/>
    <xf numFmtId="3" fontId="0" fillId="0" borderId="177" xfId="0" applyNumberFormat="1" applyFont="1" applyBorder="1"/>
    <xf numFmtId="3" fontId="39" fillId="0" borderId="177" xfId="0" applyNumberFormat="1" applyFont="1" applyBorder="1"/>
    <xf numFmtId="0" fontId="0" fillId="0" borderId="43" xfId="0" applyFont="1" applyBorder="1"/>
    <xf numFmtId="3" fontId="31" fillId="0" borderId="39" xfId="0" applyNumberFormat="1" applyFont="1" applyFill="1" applyBorder="1" applyAlignment="1">
      <alignment vertical="top"/>
    </xf>
    <xf numFmtId="43" fontId="27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28" fillId="56" borderId="9" xfId="0" applyNumberFormat="1" applyFont="1" applyFill="1" applyBorder="1" applyAlignment="1">
      <alignment vertical="center"/>
    </xf>
    <xf numFmtId="3" fontId="28" fillId="55" borderId="9" xfId="0" applyNumberFormat="1" applyFont="1" applyFill="1" applyBorder="1" applyAlignment="1">
      <alignment horizontal="right"/>
    </xf>
    <xf numFmtId="3" fontId="31" fillId="55" borderId="9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center"/>
    </xf>
    <xf numFmtId="0" fontId="0" fillId="0" borderId="66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7" xfId="0" applyNumberFormat="1" applyFont="1" applyBorder="1"/>
    <xf numFmtId="2" fontId="0" fillId="0" borderId="177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1" fillId="0" borderId="162" xfId="4" applyNumberFormat="1" applyFont="1" applyFill="1" applyBorder="1" applyAlignment="1">
      <alignment horizontal="right" vertical="center"/>
    </xf>
    <xf numFmtId="3" fontId="31" fillId="0" borderId="187" xfId="4" applyNumberFormat="1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0" fontId="0" fillId="0" borderId="8" xfId="0" applyFont="1" applyBorder="1" applyAlignment="1">
      <alignment vertical="center"/>
    </xf>
    <xf numFmtId="0" fontId="0" fillId="0" borderId="22" xfId="0" applyFont="1" applyBorder="1" applyAlignment="1"/>
    <xf numFmtId="0" fontId="0" fillId="0" borderId="177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6" fillId="18" borderId="39" xfId="0" applyNumberFormat="1" applyFont="1" applyFill="1" applyBorder="1" applyAlignment="1">
      <alignment vertical="center"/>
    </xf>
    <xf numFmtId="3" fontId="36" fillId="18" borderId="40" xfId="0" applyNumberFormat="1" applyFont="1" applyFill="1" applyBorder="1" applyAlignment="1">
      <alignment vertical="center"/>
    </xf>
    <xf numFmtId="0" fontId="36" fillId="18" borderId="38" xfId="0" applyFont="1" applyFill="1" applyBorder="1" applyAlignment="1">
      <alignment horizontal="center" vertical="center"/>
    </xf>
    <xf numFmtId="0" fontId="36" fillId="18" borderId="84" xfId="0" applyFont="1" applyFill="1" applyBorder="1" applyAlignment="1">
      <alignment horizontal="center"/>
    </xf>
    <xf numFmtId="3" fontId="36" fillId="18" borderId="40" xfId="0" applyNumberFormat="1" applyFont="1" applyFill="1" applyBorder="1"/>
    <xf numFmtId="3" fontId="24" fillId="22" borderId="35" xfId="4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6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5" xfId="0" applyNumberFormat="1" applyFont="1" applyFill="1" applyBorder="1"/>
    <xf numFmtId="3" fontId="8" fillId="6" borderId="7" xfId="0" applyNumberFormat="1" applyFont="1" applyFill="1" applyBorder="1"/>
    <xf numFmtId="3" fontId="6" fillId="6" borderId="129" xfId="0" applyNumberFormat="1" applyFont="1" applyFill="1" applyBorder="1"/>
    <xf numFmtId="3" fontId="76" fillId="12" borderId="10" xfId="0" applyNumberFormat="1" applyFont="1" applyFill="1" applyBorder="1" applyAlignment="1">
      <alignment vertical="center"/>
    </xf>
    <xf numFmtId="3" fontId="36" fillId="15" borderId="75" xfId="0" applyNumberFormat="1" applyFont="1" applyFill="1" applyBorder="1" applyAlignment="1">
      <alignment vertical="center"/>
    </xf>
    <xf numFmtId="3" fontId="8" fillId="6" borderId="180" xfId="0" applyNumberFormat="1" applyFont="1" applyFill="1" applyBorder="1"/>
    <xf numFmtId="3" fontId="8" fillId="6" borderId="114" xfId="0" applyNumberFormat="1" applyFont="1" applyFill="1" applyBorder="1"/>
    <xf numFmtId="3" fontId="36" fillId="16" borderId="72" xfId="5" applyNumberFormat="1" applyFont="1" applyFill="1" applyBorder="1" applyAlignment="1">
      <alignment vertical="center"/>
    </xf>
    <xf numFmtId="3" fontId="8" fillId="8" borderId="185" xfId="0" applyNumberFormat="1" applyFont="1" applyFill="1" applyBorder="1"/>
    <xf numFmtId="3" fontId="77" fillId="17" borderId="10" xfId="0" applyNumberFormat="1" applyFont="1" applyFill="1" applyBorder="1"/>
    <xf numFmtId="3" fontId="77" fillId="8" borderId="10" xfId="0" applyNumberFormat="1" applyFont="1" applyFill="1" applyBorder="1"/>
    <xf numFmtId="3" fontId="19" fillId="16" borderId="75" xfId="5" applyNumberFormat="1" applyFont="1" applyFill="1" applyBorder="1"/>
    <xf numFmtId="3" fontId="65" fillId="17" borderId="76" xfId="0" applyNumberFormat="1" applyFont="1" applyFill="1" applyBorder="1"/>
    <xf numFmtId="3" fontId="36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5" xfId="0" applyNumberFormat="1" applyFont="1" applyFill="1" applyBorder="1"/>
    <xf numFmtId="3" fontId="6" fillId="11" borderId="129" xfId="0" applyNumberFormat="1" applyFont="1" applyFill="1" applyBorder="1"/>
    <xf numFmtId="3" fontId="76" fillId="18" borderId="75" xfId="0" applyNumberFormat="1" applyFont="1" applyFill="1" applyBorder="1" applyAlignment="1">
      <alignment vertical="top"/>
    </xf>
    <xf numFmtId="3" fontId="76" fillId="2" borderId="10" xfId="0" applyNumberFormat="1" applyFont="1" applyFill="1" applyBorder="1" applyAlignment="1">
      <alignment vertical="top"/>
    </xf>
    <xf numFmtId="3" fontId="36" fillId="18" borderId="75" xfId="0" applyNumberFormat="1" applyFont="1" applyFill="1" applyBorder="1"/>
    <xf numFmtId="3" fontId="8" fillId="18" borderId="72" xfId="0" applyNumberFormat="1" applyFont="1" applyFill="1" applyBorder="1"/>
    <xf numFmtId="3" fontId="62" fillId="2" borderId="10" xfId="0" applyNumberFormat="1" applyFont="1" applyFill="1" applyBorder="1" applyAlignment="1">
      <alignment vertical="center" wrapText="1"/>
    </xf>
    <xf numFmtId="0" fontId="65" fillId="0" borderId="168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3" xfId="0" applyNumberFormat="1" applyFont="1" applyFill="1" applyBorder="1"/>
    <xf numFmtId="3" fontId="8" fillId="6" borderId="193" xfId="0" applyNumberFormat="1" applyFont="1" applyFill="1" applyBorder="1"/>
    <xf numFmtId="3" fontId="8" fillId="8" borderId="193" xfId="0" applyNumberFormat="1" applyFont="1" applyFill="1" applyBorder="1"/>
    <xf numFmtId="3" fontId="36" fillId="18" borderId="50" xfId="0" applyNumberFormat="1" applyFont="1" applyFill="1" applyBorder="1" applyAlignment="1">
      <alignment vertical="center"/>
    </xf>
    <xf numFmtId="3" fontId="6" fillId="11" borderId="193" xfId="0" applyNumberFormat="1" applyFont="1" applyFill="1" applyBorder="1"/>
    <xf numFmtId="3" fontId="62" fillId="2" borderId="7" xfId="0" applyNumberFormat="1" applyFont="1" applyFill="1" applyBorder="1" applyAlignment="1">
      <alignment vertical="center" wrapText="1"/>
    </xf>
    <xf numFmtId="0" fontId="65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9" fillId="14" borderId="2" xfId="0" applyNumberFormat="1" applyFont="1" applyFill="1" applyBorder="1" applyAlignment="1">
      <alignment vertical="center" wrapText="1"/>
    </xf>
    <xf numFmtId="3" fontId="24" fillId="14" borderId="10" xfId="0" applyNumberFormat="1" applyFont="1" applyFill="1" applyBorder="1" applyAlignment="1">
      <alignment vertical="center" wrapText="1"/>
    </xf>
    <xf numFmtId="3" fontId="24" fillId="14" borderId="72" xfId="0" applyNumberFormat="1" applyFont="1" applyFill="1" applyBorder="1" applyAlignment="1">
      <alignment vertical="center" wrapText="1"/>
    </xf>
    <xf numFmtId="3" fontId="72" fillId="0" borderId="10" xfId="0" applyNumberFormat="1" applyFont="1" applyFill="1" applyBorder="1" applyAlignment="1">
      <alignment vertical="center" wrapText="1"/>
    </xf>
    <xf numFmtId="3" fontId="76" fillId="8" borderId="10" xfId="0" applyNumberFormat="1" applyFont="1" applyFill="1" applyBorder="1"/>
    <xf numFmtId="3" fontId="8" fillId="6" borderId="129" xfId="0" applyNumberFormat="1" applyFont="1" applyFill="1" applyBorder="1"/>
    <xf numFmtId="3" fontId="76" fillId="12" borderId="10" xfId="0" applyNumberFormat="1" applyFont="1" applyFill="1" applyBorder="1"/>
    <xf numFmtId="3" fontId="76" fillId="12" borderId="7" xfId="0" applyNumberFormat="1" applyFont="1" applyFill="1" applyBorder="1"/>
    <xf numFmtId="0" fontId="65" fillId="0" borderId="186" xfId="0" applyFont="1" applyBorder="1" applyAlignment="1">
      <alignment horizontal="center" vertical="center"/>
    </xf>
    <xf numFmtId="0" fontId="8" fillId="16" borderId="2" xfId="0" applyFont="1" applyFill="1" applyBorder="1"/>
    <xf numFmtId="3" fontId="19" fillId="8" borderId="10" xfId="0" applyNumberFormat="1" applyFont="1" applyFill="1" applyBorder="1"/>
    <xf numFmtId="3" fontId="65" fillId="17" borderId="7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2" fillId="2" borderId="5" xfId="0" applyNumberFormat="1" applyFont="1" applyFill="1" applyBorder="1" applyAlignment="1">
      <alignment vertical="center" wrapText="1"/>
    </xf>
    <xf numFmtId="0" fontId="65" fillId="0" borderId="182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5" xfId="0" applyNumberFormat="1" applyFont="1" applyFill="1" applyBorder="1"/>
    <xf numFmtId="3" fontId="36" fillId="18" borderId="52" xfId="0" applyNumberFormat="1" applyFont="1" applyFill="1" applyBorder="1" applyAlignment="1">
      <alignment vertical="center"/>
    </xf>
    <xf numFmtId="3" fontId="6" fillId="11" borderId="195" xfId="0" applyNumberFormat="1" applyFont="1" applyFill="1" applyBorder="1"/>
    <xf numFmtId="0" fontId="24" fillId="6" borderId="196" xfId="4" applyFont="1" applyFill="1" applyBorder="1" applyAlignment="1">
      <alignment horizontal="left" vertical="center"/>
    </xf>
    <xf numFmtId="3" fontId="7" fillId="23" borderId="185" xfId="0" applyNumberFormat="1" applyFont="1" applyFill="1" applyBorder="1" applyAlignment="1">
      <alignment vertical="center"/>
    </xf>
    <xf numFmtId="3" fontId="18" fillId="8" borderId="65" xfId="4" applyNumberFormat="1" applyFont="1" applyFill="1" applyBorder="1" applyAlignment="1">
      <alignment horizontal="center" vertical="center"/>
    </xf>
    <xf numFmtId="0" fontId="18" fillId="8" borderId="65" xfId="4" applyFont="1" applyFill="1" applyBorder="1" applyAlignment="1">
      <alignment horizontal="center" vertical="center"/>
    </xf>
    <xf numFmtId="3" fontId="25" fillId="22" borderId="68" xfId="4" applyNumberFormat="1" applyFont="1" applyFill="1" applyBorder="1" applyAlignment="1">
      <alignment horizontal="right" vertical="center"/>
    </xf>
    <xf numFmtId="0" fontId="25" fillId="6" borderId="17" xfId="4" applyFont="1" applyFill="1" applyBorder="1" applyAlignment="1">
      <alignment horizontal="left" vertical="center"/>
    </xf>
    <xf numFmtId="3" fontId="25" fillId="22" borderId="68" xfId="0" applyNumberFormat="1" applyFont="1" applyFill="1" applyBorder="1" applyAlignment="1">
      <alignment vertical="center"/>
    </xf>
    <xf numFmtId="2" fontId="0" fillId="0" borderId="0" xfId="0" applyNumberFormat="1" applyFont="1" applyBorder="1"/>
    <xf numFmtId="0" fontId="70" fillId="2" borderId="0" xfId="0" applyFont="1" applyFill="1" applyBorder="1" applyAlignment="1">
      <alignment horizont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9" fillId="4" borderId="9" xfId="0" quotePrefix="1" applyNumberFormat="1" applyFont="1" applyFill="1" applyBorder="1" applyAlignment="1">
      <alignment horizontal="right" vertical="center"/>
    </xf>
    <xf numFmtId="3" fontId="19" fillId="4" borderId="23" xfId="0" quotePrefix="1" applyNumberFormat="1" applyFont="1" applyFill="1" applyBorder="1" applyAlignment="1">
      <alignment horizontal="right" vertical="center"/>
    </xf>
    <xf numFmtId="3" fontId="66" fillId="57" borderId="39" xfId="0" applyNumberFormat="1" applyFont="1" applyFill="1" applyBorder="1" applyAlignment="1">
      <alignment vertical="center" wrapText="1"/>
    </xf>
    <xf numFmtId="3" fontId="66" fillId="57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6" fillId="4" borderId="39" xfId="0" applyNumberFormat="1" applyFont="1" applyFill="1" applyBorder="1" applyAlignment="1">
      <alignment vertical="center" wrapText="1"/>
    </xf>
    <xf numFmtId="3" fontId="66" fillId="4" borderId="12" xfId="0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vertical="center" wrapText="1"/>
    </xf>
    <xf numFmtId="3" fontId="66" fillId="13" borderId="54" xfId="0" applyNumberFormat="1" applyFont="1" applyFill="1" applyBorder="1" applyAlignment="1">
      <alignment vertical="center" wrapText="1"/>
    </xf>
    <xf numFmtId="3" fontId="93" fillId="13" borderId="35" xfId="0" applyNumberFormat="1" applyFont="1" applyFill="1" applyBorder="1" applyAlignment="1">
      <alignment vertical="center" wrapText="1"/>
    </xf>
    <xf numFmtId="3" fontId="66" fillId="13" borderId="57" xfId="0" applyNumberFormat="1" applyFont="1" applyFill="1" applyBorder="1" applyAlignment="1">
      <alignment vertical="center" wrapText="1"/>
    </xf>
    <xf numFmtId="3" fontId="66" fillId="13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54" xfId="0" applyNumberFormat="1" applyFont="1" applyFill="1" applyBorder="1" applyAlignment="1">
      <alignment vertical="center" wrapText="1"/>
    </xf>
    <xf numFmtId="3" fontId="94" fillId="0" borderId="35" xfId="0" applyNumberFormat="1" applyFont="1" applyFill="1" applyBorder="1" applyAlignment="1">
      <alignment vertical="center" wrapText="1"/>
    </xf>
    <xf numFmtId="3" fontId="66" fillId="0" borderId="24" xfId="0" applyNumberFormat="1" applyFont="1" applyFill="1" applyBorder="1" applyAlignment="1">
      <alignment vertical="center" wrapText="1"/>
    </xf>
    <xf numFmtId="3" fontId="66" fillId="0" borderId="39" xfId="0" applyNumberFormat="1" applyFont="1" applyFill="1" applyBorder="1" applyAlignment="1">
      <alignment vertical="center" wrapText="1"/>
    </xf>
    <xf numFmtId="3" fontId="94" fillId="0" borderId="13" xfId="0" applyNumberFormat="1" applyFont="1" applyFill="1" applyBorder="1" applyAlignment="1">
      <alignment vertical="center" wrapText="1"/>
    </xf>
    <xf numFmtId="3" fontId="94" fillId="0" borderId="0" xfId="0" applyNumberFormat="1" applyFont="1" applyFill="1" applyBorder="1" applyAlignment="1">
      <alignment vertical="center" wrapText="1"/>
    </xf>
    <xf numFmtId="0" fontId="64" fillId="0" borderId="194" xfId="0" applyFont="1" applyBorder="1" applyAlignment="1">
      <alignment horizontal="center" vertical="center"/>
    </xf>
    <xf numFmtId="3" fontId="19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7" fillId="12" borderId="0" xfId="0" applyNumberFormat="1" applyFont="1" applyFill="1" applyBorder="1" applyAlignment="1">
      <alignment vertical="center"/>
    </xf>
    <xf numFmtId="3" fontId="19" fillId="15" borderId="51" xfId="0" applyNumberFormat="1" applyFont="1" applyFill="1" applyBorder="1" applyAlignment="1">
      <alignment vertical="center"/>
    </xf>
    <xf numFmtId="3" fontId="77" fillId="12" borderId="0" xfId="0" applyNumberFormat="1" applyFont="1" applyFill="1" applyBorder="1"/>
    <xf numFmtId="3" fontId="77" fillId="12" borderId="8" xfId="0" applyNumberFormat="1" applyFont="1" applyFill="1" applyBorder="1"/>
    <xf numFmtId="3" fontId="19" fillId="16" borderId="24" xfId="5" applyNumberFormat="1" applyFont="1" applyFill="1" applyBorder="1" applyAlignment="1">
      <alignment vertical="center"/>
    </xf>
    <xf numFmtId="3" fontId="8" fillId="8" borderId="114" xfId="0" applyNumberFormat="1" applyFont="1" applyFill="1" applyBorder="1"/>
    <xf numFmtId="3" fontId="19" fillId="16" borderId="51" xfId="5" applyNumberFormat="1" applyFont="1" applyFill="1" applyBorder="1"/>
    <xf numFmtId="3" fontId="64" fillId="17" borderId="7" xfId="0" applyNumberFormat="1" applyFont="1" applyFill="1" applyBorder="1"/>
    <xf numFmtId="0" fontId="24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4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0" fontId="25" fillId="6" borderId="11" xfId="4" applyFont="1" applyFill="1" applyBorder="1" applyAlignment="1">
      <alignment horizontal="left" vertical="center"/>
    </xf>
    <xf numFmtId="0" fontId="95" fillId="6" borderId="0" xfId="4" applyFont="1" applyFill="1" applyBorder="1" applyAlignment="1">
      <alignment horizontal="left" vertical="center"/>
    </xf>
    <xf numFmtId="3" fontId="25" fillId="6" borderId="7" xfId="4" applyNumberFormat="1" applyFont="1" applyFill="1" applyBorder="1" applyAlignment="1">
      <alignment vertical="center"/>
    </xf>
    <xf numFmtId="3" fontId="95" fillId="6" borderId="35" xfId="4" applyNumberFormat="1" applyFont="1" applyFill="1" applyBorder="1" applyAlignment="1">
      <alignment vertical="center"/>
    </xf>
    <xf numFmtId="3" fontId="33" fillId="0" borderId="7" xfId="6" applyNumberFormat="1" applyFont="1" applyFill="1" applyBorder="1" applyAlignment="1">
      <alignment vertical="center"/>
    </xf>
    <xf numFmtId="3" fontId="31" fillId="0" borderId="129" xfId="4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25" fillId="6" borderId="176" xfId="4" applyFont="1" applyFill="1" applyBorder="1" applyAlignment="1">
      <alignment horizontal="left" vertical="center"/>
    </xf>
    <xf numFmtId="3" fontId="24" fillId="32" borderId="176" xfId="4" applyNumberFormat="1" applyFont="1" applyFill="1" applyBorder="1" applyAlignment="1">
      <alignment vertical="center"/>
    </xf>
    <xf numFmtId="3" fontId="31" fillId="2" borderId="195" xfId="4" applyNumberFormat="1" applyFont="1" applyFill="1" applyBorder="1" applyAlignment="1">
      <alignment vertical="center" wrapText="1"/>
    </xf>
    <xf numFmtId="3" fontId="31" fillId="32" borderId="176" xfId="4" applyNumberFormat="1" applyFont="1" applyFill="1" applyBorder="1" applyAlignment="1">
      <alignment vertical="center"/>
    </xf>
    <xf numFmtId="0" fontId="17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29" xfId="0" applyNumberFormat="1" applyFont="1" applyFill="1" applyBorder="1" applyAlignment="1">
      <alignment vertical="center"/>
    </xf>
    <xf numFmtId="0" fontId="31" fillId="6" borderId="196" xfId="0" applyFont="1" applyFill="1" applyBorder="1" applyAlignment="1">
      <alignment vertical="top"/>
    </xf>
    <xf numFmtId="3" fontId="24" fillId="22" borderId="180" xfId="0" applyNumberFormat="1" applyFont="1" applyFill="1" applyBorder="1" applyAlignment="1">
      <alignment vertical="top"/>
    </xf>
    <xf numFmtId="3" fontId="29" fillId="26" borderId="180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top"/>
    </xf>
    <xf numFmtId="1" fontId="21" fillId="2" borderId="196" xfId="0" applyNumberFormat="1" applyFont="1" applyFill="1" applyBorder="1" applyAlignment="1">
      <alignment horizontal="center" vertical="top"/>
    </xf>
    <xf numFmtId="2" fontId="7" fillId="8" borderId="196" xfId="0" applyNumberFormat="1" applyFont="1" applyFill="1" applyBorder="1" applyAlignment="1">
      <alignment vertical="center" wrapText="1"/>
    </xf>
    <xf numFmtId="2" fontId="7" fillId="28" borderId="196" xfId="0" applyNumberFormat="1" applyFont="1" applyFill="1" applyBorder="1" applyAlignment="1">
      <alignment vertical="center" wrapText="1"/>
    </xf>
    <xf numFmtId="2" fontId="29" fillId="8" borderId="195" xfId="4" applyNumberFormat="1" applyFont="1" applyFill="1" applyBorder="1" applyAlignment="1">
      <alignment vertical="center"/>
    </xf>
    <xf numFmtId="2" fontId="24" fillId="8" borderId="196" xfId="0" applyNumberFormat="1" applyFont="1" applyFill="1" applyBorder="1" applyAlignment="1">
      <alignment vertical="center"/>
    </xf>
    <xf numFmtId="0" fontId="7" fillId="8" borderId="182" xfId="0" applyFont="1" applyFill="1" applyBorder="1" applyAlignment="1">
      <alignment vertical="top" wrapText="1"/>
    </xf>
    <xf numFmtId="2" fontId="24" fillId="8" borderId="175" xfId="0" applyNumberFormat="1" applyFont="1" applyFill="1" applyBorder="1" applyAlignment="1">
      <alignment vertical="center"/>
    </xf>
    <xf numFmtId="2" fontId="24" fillId="6" borderId="195" xfId="4" applyNumberFormat="1" applyFont="1" applyFill="1" applyBorder="1" applyAlignment="1">
      <alignment horizontal="left" vertical="center"/>
    </xf>
    <xf numFmtId="2" fontId="7" fillId="6" borderId="196" xfId="0" applyNumberFormat="1" applyFont="1" applyFill="1" applyBorder="1" applyAlignment="1">
      <alignment vertical="center" wrapText="1"/>
    </xf>
    <xf numFmtId="3" fontId="29" fillId="8" borderId="176" xfId="0" applyNumberFormat="1" applyFont="1" applyFill="1" applyBorder="1" applyAlignment="1">
      <alignment vertical="center"/>
    </xf>
    <xf numFmtId="3" fontId="31" fillId="8" borderId="177" xfId="0" applyNumberFormat="1" applyFont="1" applyFill="1" applyBorder="1" applyAlignment="1">
      <alignment vertical="center"/>
    </xf>
    <xf numFmtId="3" fontId="31" fillId="8" borderId="176" xfId="0" applyNumberFormat="1" applyFont="1" applyFill="1" applyBorder="1" applyAlignment="1">
      <alignment vertical="center"/>
    </xf>
    <xf numFmtId="2" fontId="25" fillId="6" borderId="195" xfId="4" applyNumberFormat="1" applyFont="1" applyFill="1" applyBorder="1" applyAlignment="1">
      <alignment horizontal="left" vertical="center"/>
    </xf>
    <xf numFmtId="2" fontId="31" fillId="6" borderId="196" xfId="0" applyNumberFormat="1" applyFont="1" applyFill="1" applyBorder="1" applyAlignment="1">
      <alignment vertical="top"/>
    </xf>
    <xf numFmtId="2" fontId="27" fillId="2" borderId="195" xfId="4" applyNumberFormat="1" applyFont="1" applyFill="1" applyBorder="1" applyAlignment="1">
      <alignment vertical="center" wrapText="1"/>
    </xf>
    <xf numFmtId="2" fontId="27" fillId="2" borderId="195" xfId="4" applyNumberFormat="1" applyFont="1" applyFill="1" applyBorder="1" applyAlignment="1">
      <alignment vertical="top"/>
    </xf>
    <xf numFmtId="3" fontId="31" fillId="0" borderId="168" xfId="0" applyNumberFormat="1" applyFont="1" applyFill="1" applyBorder="1" applyAlignment="1">
      <alignment vertical="top"/>
    </xf>
    <xf numFmtId="2" fontId="7" fillId="6" borderId="196" xfId="0" applyNumberFormat="1" applyFont="1" applyFill="1" applyBorder="1" applyAlignment="1">
      <alignment horizontal="left" vertical="center" wrapText="1"/>
    </xf>
    <xf numFmtId="3" fontId="31" fillId="0" borderId="168" xfId="4" applyNumberFormat="1" applyFont="1" applyFill="1" applyBorder="1" applyAlignment="1"/>
    <xf numFmtId="3" fontId="31" fillId="32" borderId="176" xfId="0" applyNumberFormat="1" applyFont="1" applyFill="1" applyBorder="1" applyAlignment="1">
      <alignment vertical="top"/>
    </xf>
    <xf numFmtId="3" fontId="27" fillId="32" borderId="176" xfId="0" applyNumberFormat="1" applyFont="1" applyFill="1" applyBorder="1" applyAlignment="1">
      <alignment vertical="top"/>
    </xf>
    <xf numFmtId="0" fontId="34" fillId="0" borderId="40" xfId="0" applyFont="1" applyFill="1" applyBorder="1" applyAlignment="1">
      <alignment vertical="top"/>
    </xf>
    <xf numFmtId="2" fontId="18" fillId="2" borderId="41" xfId="0" applyNumberFormat="1" applyFont="1" applyFill="1" applyBorder="1" applyAlignment="1">
      <alignment vertical="top"/>
    </xf>
    <xf numFmtId="2" fontId="17" fillId="8" borderId="26" xfId="0" applyNumberFormat="1" applyFont="1" applyFill="1" applyBorder="1" applyAlignment="1">
      <alignment vertical="top"/>
    </xf>
    <xf numFmtId="2" fontId="31" fillId="8" borderId="195" xfId="0" applyNumberFormat="1" applyFont="1" applyFill="1" applyBorder="1" applyAlignment="1">
      <alignment vertical="center"/>
    </xf>
    <xf numFmtId="2" fontId="25" fillId="23" borderId="180" xfId="0" applyNumberFormat="1" applyFont="1" applyFill="1" applyBorder="1" applyAlignment="1">
      <alignment vertical="center"/>
    </xf>
    <xf numFmtId="2" fontId="25" fillId="23" borderId="180" xfId="0" applyNumberFormat="1" applyFont="1" applyFill="1" applyBorder="1" applyAlignment="1">
      <alignment horizontal="center" vertical="center"/>
    </xf>
    <xf numFmtId="2" fontId="31" fillId="8" borderId="195" xfId="0" applyNumberFormat="1" applyFont="1" applyFill="1" applyBorder="1" applyAlignment="1">
      <alignment vertical="top"/>
    </xf>
    <xf numFmtId="2" fontId="25" fillId="23" borderId="185" xfId="0" applyNumberFormat="1" applyFont="1" applyFill="1" applyBorder="1" applyAlignment="1">
      <alignment horizontal="center" vertical="center"/>
    </xf>
    <xf numFmtId="2" fontId="31" fillId="32" borderId="195" xfId="0" applyNumberFormat="1" applyFont="1" applyFill="1" applyBorder="1" applyAlignment="1">
      <alignment vertical="center"/>
    </xf>
    <xf numFmtId="2" fontId="29" fillId="2" borderId="195" xfId="4" applyNumberFormat="1" applyFont="1" applyFill="1" applyBorder="1" applyAlignment="1">
      <alignment vertical="center" wrapText="1"/>
    </xf>
    <xf numFmtId="2" fontId="7" fillId="0" borderId="195" xfId="0" applyNumberFormat="1" applyFont="1" applyFill="1" applyBorder="1" applyAlignment="1">
      <alignment vertical="center" wrapText="1"/>
    </xf>
    <xf numFmtId="2" fontId="31" fillId="2" borderId="195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8" fillId="0" borderId="65" xfId="0" applyNumberFormat="1" applyFont="1" applyBorder="1" applyAlignment="1">
      <alignment horizontal="center" vertical="top" wrapText="1"/>
    </xf>
    <xf numFmtId="2" fontId="17" fillId="0" borderId="26" xfId="0" applyNumberFormat="1" applyFont="1" applyBorder="1" applyAlignment="1">
      <alignment vertical="top"/>
    </xf>
    <xf numFmtId="2" fontId="17" fillId="0" borderId="66" xfId="0" applyNumberFormat="1" applyFont="1" applyBorder="1" applyAlignment="1">
      <alignment vertical="top"/>
    </xf>
    <xf numFmtId="2" fontId="18" fillId="0" borderId="67" xfId="0" applyNumberFormat="1" applyFont="1" applyBorder="1" applyAlignment="1">
      <alignment horizontal="center" vertical="top" wrapText="1"/>
    </xf>
    <xf numFmtId="2" fontId="17" fillId="0" borderId="84" xfId="0" applyNumberFormat="1" applyFont="1" applyBorder="1" applyAlignment="1">
      <alignment vertical="top"/>
    </xf>
    <xf numFmtId="2" fontId="18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8" fillId="0" borderId="64" xfId="0" applyNumberFormat="1" applyFont="1" applyBorder="1" applyAlignment="1">
      <alignment horizontal="center" vertical="top" wrapText="1"/>
    </xf>
    <xf numFmtId="0" fontId="21" fillId="2" borderId="196" xfId="0" applyFont="1" applyFill="1" applyBorder="1" applyAlignment="1">
      <alignment horizontal="center" vertical="center"/>
    </xf>
    <xf numFmtId="0" fontId="21" fillId="2" borderId="177" xfId="0" applyFont="1" applyFill="1" applyBorder="1" applyAlignment="1">
      <alignment horizontal="center" vertical="center"/>
    </xf>
    <xf numFmtId="0" fontId="21" fillId="2" borderId="177" xfId="0" quotePrefix="1" applyFont="1" applyFill="1" applyBorder="1" applyAlignment="1">
      <alignment horizontal="center" vertical="center"/>
    </xf>
    <xf numFmtId="0" fontId="21" fillId="26" borderId="177" xfId="0" quotePrefix="1" applyFont="1" applyFill="1" applyBorder="1" applyAlignment="1">
      <alignment horizontal="center" vertical="center"/>
    </xf>
    <xf numFmtId="0" fontId="21" fillId="2" borderId="172" xfId="0" quotePrefix="1" applyFont="1" applyFill="1" applyBorder="1" applyAlignment="1">
      <alignment horizontal="center" vertical="center"/>
    </xf>
    <xf numFmtId="0" fontId="17" fillId="8" borderId="175" xfId="4" applyFont="1" applyFill="1" applyBorder="1" applyAlignment="1">
      <alignment vertical="top"/>
    </xf>
    <xf numFmtId="0" fontId="27" fillId="55" borderId="177" xfId="4" applyFont="1" applyFill="1" applyBorder="1" applyAlignment="1">
      <alignment horizontal="left" vertical="center"/>
    </xf>
    <xf numFmtId="3" fontId="27" fillId="55" borderId="177" xfId="4" applyNumberFormat="1" applyFont="1" applyFill="1" applyBorder="1" applyAlignment="1">
      <alignment horizontal="left" vertical="center"/>
    </xf>
    <xf numFmtId="3" fontId="27" fillId="55" borderId="177" xfId="4" applyNumberFormat="1" applyFont="1" applyFill="1" applyBorder="1" applyAlignment="1">
      <alignment horizontal="right" vertical="center"/>
    </xf>
    <xf numFmtId="3" fontId="27" fillId="21" borderId="177" xfId="4" applyNumberFormat="1" applyFont="1" applyFill="1" applyBorder="1" applyAlignment="1">
      <alignment horizontal="right" vertical="center"/>
    </xf>
    <xf numFmtId="0" fontId="27" fillId="55" borderId="177" xfId="0" applyFont="1" applyFill="1" applyBorder="1" applyAlignment="1">
      <alignment horizontal="left" vertical="top"/>
    </xf>
    <xf numFmtId="0" fontId="28" fillId="55" borderId="177" xfId="0" quotePrefix="1" applyFont="1" applyFill="1" applyBorder="1" applyAlignment="1">
      <alignment horizontal="center" vertical="top"/>
    </xf>
    <xf numFmtId="3" fontId="27" fillId="55" borderId="177" xfId="0" quotePrefix="1" applyNumberFormat="1" applyFont="1" applyFill="1" applyBorder="1" applyAlignment="1">
      <alignment horizontal="right" vertical="top"/>
    </xf>
    <xf numFmtId="3" fontId="18" fillId="8" borderId="172" xfId="4" applyNumberFormat="1" applyFont="1" applyFill="1" applyBorder="1" applyAlignment="1">
      <alignment horizontal="center" vertical="top"/>
    </xf>
    <xf numFmtId="3" fontId="29" fillId="8" borderId="177" xfId="4" applyNumberFormat="1" applyFont="1" applyFill="1" applyBorder="1" applyAlignment="1">
      <alignment vertical="top" wrapText="1"/>
    </xf>
    <xf numFmtId="3" fontId="29" fillId="8" borderId="177" xfId="4" applyNumberFormat="1" applyFont="1" applyFill="1" applyBorder="1" applyAlignment="1">
      <alignment horizontal="right" vertical="center"/>
    </xf>
    <xf numFmtId="3" fontId="29" fillId="23" borderId="177" xfId="4" applyNumberFormat="1" applyFont="1" applyFill="1" applyBorder="1" applyAlignment="1">
      <alignment horizontal="right" vertical="center"/>
    </xf>
    <xf numFmtId="3" fontId="32" fillId="8" borderId="177" xfId="0" applyNumberFormat="1" applyFont="1" applyFill="1" applyBorder="1"/>
    <xf numFmtId="0" fontId="29" fillId="8" borderId="177" xfId="4" applyFont="1" applyFill="1" applyBorder="1" applyAlignment="1">
      <alignment vertical="top"/>
    </xf>
    <xf numFmtId="0" fontId="7" fillId="8" borderId="180" xfId="4" applyFont="1" applyFill="1" applyBorder="1" applyAlignment="1">
      <alignment vertical="top" wrapText="1"/>
    </xf>
    <xf numFmtId="3" fontId="31" fillId="8" borderId="177" xfId="4" applyNumberFormat="1" applyFont="1" applyFill="1" applyBorder="1" applyAlignment="1">
      <alignment horizontal="right" vertical="center"/>
    </xf>
    <xf numFmtId="3" fontId="7" fillId="8" borderId="185" xfId="4" applyNumberFormat="1" applyFont="1" applyFill="1" applyBorder="1" applyAlignment="1">
      <alignment vertical="top" wrapText="1"/>
    </xf>
    <xf numFmtId="0" fontId="25" fillId="6" borderId="185" xfId="4" applyFont="1" applyFill="1" applyBorder="1" applyAlignment="1">
      <alignment horizontal="left" vertical="center"/>
    </xf>
    <xf numFmtId="3" fontId="29" fillId="8" borderId="185" xfId="4" applyNumberFormat="1" applyFont="1" applyFill="1" applyBorder="1" applyAlignment="1">
      <alignment vertical="top" wrapText="1"/>
    </xf>
    <xf numFmtId="3" fontId="27" fillId="8" borderId="177" xfId="4" applyNumberFormat="1" applyFont="1" applyFill="1" applyBorder="1" applyAlignment="1">
      <alignment vertical="top" wrapText="1"/>
    </xf>
    <xf numFmtId="3" fontId="33" fillId="8" borderId="177" xfId="6" applyNumberFormat="1" applyFont="1" applyFill="1" applyBorder="1" applyAlignment="1">
      <alignment vertical="center"/>
    </xf>
    <xf numFmtId="0" fontId="7" fillId="8" borderId="185" xfId="4" applyFont="1" applyFill="1" applyBorder="1" applyAlignment="1">
      <alignment vertical="top" wrapText="1"/>
    </xf>
    <xf numFmtId="0" fontId="7" fillId="8" borderId="177" xfId="4" applyFont="1" applyFill="1" applyBorder="1" applyAlignment="1">
      <alignment horizontal="left" vertical="center"/>
    </xf>
    <xf numFmtId="0" fontId="27" fillId="8" borderId="185" xfId="4" applyFont="1" applyFill="1" applyBorder="1" applyAlignment="1">
      <alignment vertical="center"/>
    </xf>
    <xf numFmtId="0" fontId="27" fillId="8" borderId="177" xfId="4" applyFont="1" applyFill="1" applyBorder="1" applyAlignment="1">
      <alignment vertical="center"/>
    </xf>
    <xf numFmtId="0" fontId="18" fillId="8" borderId="172" xfId="4" applyFont="1" applyFill="1" applyBorder="1" applyAlignment="1">
      <alignment horizontal="center" vertical="center"/>
    </xf>
    <xf numFmtId="3" fontId="32" fillId="8" borderId="173" xfId="6" applyNumberFormat="1" applyFont="1" applyFill="1" applyBorder="1" applyAlignment="1">
      <alignment vertical="center"/>
    </xf>
    <xf numFmtId="0" fontId="18" fillId="8" borderId="183" xfId="4" applyFont="1" applyFill="1" applyBorder="1" applyAlignment="1">
      <alignment horizontal="center" vertical="center"/>
    </xf>
    <xf numFmtId="0" fontId="7" fillId="8" borderId="187" xfId="4" applyFont="1" applyFill="1" applyBorder="1" applyAlignment="1">
      <alignment vertical="center"/>
    </xf>
    <xf numFmtId="3" fontId="32" fillId="8" borderId="187" xfId="6" applyNumberFormat="1" applyFont="1" applyFill="1" applyBorder="1" applyAlignment="1">
      <alignment vertical="center"/>
    </xf>
    <xf numFmtId="43" fontId="25" fillId="6" borderId="177" xfId="1" applyFont="1" applyFill="1" applyBorder="1" applyAlignment="1">
      <alignment horizontal="right" vertical="center"/>
    </xf>
    <xf numFmtId="43" fontId="27" fillId="0" borderId="177" xfId="1" applyFont="1" applyFill="1" applyBorder="1" applyAlignment="1">
      <alignment horizontal="right" vertical="center"/>
    </xf>
    <xf numFmtId="3" fontId="28" fillId="25" borderId="177" xfId="4" applyNumberFormat="1" applyFont="1" applyFill="1" applyBorder="1" applyAlignment="1">
      <alignment horizontal="right" vertical="center"/>
    </xf>
    <xf numFmtId="43" fontId="32" fillId="0" borderId="177" xfId="1" applyFont="1" applyFill="1" applyBorder="1" applyAlignment="1">
      <alignment vertical="center"/>
    </xf>
    <xf numFmtId="43" fontId="31" fillId="0" borderId="177" xfId="1" applyFont="1" applyFill="1" applyBorder="1" applyAlignment="1">
      <alignment horizontal="right" vertical="center"/>
    </xf>
    <xf numFmtId="3" fontId="63" fillId="62" borderId="177" xfId="6" applyNumberFormat="1" applyFont="1" applyFill="1" applyBorder="1" applyAlignment="1">
      <alignment vertical="center"/>
    </xf>
    <xf numFmtId="3" fontId="38" fillId="62" borderId="177" xfId="4" applyNumberFormat="1" applyFont="1" applyFill="1" applyBorder="1" applyAlignment="1">
      <alignment horizontal="right" vertical="center"/>
    </xf>
    <xf numFmtId="43" fontId="28" fillId="62" borderId="177" xfId="1" applyFont="1" applyFill="1" applyBorder="1" applyAlignment="1">
      <alignment horizontal="right" vertical="center"/>
    </xf>
    <xf numFmtId="43" fontId="24" fillId="6" borderId="177" xfId="1" applyFont="1" applyFill="1" applyBorder="1" applyAlignment="1"/>
    <xf numFmtId="0" fontId="23" fillId="0" borderId="172" xfId="0" applyFont="1" applyFill="1" applyBorder="1" applyAlignment="1">
      <alignment horizontal="center" vertical="center" wrapText="1"/>
    </xf>
    <xf numFmtId="43" fontId="31" fillId="0" borderId="176" xfId="1" applyFont="1" applyFill="1" applyBorder="1" applyAlignment="1">
      <alignment vertical="center"/>
    </xf>
    <xf numFmtId="0" fontId="38" fillId="62" borderId="177" xfId="4" applyFont="1" applyFill="1" applyBorder="1" applyAlignment="1">
      <alignment vertical="top"/>
    </xf>
    <xf numFmtId="0" fontId="38" fillId="57" borderId="177" xfId="4" applyFont="1" applyFill="1" applyBorder="1" applyAlignment="1">
      <alignment vertical="top"/>
    </xf>
    <xf numFmtId="3" fontId="63" fillId="57" borderId="177" xfId="6" applyNumberFormat="1" applyFont="1" applyFill="1" applyBorder="1" applyAlignment="1">
      <alignment vertical="center"/>
    </xf>
    <xf numFmtId="43" fontId="38" fillId="57" borderId="177" xfId="1" applyFont="1" applyFill="1" applyBorder="1" applyAlignment="1">
      <alignment horizontal="right" vertical="center"/>
    </xf>
    <xf numFmtId="3" fontId="38" fillId="57" borderId="177" xfId="4" applyNumberFormat="1" applyFont="1" applyFill="1" applyBorder="1" applyAlignment="1">
      <alignment horizontal="right" vertical="center"/>
    </xf>
    <xf numFmtId="43" fontId="28" fillId="57" borderId="177" xfId="1" applyFont="1" applyFill="1" applyBorder="1" applyAlignment="1">
      <alignment horizontal="right" vertical="center"/>
    </xf>
    <xf numFmtId="0" fontId="63" fillId="0" borderId="177" xfId="0" applyFont="1" applyFill="1" applyBorder="1" applyAlignment="1">
      <alignment horizontal="center" vertical="center" wrapText="1"/>
    </xf>
    <xf numFmtId="0" fontId="63" fillId="57" borderId="177" xfId="0" applyFont="1" applyFill="1" applyBorder="1" applyAlignment="1">
      <alignment horizontal="center" vertical="center" wrapText="1"/>
    </xf>
    <xf numFmtId="3" fontId="31" fillId="23" borderId="177" xfId="4" applyNumberFormat="1" applyFont="1" applyFill="1" applyBorder="1" applyAlignment="1">
      <alignment horizontal="right" vertical="center"/>
    </xf>
    <xf numFmtId="0" fontId="0" fillId="0" borderId="51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29" fillId="8" borderId="196" xfId="4" applyFont="1" applyFill="1" applyBorder="1" applyAlignment="1">
      <alignment vertical="center"/>
    </xf>
    <xf numFmtId="3" fontId="29" fillId="8" borderId="176" xfId="4" applyNumberFormat="1" applyFont="1" applyFill="1" applyBorder="1" applyAlignment="1">
      <alignment vertical="center"/>
    </xf>
    <xf numFmtId="3" fontId="29" fillId="23" borderId="177" xfId="4" applyNumberFormat="1" applyFont="1" applyFill="1" applyBorder="1" applyAlignment="1">
      <alignment vertical="center"/>
    </xf>
    <xf numFmtId="3" fontId="7" fillId="8" borderId="176" xfId="4" applyNumberFormat="1" applyFont="1" applyFill="1" applyBorder="1" applyAlignment="1">
      <alignment vertical="center"/>
    </xf>
    <xf numFmtId="3" fontId="7" fillId="8" borderId="181" xfId="4" applyNumberFormat="1" applyFont="1" applyFill="1" applyBorder="1" applyAlignment="1">
      <alignment vertical="center" wrapText="1"/>
    </xf>
    <xf numFmtId="0" fontId="7" fillId="8" borderId="181" xfId="4" applyFont="1" applyFill="1" applyBorder="1" applyAlignment="1">
      <alignment vertical="center" wrapText="1"/>
    </xf>
    <xf numFmtId="0" fontId="7" fillId="8" borderId="196" xfId="4" applyFont="1" applyFill="1" applyBorder="1" applyAlignment="1">
      <alignment vertical="center" wrapText="1"/>
    </xf>
    <xf numFmtId="3" fontId="27" fillId="8" borderId="196" xfId="4" applyNumberFormat="1" applyFont="1" applyFill="1" applyBorder="1" applyAlignment="1">
      <alignment vertical="center" wrapText="1"/>
    </xf>
    <xf numFmtId="3" fontId="27" fillId="8" borderId="176" xfId="4" applyNumberFormat="1" applyFont="1" applyFill="1" applyBorder="1" applyAlignment="1">
      <alignment vertical="center"/>
    </xf>
    <xf numFmtId="3" fontId="31" fillId="8" borderId="176" xfId="4" applyNumberFormat="1" applyFont="1" applyFill="1" applyBorder="1" applyAlignment="1">
      <alignment vertical="center"/>
    </xf>
    <xf numFmtId="0" fontId="27" fillId="8" borderId="196" xfId="4" applyFont="1" applyFill="1" applyBorder="1" applyAlignment="1">
      <alignment vertical="center"/>
    </xf>
    <xf numFmtId="0" fontId="7" fillId="8" borderId="181" xfId="4" applyFont="1" applyFill="1" applyBorder="1" applyAlignment="1">
      <alignment vertical="center"/>
    </xf>
    <xf numFmtId="0" fontId="7" fillId="8" borderId="196" xfId="4" applyFont="1" applyFill="1" applyBorder="1" applyAlignment="1">
      <alignment vertical="center"/>
    </xf>
    <xf numFmtId="3" fontId="29" fillId="13" borderId="181" xfId="4" applyNumberFormat="1" applyFont="1" applyFill="1" applyBorder="1" applyAlignment="1">
      <alignment vertical="center" wrapText="1"/>
    </xf>
    <xf numFmtId="3" fontId="29" fillId="13" borderId="196" xfId="4" applyNumberFormat="1" applyFont="1" applyFill="1" applyBorder="1" applyAlignment="1">
      <alignment vertical="center" wrapText="1"/>
    </xf>
    <xf numFmtId="3" fontId="29" fillId="13" borderId="176" xfId="4" applyNumberFormat="1" applyFont="1" applyFill="1" applyBorder="1" applyAlignment="1">
      <alignment horizontal="right" vertical="center"/>
    </xf>
    <xf numFmtId="3" fontId="29" fillId="24" borderId="176" xfId="4" applyNumberFormat="1" applyFont="1" applyFill="1" applyBorder="1" applyAlignment="1">
      <alignment horizontal="right" vertical="center"/>
    </xf>
    <xf numFmtId="3" fontId="7" fillId="13" borderId="181" xfId="4" applyNumberFormat="1" applyFont="1" applyFill="1" applyBorder="1" applyAlignment="1">
      <alignment vertical="center" wrapText="1"/>
    </xf>
    <xf numFmtId="3" fontId="7" fillId="13" borderId="196" xfId="4" applyNumberFormat="1" applyFont="1" applyFill="1" applyBorder="1" applyAlignment="1">
      <alignment vertical="center" wrapText="1"/>
    </xf>
    <xf numFmtId="0" fontId="7" fillId="13" borderId="181" xfId="4" applyFont="1" applyFill="1" applyBorder="1" applyAlignment="1">
      <alignment vertical="center"/>
    </xf>
    <xf numFmtId="0" fontId="7" fillId="13" borderId="196" xfId="4" applyFont="1" applyFill="1" applyBorder="1" applyAlignment="1">
      <alignment vertical="center"/>
    </xf>
    <xf numFmtId="0" fontId="29" fillId="13" borderId="181" xfId="4" applyFont="1" applyFill="1" applyBorder="1" applyAlignment="1">
      <alignment vertical="center"/>
    </xf>
    <xf numFmtId="0" fontId="29" fillId="13" borderId="196" xfId="4" applyFont="1" applyFill="1" applyBorder="1" applyAlignment="1">
      <alignment vertical="center"/>
    </xf>
    <xf numFmtId="3" fontId="29" fillId="24" borderId="177" xfId="4" applyNumberFormat="1" applyFont="1" applyFill="1" applyBorder="1" applyAlignment="1">
      <alignment horizontal="right" vertical="center"/>
    </xf>
    <xf numFmtId="3" fontId="7" fillId="13" borderId="191" xfId="4" applyNumberFormat="1" applyFont="1" applyFill="1" applyBorder="1" applyAlignment="1">
      <alignment vertical="center" wrapText="1"/>
    </xf>
    <xf numFmtId="3" fontId="7" fillId="13" borderId="175" xfId="4" applyNumberFormat="1" applyFont="1" applyFill="1" applyBorder="1" applyAlignment="1">
      <alignment vertical="center" wrapText="1"/>
    </xf>
    <xf numFmtId="3" fontId="32" fillId="13" borderId="168" xfId="6" applyNumberFormat="1" applyFont="1" applyFill="1" applyBorder="1" applyAlignment="1">
      <alignment vertical="center"/>
    </xf>
    <xf numFmtId="3" fontId="27" fillId="13" borderId="181" xfId="4" applyNumberFormat="1" applyFont="1" applyFill="1" applyBorder="1" applyAlignment="1">
      <alignment vertical="center" wrapText="1"/>
    </xf>
    <xf numFmtId="3" fontId="32" fillId="13" borderId="176" xfId="6" applyNumberFormat="1" applyFont="1" applyFill="1" applyBorder="1" applyAlignment="1">
      <alignment vertical="center"/>
    </xf>
    <xf numFmtId="0" fontId="27" fillId="13" borderId="181" xfId="4" applyFont="1" applyFill="1" applyBorder="1" applyAlignment="1">
      <alignment vertical="center"/>
    </xf>
    <xf numFmtId="0" fontId="27" fillId="13" borderId="196" xfId="4" applyFont="1" applyFill="1" applyBorder="1" applyAlignment="1">
      <alignment vertical="center"/>
    </xf>
    <xf numFmtId="3" fontId="33" fillId="13" borderId="176" xfId="6" applyNumberFormat="1" applyFont="1" applyFill="1" applyBorder="1" applyAlignment="1">
      <alignment vertical="center"/>
    </xf>
    <xf numFmtId="0" fontId="18" fillId="0" borderId="40" xfId="4" applyFont="1" applyFill="1" applyBorder="1" applyAlignment="1">
      <alignment vertical="center" wrapText="1"/>
    </xf>
    <xf numFmtId="0" fontId="18" fillId="0" borderId="65" xfId="4" applyFont="1" applyFill="1" applyBorder="1" applyAlignment="1">
      <alignment vertical="center" wrapText="1"/>
    </xf>
    <xf numFmtId="0" fontId="25" fillId="6" borderId="196" xfId="4" applyFont="1" applyFill="1" applyBorder="1" applyAlignment="1">
      <alignment horizontal="center" vertical="center"/>
    </xf>
    <xf numFmtId="3" fontId="24" fillId="22" borderId="185" xfId="4" applyNumberFormat="1" applyFont="1" applyFill="1" applyBorder="1" applyAlignment="1">
      <alignment horizontal="right" vertical="center"/>
    </xf>
    <xf numFmtId="0" fontId="7" fillId="0" borderId="130" xfId="4" applyFont="1" applyFill="1" applyBorder="1" applyAlignment="1">
      <alignment horizontal="left" vertical="center"/>
    </xf>
    <xf numFmtId="3" fontId="7" fillId="0" borderId="187" xfId="4" applyNumberFormat="1" applyFont="1" applyFill="1" applyBorder="1" applyAlignment="1">
      <alignment horizontal="center" vertical="center"/>
    </xf>
    <xf numFmtId="43" fontId="32" fillId="0" borderId="176" xfId="1" applyFont="1" applyFill="1" applyBorder="1" applyAlignment="1">
      <alignment vertical="center"/>
    </xf>
    <xf numFmtId="3" fontId="7" fillId="25" borderId="176" xfId="4" applyNumberFormat="1" applyFont="1" applyFill="1" applyBorder="1" applyAlignment="1">
      <alignment horizontal="right" vertical="center"/>
    </xf>
    <xf numFmtId="0" fontId="8" fillId="0" borderId="64" xfId="0" applyFont="1" applyBorder="1"/>
    <xf numFmtId="0" fontId="8" fillId="0" borderId="65" xfId="0" applyFont="1" applyBorder="1"/>
    <xf numFmtId="0" fontId="19" fillId="0" borderId="173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6" fillId="6" borderId="196" xfId="4" applyFont="1" applyFill="1" applyBorder="1" applyAlignment="1">
      <alignment horizontal="left" vertical="center"/>
    </xf>
    <xf numFmtId="3" fontId="66" fillId="6" borderId="177" xfId="0" applyNumberFormat="1" applyFont="1" applyFill="1" applyBorder="1" applyAlignment="1">
      <alignment horizontal="right" vertical="center" wrapText="1"/>
    </xf>
    <xf numFmtId="3" fontId="66" fillId="7" borderId="195" xfId="0" applyNumberFormat="1" applyFont="1" applyFill="1" applyBorder="1" applyAlignment="1">
      <alignment horizontal="right" vertical="center" wrapText="1"/>
    </xf>
    <xf numFmtId="0" fontId="8" fillId="0" borderId="196" xfId="0" applyFont="1" applyFill="1" applyBorder="1" applyAlignment="1">
      <alignment vertical="center" wrapText="1"/>
    </xf>
    <xf numFmtId="3" fontId="8" fillId="0" borderId="176" xfId="0" applyNumberFormat="1" applyFont="1" applyFill="1" applyBorder="1" applyAlignment="1">
      <alignment vertical="center" wrapText="1"/>
    </xf>
    <xf numFmtId="43" fontId="8" fillId="0" borderId="177" xfId="1" applyFont="1" applyFill="1" applyBorder="1" applyAlignment="1">
      <alignment vertical="center" wrapText="1"/>
    </xf>
    <xf numFmtId="3" fontId="8" fillId="0" borderId="177" xfId="0" applyNumberFormat="1" applyFont="1" applyFill="1" applyBorder="1" applyAlignment="1">
      <alignment vertical="center" wrapText="1"/>
    </xf>
    <xf numFmtId="43" fontId="8" fillId="0" borderId="176" xfId="1" applyFont="1" applyFill="1" applyBorder="1" applyAlignment="1">
      <alignment vertical="center" wrapText="1"/>
    </xf>
    <xf numFmtId="3" fontId="64" fillId="8" borderId="176" xfId="0" applyNumberFormat="1" applyFont="1" applyFill="1" applyBorder="1" applyAlignment="1">
      <alignment vertical="center" wrapText="1"/>
    </xf>
    <xf numFmtId="3" fontId="64" fillId="9" borderId="195" xfId="0" applyNumberFormat="1" applyFont="1" applyFill="1" applyBorder="1" applyAlignment="1">
      <alignment vertical="center" wrapText="1"/>
    </xf>
    <xf numFmtId="0" fontId="66" fillId="6" borderId="196" xfId="4" applyFont="1" applyFill="1" applyBorder="1" applyAlignment="1">
      <alignment horizontal="left"/>
    </xf>
    <xf numFmtId="3" fontId="62" fillId="6" borderId="177" xfId="0" applyNumberFormat="1" applyFont="1" applyFill="1" applyBorder="1" applyAlignment="1">
      <alignment wrapText="1"/>
    </xf>
    <xf numFmtId="3" fontId="66" fillId="6" borderId="177" xfId="0" applyNumberFormat="1" applyFont="1" applyFill="1" applyBorder="1" applyAlignment="1">
      <alignment wrapText="1"/>
    </xf>
    <xf numFmtId="0" fontId="72" fillId="0" borderId="65" xfId="0" applyFont="1" applyFill="1" applyBorder="1" applyAlignment="1"/>
    <xf numFmtId="3" fontId="65" fillId="8" borderId="176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5" fillId="8" borderId="177" xfId="0" applyNumberFormat="1" applyFont="1" applyFill="1" applyBorder="1" applyAlignment="1">
      <alignment vertical="center" wrapText="1"/>
    </xf>
    <xf numFmtId="3" fontId="64" fillId="8" borderId="177" xfId="0" applyNumberFormat="1" applyFont="1" applyFill="1" applyBorder="1" applyAlignment="1">
      <alignment vertical="center" wrapText="1"/>
    </xf>
    <xf numFmtId="3" fontId="8" fillId="0" borderId="193" xfId="0" applyNumberFormat="1" applyFont="1" applyFill="1" applyBorder="1" applyAlignment="1">
      <alignment vertical="center" wrapText="1"/>
    </xf>
    <xf numFmtId="3" fontId="72" fillId="0" borderId="65" xfId="0" applyNumberFormat="1" applyFont="1" applyFill="1" applyBorder="1" applyAlignment="1">
      <alignment vertical="center"/>
    </xf>
    <xf numFmtId="0" fontId="72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6" fillId="4" borderId="187" xfId="0" quotePrefix="1" applyNumberFormat="1" applyFont="1" applyFill="1" applyBorder="1" applyAlignment="1">
      <alignment horizontal="right"/>
    </xf>
    <xf numFmtId="43" fontId="64" fillId="8" borderId="176" xfId="1" applyFont="1" applyFill="1" applyBorder="1" applyAlignment="1">
      <alignment vertical="center" wrapText="1"/>
    </xf>
    <xf numFmtId="43" fontId="64" fillId="9" borderId="195" xfId="1" applyFont="1" applyFill="1" applyBorder="1" applyAlignment="1">
      <alignment horizontal="center" vertical="center" wrapText="1"/>
    </xf>
    <xf numFmtId="3" fontId="62" fillId="6" borderId="177" xfId="0" applyNumberFormat="1" applyFont="1" applyFill="1" applyBorder="1" applyAlignment="1">
      <alignment vertical="center" wrapText="1"/>
    </xf>
    <xf numFmtId="43" fontId="62" fillId="6" borderId="177" xfId="1" applyFont="1" applyFill="1" applyBorder="1" applyAlignment="1">
      <alignment vertical="center" wrapText="1"/>
    </xf>
    <xf numFmtId="3" fontId="66" fillId="6" borderId="177" xfId="0" applyNumberFormat="1" applyFont="1" applyFill="1" applyBorder="1" applyAlignment="1">
      <alignment vertical="center" wrapText="1"/>
    </xf>
    <xf numFmtId="43" fontId="65" fillId="8" borderId="176" xfId="1" applyFont="1" applyFill="1" applyBorder="1" applyAlignment="1">
      <alignment vertical="center" wrapText="1"/>
    </xf>
    <xf numFmtId="43" fontId="65" fillId="8" borderId="177" xfId="1" applyFont="1" applyFill="1" applyBorder="1" applyAlignment="1">
      <alignment vertical="center" wrapText="1"/>
    </xf>
    <xf numFmtId="43" fontId="8" fillId="0" borderId="187" xfId="1" applyFont="1" applyFill="1" applyBorder="1" applyAlignment="1">
      <alignment vertical="center" wrapText="1"/>
    </xf>
    <xf numFmtId="0" fontId="8" fillId="0" borderId="183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2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2" fillId="2" borderId="43" xfId="0" applyFont="1" applyFill="1" applyBorder="1" applyAlignment="1">
      <alignment vertical="center"/>
    </xf>
    <xf numFmtId="0" fontId="72" fillId="2" borderId="41" xfId="0" applyFont="1" applyFill="1" applyBorder="1" applyAlignment="1">
      <alignment vertical="center"/>
    </xf>
    <xf numFmtId="0" fontId="72" fillId="2" borderId="40" xfId="0" applyFont="1" applyFill="1" applyBorder="1" applyAlignment="1">
      <alignment vertical="center"/>
    </xf>
    <xf numFmtId="0" fontId="72" fillId="2" borderId="44" xfId="0" applyFont="1" applyFill="1" applyBorder="1" applyAlignment="1">
      <alignment vertical="center"/>
    </xf>
    <xf numFmtId="3" fontId="73" fillId="13" borderId="187" xfId="0" applyNumberFormat="1" applyFont="1" applyFill="1" applyBorder="1" applyAlignment="1">
      <alignment vertical="center" wrapText="1"/>
    </xf>
    <xf numFmtId="3" fontId="93" fillId="13" borderId="187" xfId="0" applyNumberFormat="1" applyFont="1" applyFill="1" applyBorder="1" applyAlignment="1">
      <alignment vertical="center" wrapText="1"/>
    </xf>
    <xf numFmtId="0" fontId="72" fillId="2" borderId="113" xfId="0" applyFont="1" applyFill="1" applyBorder="1" applyAlignment="1">
      <alignment vertical="center"/>
    </xf>
    <xf numFmtId="0" fontId="74" fillId="13" borderId="84" xfId="4" applyFont="1" applyFill="1" applyBorder="1" applyAlignment="1">
      <alignment horizontal="center" vertical="center"/>
    </xf>
    <xf numFmtId="0" fontId="66" fillId="13" borderId="84" xfId="4" applyFont="1" applyFill="1" applyBorder="1" applyAlignment="1">
      <alignment horizontal="left" vertical="center"/>
    </xf>
    <xf numFmtId="0" fontId="66" fillId="0" borderId="84" xfId="4" applyFont="1" applyFill="1" applyBorder="1" applyAlignment="1">
      <alignment horizontal="left" vertical="center"/>
    </xf>
    <xf numFmtId="0" fontId="74" fillId="2" borderId="113" xfId="0" applyFont="1" applyFill="1" applyBorder="1" applyAlignment="1">
      <alignment vertical="center"/>
    </xf>
    <xf numFmtId="3" fontId="74" fillId="2" borderId="42" xfId="0" applyNumberFormat="1" applyFont="1" applyFill="1" applyBorder="1" applyAlignment="1">
      <alignment vertical="center"/>
    </xf>
    <xf numFmtId="0" fontId="74" fillId="2" borderId="41" xfId="0" applyFont="1" applyFill="1" applyBorder="1" applyAlignment="1">
      <alignment vertical="center"/>
    </xf>
    <xf numFmtId="0" fontId="74" fillId="2" borderId="44" xfId="0" applyFont="1" applyFill="1" applyBorder="1" applyAlignment="1">
      <alignment vertical="center"/>
    </xf>
    <xf numFmtId="0" fontId="74" fillId="2" borderId="25" xfId="0" applyFont="1" applyFill="1" applyBorder="1" applyAlignment="1">
      <alignment vertical="center"/>
    </xf>
    <xf numFmtId="0" fontId="74" fillId="2" borderId="11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74" fillId="2" borderId="65" xfId="0" applyFont="1" applyFill="1" applyBorder="1" applyAlignment="1">
      <alignment vertical="center"/>
    </xf>
    <xf numFmtId="0" fontId="66" fillId="13" borderId="26" xfId="4" applyFont="1" applyFill="1" applyBorder="1" applyAlignment="1">
      <alignment horizontal="left" vertical="center"/>
    </xf>
    <xf numFmtId="0" fontId="72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2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2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6" fillId="6" borderId="177" xfId="0" applyNumberFormat="1" applyFont="1" applyFill="1" applyBorder="1"/>
    <xf numFmtId="3" fontId="6" fillId="6" borderId="187" xfId="0" applyNumberFormat="1" applyFont="1" applyFill="1" applyBorder="1"/>
    <xf numFmtId="3" fontId="36" fillId="12" borderId="26" xfId="0" applyNumberFormat="1" applyFont="1" applyFill="1" applyBorder="1" applyAlignment="1">
      <alignment horizontal="right" vertical="center"/>
    </xf>
    <xf numFmtId="0" fontId="36" fillId="8" borderId="26" xfId="0" applyFont="1" applyFill="1" applyBorder="1" applyAlignment="1">
      <alignment horizontal="right"/>
    </xf>
    <xf numFmtId="0" fontId="36" fillId="15" borderId="84" xfId="0" applyFont="1" applyFill="1" applyBorder="1" applyAlignment="1">
      <alignment horizontal="center" wrapText="1"/>
    </xf>
    <xf numFmtId="3" fontId="8" fillId="6" borderId="187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5" fillId="0" borderId="187" xfId="0" applyFont="1" applyBorder="1" applyAlignment="1">
      <alignment horizontal="center"/>
    </xf>
    <xf numFmtId="3" fontId="8" fillId="8" borderId="177" xfId="0" applyNumberFormat="1" applyFont="1" applyFill="1" applyBorder="1"/>
    <xf numFmtId="3" fontId="8" fillId="8" borderId="180" xfId="0" applyNumberFormat="1" applyFont="1" applyFill="1" applyBorder="1"/>
    <xf numFmtId="3" fontId="8" fillId="0" borderId="65" xfId="0" applyNumberFormat="1" applyFont="1" applyBorder="1"/>
    <xf numFmtId="3" fontId="8" fillId="8" borderId="187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36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6" fillId="0" borderId="38" xfId="0" applyFont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6" xfId="0" applyFont="1" applyFill="1" applyBorder="1" applyAlignment="1">
      <alignment vertical="center" wrapText="1"/>
    </xf>
    <xf numFmtId="3" fontId="6" fillId="11" borderId="177" xfId="0" applyNumberFormat="1" applyFont="1" applyFill="1" applyBorder="1"/>
    <xf numFmtId="3" fontId="6" fillId="56" borderId="177" xfId="0" applyNumberFormat="1" applyFont="1" applyFill="1" applyBorder="1"/>
    <xf numFmtId="3" fontId="6" fillId="11" borderId="187" xfId="0" applyNumberFormat="1" applyFont="1" applyFill="1" applyBorder="1"/>
    <xf numFmtId="0" fontId="36" fillId="18" borderId="66" xfId="0" applyFont="1" applyFill="1" applyBorder="1" applyAlignment="1">
      <alignment horizontal="right"/>
    </xf>
    <xf numFmtId="0" fontId="76" fillId="0" borderId="84" xfId="0" applyFont="1" applyBorder="1" applyAlignment="1">
      <alignment horizontal="right"/>
    </xf>
    <xf numFmtId="3" fontId="8" fillId="56" borderId="177" xfId="0" applyNumberFormat="1" applyFont="1" applyFill="1" applyBorder="1"/>
    <xf numFmtId="3" fontId="8" fillId="11" borderId="177" xfId="0" applyNumberFormat="1" applyFont="1" applyFill="1" applyBorder="1"/>
    <xf numFmtId="0" fontId="8" fillId="0" borderId="77" xfId="0" applyFont="1" applyBorder="1"/>
    <xf numFmtId="0" fontId="8" fillId="18" borderId="66" xfId="0" applyFont="1" applyFill="1" applyBorder="1" applyAlignment="1">
      <alignment horizontal="right"/>
    </xf>
    <xf numFmtId="0" fontId="76" fillId="0" borderId="26" xfId="0" applyFont="1" applyBorder="1" applyAlignment="1">
      <alignment horizontal="right"/>
    </xf>
    <xf numFmtId="0" fontId="8" fillId="0" borderId="66" xfId="0" applyFont="1" applyBorder="1"/>
    <xf numFmtId="3" fontId="13" fillId="0" borderId="0" xfId="0" applyNumberFormat="1" applyFont="1" applyFill="1" applyBorder="1" applyAlignment="1">
      <alignment horizontal="left"/>
    </xf>
    <xf numFmtId="0" fontId="39" fillId="0" borderId="176" xfId="0" applyFont="1" applyBorder="1"/>
    <xf numFmtId="0" fontId="31" fillId="0" borderId="0" xfId="0" applyFont="1" applyFill="1" applyBorder="1" applyAlignment="1">
      <alignment vertical="top"/>
    </xf>
    <xf numFmtId="3" fontId="31" fillId="0" borderId="13" xfId="4" applyNumberFormat="1" applyFont="1" applyFill="1" applyBorder="1" applyAlignment="1">
      <alignment vertical="center"/>
    </xf>
    <xf numFmtId="3" fontId="31" fillId="2" borderId="27" xfId="0" applyNumberFormat="1" applyFont="1" applyFill="1" applyBorder="1" applyAlignment="1">
      <alignment vertical="top"/>
    </xf>
    <xf numFmtId="3" fontId="31" fillId="32" borderId="13" xfId="0" applyNumberFormat="1" applyFont="1" applyFill="1" applyBorder="1" applyAlignment="1">
      <alignment vertical="top"/>
    </xf>
    <xf numFmtId="3" fontId="31" fillId="2" borderId="13" xfId="0" applyNumberFormat="1" applyFont="1" applyFill="1" applyBorder="1" applyAlignment="1">
      <alignment vertical="top"/>
    </xf>
    <xf numFmtId="3" fontId="31" fillId="25" borderId="7" xfId="0" applyNumberFormat="1" applyFont="1" applyFill="1" applyBorder="1" applyAlignment="1">
      <alignment vertical="top"/>
    </xf>
    <xf numFmtId="0" fontId="24" fillId="0" borderId="13" xfId="0" applyFont="1" applyFill="1" applyBorder="1" applyAlignment="1">
      <alignment horizontal="center" vertical="center" wrapText="1"/>
    </xf>
    <xf numFmtId="0" fontId="29" fillId="8" borderId="195" xfId="4" applyFont="1" applyFill="1" applyBorder="1" applyAlignment="1">
      <alignment vertical="center"/>
    </xf>
    <xf numFmtId="0" fontId="31" fillId="8" borderId="195" xfId="4" applyFont="1" applyFill="1" applyBorder="1" applyAlignment="1">
      <alignment vertical="center"/>
    </xf>
    <xf numFmtId="0" fontId="25" fillId="0" borderId="76" xfId="4" applyFont="1" applyBorder="1" applyAlignment="1">
      <alignment horizontal="center" vertical="center" wrapText="1"/>
    </xf>
    <xf numFmtId="43" fontId="29" fillId="2" borderId="152" xfId="1" applyFont="1" applyFill="1" applyBorder="1" applyAlignment="1">
      <alignment vertical="center"/>
    </xf>
    <xf numFmtId="3" fontId="27" fillId="0" borderId="176" xfId="4" applyNumberFormat="1" applyFont="1" applyFill="1" applyBorder="1" applyAlignment="1">
      <alignment vertical="center"/>
    </xf>
    <xf numFmtId="3" fontId="29" fillId="0" borderId="176" xfId="4" applyNumberFormat="1" applyFont="1" applyFill="1" applyBorder="1" applyAlignment="1">
      <alignment vertical="center"/>
    </xf>
    <xf numFmtId="3" fontId="7" fillId="0" borderId="176" xfId="4" applyNumberFormat="1" applyFont="1" applyFill="1" applyBorder="1" applyAlignment="1">
      <alignment vertical="center"/>
    </xf>
    <xf numFmtId="3" fontId="28" fillId="0" borderId="176" xfId="4" applyNumberFormat="1" applyFont="1" applyFill="1" applyBorder="1" applyAlignment="1">
      <alignment horizontal="right" vertical="center"/>
    </xf>
    <xf numFmtId="3" fontId="28" fillId="0" borderId="177" xfId="4" applyNumberFormat="1" applyFont="1" applyFill="1" applyBorder="1" applyAlignment="1">
      <alignment horizontal="right" vertical="center"/>
    </xf>
    <xf numFmtId="3" fontId="31" fillId="0" borderId="173" xfId="4" applyNumberFormat="1" applyFont="1" applyFill="1" applyBorder="1" applyAlignment="1">
      <alignment horizontal="right" vertical="center"/>
    </xf>
    <xf numFmtId="3" fontId="38" fillId="0" borderId="168" xfId="4" applyNumberFormat="1" applyFont="1" applyFill="1" applyBorder="1" applyAlignment="1">
      <alignment horizontal="right" vertical="center"/>
    </xf>
    <xf numFmtId="3" fontId="33" fillId="0" borderId="176" xfId="114" applyNumberFormat="1" applyFont="1" applyFill="1" applyBorder="1" applyAlignment="1">
      <alignment vertical="center"/>
    </xf>
    <xf numFmtId="3" fontId="33" fillId="0" borderId="177" xfId="114" applyNumberFormat="1" applyFont="1" applyFill="1" applyBorder="1" applyAlignment="1">
      <alignment vertical="center"/>
    </xf>
    <xf numFmtId="0" fontId="4" fillId="0" borderId="177" xfId="112" applyFont="1" applyBorder="1" applyAlignment="1">
      <alignment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31" fillId="0" borderId="12" xfId="1" applyFont="1" applyFill="1" applyBorder="1" applyAlignment="1">
      <alignment vertical="center"/>
    </xf>
    <xf numFmtId="3" fontId="27" fillId="21" borderId="187" xfId="4" applyNumberFormat="1" applyFont="1" applyFill="1" applyBorder="1" applyAlignment="1">
      <alignment horizontal="right" vertical="center"/>
    </xf>
    <xf numFmtId="0" fontId="96" fillId="0" borderId="0" xfId="0" applyFont="1" applyFill="1" applyBorder="1" applyAlignment="1">
      <alignment vertical="top"/>
    </xf>
    <xf numFmtId="43" fontId="27" fillId="55" borderId="17" xfId="1" applyFont="1" applyFill="1" applyBorder="1" applyAlignment="1">
      <alignment horizontal="right" vertical="center"/>
    </xf>
    <xf numFmtId="43" fontId="27" fillId="55" borderId="27" xfId="1" applyFont="1" applyFill="1" applyBorder="1" applyAlignment="1">
      <alignment horizontal="right" vertical="center"/>
    </xf>
    <xf numFmtId="43" fontId="27" fillId="55" borderId="12" xfId="1" applyFont="1" applyFill="1" applyBorder="1" applyAlignment="1">
      <alignment horizontal="right" vertical="center"/>
    </xf>
    <xf numFmtId="43" fontId="24" fillId="29" borderId="68" xfId="1" applyFont="1" applyFill="1" applyBorder="1" applyAlignment="1">
      <alignment vertical="center"/>
    </xf>
    <xf numFmtId="43" fontId="27" fillId="8" borderId="177" xfId="1" applyFont="1" applyFill="1" applyBorder="1" applyAlignment="1">
      <alignment vertical="center"/>
    </xf>
    <xf numFmtId="43" fontId="31" fillId="28" borderId="35" xfId="1" applyFont="1" applyFill="1" applyBorder="1" applyAlignment="1">
      <alignment vertical="center"/>
    </xf>
    <xf numFmtId="43" fontId="31" fillId="0" borderId="187" xfId="1" applyFont="1" applyFill="1" applyBorder="1" applyAlignment="1">
      <alignment horizontal="right" vertical="center"/>
    </xf>
    <xf numFmtId="43" fontId="31" fillId="28" borderId="177" xfId="1" applyFont="1" applyFill="1" applyBorder="1" applyAlignment="1">
      <alignment vertical="center"/>
    </xf>
    <xf numFmtId="43" fontId="31" fillId="28" borderId="187" xfId="1" applyFont="1" applyFill="1" applyBorder="1" applyAlignment="1">
      <alignment vertical="center"/>
    </xf>
    <xf numFmtId="43" fontId="25" fillId="2" borderId="176" xfId="1" applyFont="1" applyFill="1" applyBorder="1" applyAlignment="1">
      <alignment vertical="center"/>
    </xf>
    <xf numFmtId="43" fontId="31" fillId="2" borderId="193" xfId="1" applyFont="1" applyFill="1" applyBorder="1" applyAlignment="1">
      <alignment vertical="top"/>
    </xf>
    <xf numFmtId="43" fontId="31" fillId="8" borderId="18" xfId="1" applyFont="1" applyFill="1" applyBorder="1" applyAlignment="1">
      <alignment vertical="top"/>
    </xf>
    <xf numFmtId="43" fontId="27" fillId="32" borderId="176" xfId="1" applyFont="1" applyFill="1" applyBorder="1" applyAlignment="1">
      <alignment vertical="center"/>
    </xf>
    <xf numFmtId="43" fontId="31" fillId="32" borderId="187" xfId="1" applyFont="1" applyFill="1" applyBorder="1" applyAlignment="1">
      <alignment vertical="top"/>
    </xf>
    <xf numFmtId="43" fontId="25" fillId="6" borderId="35" xfId="1" applyFont="1" applyFill="1" applyBorder="1" applyAlignment="1">
      <alignment vertical="top"/>
    </xf>
    <xf numFmtId="43" fontId="27" fillId="0" borderId="177" xfId="1" applyFont="1" applyFill="1" applyBorder="1" applyAlignment="1">
      <alignment vertical="top"/>
    </xf>
    <xf numFmtId="43" fontId="31" fillId="0" borderId="9" xfId="1" applyFont="1" applyFill="1" applyBorder="1" applyAlignment="1">
      <alignment vertical="center"/>
    </xf>
    <xf numFmtId="43" fontId="24" fillId="32" borderId="176" xfId="1" applyFont="1" applyFill="1" applyBorder="1" applyAlignment="1">
      <alignment vertical="center"/>
    </xf>
    <xf numFmtId="43" fontId="24" fillId="6" borderId="35" xfId="1" applyFont="1" applyFill="1" applyBorder="1" applyAlignment="1">
      <alignment vertical="center"/>
    </xf>
    <xf numFmtId="43" fontId="24" fillId="6" borderId="176" xfId="1" applyFont="1" applyFill="1" applyBorder="1" applyAlignment="1">
      <alignment horizontal="right" vertical="center"/>
    </xf>
    <xf numFmtId="43" fontId="29" fillId="0" borderId="176" xfId="1" applyFont="1" applyFill="1" applyBorder="1" applyAlignment="1">
      <alignment horizontal="right" vertical="center"/>
    </xf>
    <xf numFmtId="43" fontId="24" fillId="6" borderId="171" xfId="1" applyFont="1" applyFill="1" applyBorder="1" applyAlignment="1">
      <alignment horizontal="right" vertical="center"/>
    </xf>
    <xf numFmtId="43" fontId="29" fillId="0" borderId="171" xfId="1" applyFont="1" applyFill="1" applyBorder="1" applyAlignment="1">
      <alignment horizontal="right" vertical="center"/>
    </xf>
    <xf numFmtId="43" fontId="29" fillId="2" borderId="9" xfId="1" applyFont="1" applyFill="1" applyBorder="1" applyAlignment="1">
      <alignment vertical="center"/>
    </xf>
    <xf numFmtId="43" fontId="31" fillId="0" borderId="192" xfId="1" applyFont="1" applyFill="1" applyBorder="1" applyAlignment="1">
      <alignment vertical="center"/>
    </xf>
    <xf numFmtId="43" fontId="27" fillId="55" borderId="27" xfId="1" quotePrefix="1" applyFont="1" applyFill="1" applyBorder="1" applyAlignment="1">
      <alignment horizontal="right" vertical="center"/>
    </xf>
    <xf numFmtId="43" fontId="24" fillId="6" borderId="68" xfId="1" applyFont="1" applyFill="1" applyBorder="1" applyAlignment="1">
      <alignment vertical="center"/>
    </xf>
    <xf numFmtId="43" fontId="29" fillId="8" borderId="152" xfId="1" applyFont="1" applyFill="1" applyBorder="1" applyAlignment="1">
      <alignment vertical="center"/>
    </xf>
    <xf numFmtId="43" fontId="7" fillId="8" borderId="152" xfId="1" applyFont="1" applyFill="1" applyBorder="1" applyAlignment="1">
      <alignment vertical="center"/>
    </xf>
    <xf numFmtId="43" fontId="27" fillId="8" borderId="152" xfId="1" applyFont="1" applyFill="1" applyBorder="1" applyAlignment="1">
      <alignment vertical="center"/>
    </xf>
    <xf numFmtId="43" fontId="7" fillId="8" borderId="187" xfId="1" applyFont="1" applyFill="1" applyBorder="1" applyAlignment="1">
      <alignment vertical="center"/>
    </xf>
    <xf numFmtId="0" fontId="22" fillId="0" borderId="39" xfId="6" applyFont="1" applyBorder="1" applyAlignment="1">
      <alignment horizontal="center" vertical="center" wrapText="1"/>
    </xf>
    <xf numFmtId="3" fontId="25" fillId="23" borderId="17" xfId="0" applyNumberFormat="1" applyFont="1" applyFill="1" applyBorder="1" applyAlignment="1">
      <alignment vertical="top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3" fillId="0" borderId="121" xfId="0" applyFont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18" fillId="0" borderId="41" xfId="4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3" fontId="24" fillId="26" borderId="177" xfId="4" applyNumberFormat="1" applyFont="1" applyFill="1" applyBorder="1" applyAlignment="1">
      <alignment horizontal="center" vertical="center"/>
    </xf>
    <xf numFmtId="0" fontId="17" fillId="0" borderId="196" xfId="4" applyFont="1" applyFill="1" applyBorder="1" applyAlignment="1">
      <alignment horizontal="center" vertical="center"/>
    </xf>
    <xf numFmtId="0" fontId="32" fillId="0" borderId="177" xfId="0" applyFont="1" applyBorder="1" applyAlignment="1">
      <alignment wrapText="1"/>
    </xf>
    <xf numFmtId="0" fontId="32" fillId="0" borderId="177" xfId="0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23" fillId="0" borderId="20" xfId="0" applyFont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3" fontId="25" fillId="2" borderId="9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0" fillId="0" borderId="46" xfId="0" applyFont="1" applyBorder="1"/>
    <xf numFmtId="3" fontId="25" fillId="2" borderId="35" xfId="4" applyNumberFormat="1" applyFont="1" applyFill="1" applyBorder="1" applyAlignment="1">
      <alignment horizontal="center" vertical="center" wrapText="1"/>
    </xf>
    <xf numFmtId="3" fontId="24" fillId="26" borderId="72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0" fontId="25" fillId="8" borderId="22" xfId="0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3" fontId="25" fillId="8" borderId="76" xfId="4" applyNumberFormat="1" applyFont="1" applyFill="1" applyBorder="1" applyAlignment="1">
      <alignment vertical="center"/>
    </xf>
    <xf numFmtId="43" fontId="25" fillId="6" borderId="162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0" fontId="7" fillId="0" borderId="157" xfId="4" applyFont="1" applyFill="1" applyBorder="1" applyAlignment="1">
      <alignment vertical="center"/>
    </xf>
    <xf numFmtId="3" fontId="7" fillId="0" borderId="153" xfId="4" applyNumberFormat="1" applyFont="1" applyFill="1" applyBorder="1" applyAlignment="1">
      <alignment horizontal="right" vertical="center"/>
    </xf>
    <xf numFmtId="3" fontId="31" fillId="0" borderId="153" xfId="4" applyNumberFormat="1" applyFont="1" applyFill="1" applyBorder="1" applyAlignment="1">
      <alignment horizontal="right" vertical="center"/>
    </xf>
    <xf numFmtId="43" fontId="7" fillId="0" borderId="153" xfId="1" applyFont="1" applyFill="1" applyBorder="1" applyAlignment="1">
      <alignment horizontal="right" vertical="center"/>
    </xf>
    <xf numFmtId="0" fontId="27" fillId="2" borderId="157" xfId="4" applyFont="1" applyFill="1" applyBorder="1" applyAlignment="1">
      <alignment vertical="center"/>
    </xf>
    <xf numFmtId="3" fontId="33" fillId="0" borderId="162" xfId="6" applyNumberFormat="1" applyFont="1" applyFill="1" applyBorder="1" applyAlignment="1">
      <alignment vertical="center"/>
    </xf>
    <xf numFmtId="43" fontId="33" fillId="0" borderId="162" xfId="1" applyFont="1" applyFill="1" applyBorder="1" applyAlignment="1">
      <alignment vertical="center"/>
    </xf>
    <xf numFmtId="43" fontId="24" fillId="6" borderId="162" xfId="1" applyFont="1" applyFill="1" applyBorder="1" applyAlignment="1">
      <alignment vertical="center"/>
    </xf>
    <xf numFmtId="3" fontId="24" fillId="26" borderId="104" xfId="4" applyNumberFormat="1" applyFont="1" applyFill="1" applyBorder="1" applyAlignment="1">
      <alignment horizontal="center"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43" fontId="25" fillId="6" borderId="152" xfId="1" applyFont="1" applyFill="1" applyBorder="1" applyAlignment="1">
      <alignment horizontal="right" vertical="center"/>
    </xf>
    <xf numFmtId="0" fontId="31" fillId="0" borderId="157" xfId="4" applyFont="1" applyFill="1" applyBorder="1" applyAlignment="1">
      <alignment vertical="center"/>
    </xf>
    <xf numFmtId="43" fontId="31" fillId="0" borderId="153" xfId="1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0" fontId="31" fillId="0" borderId="125" xfId="4" applyFont="1" applyFill="1" applyBorder="1" applyAlignment="1">
      <alignment vertical="center"/>
    </xf>
    <xf numFmtId="43" fontId="31" fillId="0" borderId="162" xfId="1" applyFont="1" applyFill="1" applyBorder="1" applyAlignment="1">
      <alignment vertical="center"/>
    </xf>
    <xf numFmtId="3" fontId="24" fillId="32" borderId="152" xfId="4" applyNumberFormat="1" applyFont="1" applyFill="1" applyBorder="1" applyAlignment="1">
      <alignment vertical="center"/>
    </xf>
    <xf numFmtId="43" fontId="24" fillId="32" borderId="152" xfId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3" fontId="31" fillId="25" borderId="153" xfId="4" applyNumberFormat="1" applyFont="1" applyFill="1" applyBorder="1" applyAlignment="1">
      <alignment horizontal="right" vertical="center"/>
    </xf>
    <xf numFmtId="3" fontId="18" fillId="0" borderId="43" xfId="4" applyNumberFormat="1" applyFont="1" applyFill="1" applyBorder="1" applyAlignment="1">
      <alignment vertical="center" wrapText="1"/>
    </xf>
    <xf numFmtId="3" fontId="32" fillId="0" borderId="20" xfId="0" applyNumberFormat="1" applyFont="1" applyBorder="1" applyAlignment="1">
      <alignment horizontal="center" vertical="center"/>
    </xf>
    <xf numFmtId="3" fontId="8" fillId="0" borderId="187" xfId="4" applyNumberFormat="1" applyFont="1" applyFill="1" applyBorder="1" applyAlignment="1">
      <alignment horizontal="right" vertical="center"/>
    </xf>
    <xf numFmtId="3" fontId="8" fillId="0" borderId="129" xfId="4" applyNumberFormat="1" applyFont="1" applyFill="1" applyBorder="1" applyAlignment="1">
      <alignment horizontal="right" vertical="center"/>
    </xf>
    <xf numFmtId="3" fontId="24" fillId="6" borderId="176" xfId="0" applyNumberFormat="1" applyFont="1" applyFill="1" applyBorder="1" applyAlignment="1">
      <alignment horizontal="right" vertical="center"/>
    </xf>
    <xf numFmtId="3" fontId="29" fillId="0" borderId="27" xfId="0" applyNumberFormat="1" applyFont="1" applyFill="1" applyBorder="1" applyAlignment="1">
      <alignment horizontal="right" vertical="center"/>
    </xf>
    <xf numFmtId="3" fontId="7" fillId="0" borderId="128" xfId="4" applyNumberFormat="1" applyFont="1" applyFill="1" applyBorder="1" applyAlignment="1">
      <alignment vertical="center"/>
    </xf>
    <xf numFmtId="3" fontId="7" fillId="0" borderId="162" xfId="0" applyNumberFormat="1" applyFont="1" applyFill="1" applyBorder="1" applyAlignment="1">
      <alignment horizontal="right" vertical="center"/>
    </xf>
    <xf numFmtId="43" fontId="31" fillId="0" borderId="112" xfId="1" applyFont="1" applyFill="1" applyBorder="1" applyAlignment="1">
      <alignment horizontal="right" vertical="center"/>
    </xf>
    <xf numFmtId="0" fontId="24" fillId="8" borderId="195" xfId="4" applyFont="1" applyFill="1" applyBorder="1" applyAlignment="1">
      <alignment vertical="center" wrapText="1"/>
    </xf>
    <xf numFmtId="0" fontId="24" fillId="8" borderId="196" xfId="4" applyFont="1" applyFill="1" applyBorder="1" applyAlignment="1">
      <alignment horizontal="center" vertical="center" wrapText="1"/>
    </xf>
    <xf numFmtId="3" fontId="7" fillId="8" borderId="185" xfId="4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8" borderId="180" xfId="4" applyNumberFormat="1" applyFont="1" applyFill="1" applyBorder="1" applyAlignment="1">
      <alignment horizontal="right" vertical="center"/>
    </xf>
    <xf numFmtId="3" fontId="24" fillId="23" borderId="177" xfId="4" applyNumberFormat="1" applyFont="1" applyFill="1" applyBorder="1" applyAlignment="1">
      <alignment horizontal="right" vertical="center"/>
    </xf>
    <xf numFmtId="0" fontId="18" fillId="0" borderId="183" xfId="4" applyFont="1" applyFill="1" applyBorder="1" applyAlignment="1">
      <alignment vertical="center" wrapText="1"/>
    </xf>
    <xf numFmtId="0" fontId="7" fillId="0" borderId="182" xfId="4" applyFont="1" applyFill="1" applyBorder="1" applyAlignment="1">
      <alignment horizontal="left" vertical="center"/>
    </xf>
    <xf numFmtId="0" fontId="25" fillId="8" borderId="195" xfId="4" applyFont="1" applyFill="1" applyBorder="1" applyAlignment="1">
      <alignment horizontal="left" vertical="center" wrapText="1"/>
    </xf>
    <xf numFmtId="3" fontId="24" fillId="8" borderId="185" xfId="4" applyNumberFormat="1" applyFont="1" applyFill="1" applyBorder="1" applyAlignment="1">
      <alignment horizontal="right" vertical="center"/>
    </xf>
    <xf numFmtId="3" fontId="24" fillId="8" borderId="176" xfId="4" applyNumberFormat="1" applyFont="1" applyFill="1" applyBorder="1" applyAlignment="1">
      <alignment horizontal="right" vertical="center"/>
    </xf>
    <xf numFmtId="3" fontId="24" fillId="23" borderId="10" xfId="4" applyNumberFormat="1" applyFont="1" applyFill="1" applyBorder="1" applyAlignment="1">
      <alignment horizontal="right" vertical="center"/>
    </xf>
    <xf numFmtId="3" fontId="31" fillId="25" borderId="177" xfId="4" applyNumberFormat="1" applyFont="1" applyFill="1" applyBorder="1" applyAlignment="1">
      <alignment horizontal="right" vertical="center"/>
    </xf>
    <xf numFmtId="0" fontId="4" fillId="0" borderId="99" xfId="0" applyFont="1" applyBorder="1"/>
    <xf numFmtId="0" fontId="4" fillId="0" borderId="176" xfId="0" applyFont="1" applyBorder="1"/>
    <xf numFmtId="0" fontId="4" fillId="0" borderId="176" xfId="0" applyFont="1" applyBorder="1" applyAlignment="1">
      <alignment vertical="center"/>
    </xf>
    <xf numFmtId="3" fontId="4" fillId="0" borderId="176" xfId="0" applyNumberFormat="1" applyFont="1" applyBorder="1"/>
    <xf numFmtId="3" fontId="4" fillId="56" borderId="176" xfId="0" applyNumberFormat="1" applyFont="1" applyFill="1" applyBorder="1"/>
    <xf numFmtId="0" fontId="24" fillId="8" borderId="177" xfId="4" applyFont="1" applyFill="1" applyBorder="1" applyAlignment="1">
      <alignment vertical="center" wrapText="1"/>
    </xf>
    <xf numFmtId="0" fontId="24" fillId="8" borderId="177" xfId="4" applyFont="1" applyFill="1" applyBorder="1" applyAlignment="1">
      <alignment horizontal="center" vertical="center" wrapText="1"/>
    </xf>
    <xf numFmtId="3" fontId="4" fillId="0" borderId="176" xfId="0" applyNumberFormat="1" applyFont="1" applyBorder="1" applyAlignment="1">
      <alignment vertical="center"/>
    </xf>
    <xf numFmtId="0" fontId="28" fillId="0" borderId="177" xfId="4" applyFont="1" applyFill="1" applyBorder="1" applyAlignment="1">
      <alignment vertical="center"/>
    </xf>
    <xf numFmtId="43" fontId="28" fillId="0" borderId="177" xfId="1" applyFont="1" applyFill="1" applyBorder="1" applyAlignment="1">
      <alignment horizontal="right" vertical="center"/>
    </xf>
    <xf numFmtId="0" fontId="29" fillId="2" borderId="177" xfId="4" applyFont="1" applyFill="1" applyBorder="1" applyAlignment="1">
      <alignment vertical="center"/>
    </xf>
    <xf numFmtId="43" fontId="24" fillId="6" borderId="177" xfId="1" applyFont="1" applyFill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0" fontId="38" fillId="0" borderId="177" xfId="4" applyFont="1" applyFill="1" applyBorder="1" applyAlignment="1">
      <alignment vertical="center"/>
    </xf>
    <xf numFmtId="0" fontId="28" fillId="62" borderId="177" xfId="4" applyFont="1" applyFill="1" applyBorder="1" applyAlignment="1">
      <alignment vertical="top"/>
    </xf>
    <xf numFmtId="0" fontId="28" fillId="61" borderId="177" xfId="4" applyFont="1" applyFill="1" applyBorder="1" applyAlignment="1">
      <alignment vertical="top"/>
    </xf>
    <xf numFmtId="3" fontId="63" fillId="61" borderId="177" xfId="6" applyNumberFormat="1" applyFont="1" applyFill="1" applyBorder="1" applyAlignment="1">
      <alignment vertical="center"/>
    </xf>
    <xf numFmtId="43" fontId="38" fillId="61" borderId="177" xfId="1" applyFont="1" applyFill="1" applyBorder="1" applyAlignment="1">
      <alignment horizontal="right" vertical="center"/>
    </xf>
    <xf numFmtId="3" fontId="38" fillId="61" borderId="177" xfId="4" applyNumberFormat="1" applyFont="1" applyFill="1" applyBorder="1" applyAlignment="1">
      <alignment horizontal="right" vertical="center"/>
    </xf>
    <xf numFmtId="43" fontId="28" fillId="61" borderId="177" xfId="1" applyFont="1" applyFill="1" applyBorder="1" applyAlignment="1">
      <alignment horizontal="right" vertical="center"/>
    </xf>
    <xf numFmtId="0" fontId="7" fillId="62" borderId="177" xfId="4" applyFont="1" applyFill="1" applyBorder="1" applyAlignment="1">
      <alignment vertical="top"/>
    </xf>
    <xf numFmtId="0" fontId="32" fillId="62" borderId="177" xfId="0" applyFont="1" applyFill="1" applyBorder="1" applyAlignment="1">
      <alignment horizontal="center" vertical="center" wrapText="1"/>
    </xf>
    <xf numFmtId="3" fontId="32" fillId="62" borderId="177" xfId="6" applyNumberFormat="1" applyFont="1" applyFill="1" applyBorder="1" applyAlignment="1">
      <alignment vertical="center"/>
    </xf>
    <xf numFmtId="43" fontId="7" fillId="62" borderId="177" xfId="1" applyFont="1" applyFill="1" applyBorder="1" applyAlignment="1">
      <alignment horizontal="right" vertical="center"/>
    </xf>
    <xf numFmtId="3" fontId="7" fillId="62" borderId="177" xfId="4" applyNumberFormat="1" applyFont="1" applyFill="1" applyBorder="1" applyAlignment="1">
      <alignment horizontal="right" vertical="center"/>
    </xf>
    <xf numFmtId="0" fontId="7" fillId="61" borderId="177" xfId="4" applyFont="1" applyFill="1" applyBorder="1" applyAlignment="1">
      <alignment vertical="top"/>
    </xf>
    <xf numFmtId="0" fontId="32" fillId="61" borderId="177" xfId="0" applyFont="1" applyFill="1" applyBorder="1" applyAlignment="1">
      <alignment horizontal="center" vertical="center" wrapText="1"/>
    </xf>
    <xf numFmtId="3" fontId="32" fillId="61" borderId="177" xfId="6" applyNumberFormat="1" applyFont="1" applyFill="1" applyBorder="1" applyAlignment="1">
      <alignment vertical="center"/>
    </xf>
    <xf numFmtId="43" fontId="7" fillId="61" borderId="177" xfId="1" applyFont="1" applyFill="1" applyBorder="1" applyAlignment="1">
      <alignment horizontal="right" vertical="center"/>
    </xf>
    <xf numFmtId="3" fontId="7" fillId="61" borderId="177" xfId="4" applyNumberFormat="1" applyFont="1" applyFill="1" applyBorder="1" applyAlignment="1">
      <alignment horizontal="right" vertical="center"/>
    </xf>
    <xf numFmtId="4" fontId="4" fillId="0" borderId="176" xfId="0" applyNumberFormat="1" applyFont="1" applyBorder="1"/>
    <xf numFmtId="0" fontId="32" fillId="0" borderId="187" xfId="0" applyFont="1" applyBorder="1"/>
    <xf numFmtId="43" fontId="28" fillId="23" borderId="185" xfId="1" applyFont="1" applyFill="1" applyBorder="1" applyAlignment="1">
      <alignment horizontal="right" vertical="center"/>
    </xf>
    <xf numFmtId="0" fontId="7" fillId="59" borderId="177" xfId="4" applyFont="1" applyFill="1" applyBorder="1" applyAlignment="1">
      <alignment vertical="top"/>
    </xf>
    <xf numFmtId="3" fontId="32" fillId="59" borderId="177" xfId="6" applyNumberFormat="1" applyFont="1" applyFill="1" applyBorder="1" applyAlignment="1">
      <alignment vertical="center"/>
    </xf>
    <xf numFmtId="3" fontId="31" fillId="59" borderId="177" xfId="4" applyNumberFormat="1" applyFont="1" applyFill="1" applyBorder="1" applyAlignment="1">
      <alignment horizontal="right" vertical="center"/>
    </xf>
    <xf numFmtId="3" fontId="7" fillId="59" borderId="177" xfId="4" applyNumberFormat="1" applyFont="1" applyFill="1" applyBorder="1" applyAlignment="1">
      <alignment horizontal="right" vertical="center"/>
    </xf>
    <xf numFmtId="3" fontId="31" fillId="62" borderId="177" xfId="4" applyNumberFormat="1" applyFont="1" applyFill="1" applyBorder="1" applyAlignment="1">
      <alignment horizontal="right" vertical="center"/>
    </xf>
    <xf numFmtId="0" fontId="4" fillId="32" borderId="176" xfId="0" applyFont="1" applyFill="1" applyBorder="1"/>
    <xf numFmtId="3" fontId="4" fillId="32" borderId="176" xfId="0" applyNumberFormat="1" applyFont="1" applyFill="1" applyBorder="1"/>
    <xf numFmtId="43" fontId="31" fillId="32" borderId="177" xfId="1" applyFont="1" applyFill="1" applyBorder="1" applyAlignment="1"/>
    <xf numFmtId="3" fontId="28" fillId="62" borderId="177" xfId="4" applyNumberFormat="1" applyFont="1" applyFill="1" applyBorder="1" applyAlignment="1">
      <alignment horizontal="right" vertical="center"/>
    </xf>
    <xf numFmtId="3" fontId="28" fillId="57" borderId="177" xfId="4" applyNumberFormat="1" applyFont="1" applyFill="1" applyBorder="1" applyAlignment="1">
      <alignment horizontal="right" vertical="center"/>
    </xf>
    <xf numFmtId="43" fontId="7" fillId="8" borderId="18" xfId="1" applyFont="1" applyFill="1" applyBorder="1" applyAlignment="1">
      <alignment vertical="top"/>
    </xf>
    <xf numFmtId="3" fontId="24" fillId="6" borderId="176" xfId="0" applyNumberFormat="1" applyFont="1" applyFill="1" applyBorder="1" applyAlignment="1">
      <alignment vertical="top"/>
    </xf>
    <xf numFmtId="43" fontId="24" fillId="6" borderId="176" xfId="1" applyFont="1" applyFill="1" applyBorder="1" applyAlignment="1">
      <alignment vertical="top"/>
    </xf>
    <xf numFmtId="3" fontId="29" fillId="2" borderId="177" xfId="0" applyNumberFormat="1" applyFont="1" applyFill="1" applyBorder="1" applyAlignment="1">
      <alignment vertical="center"/>
    </xf>
    <xf numFmtId="43" fontId="24" fillId="2" borderId="176" xfId="1" applyFont="1" applyFill="1" applyBorder="1" applyAlignment="1">
      <alignment vertical="center"/>
    </xf>
    <xf numFmtId="43" fontId="29" fillId="32" borderId="176" xfId="1" applyFont="1" applyFill="1" applyBorder="1" applyAlignment="1">
      <alignment vertical="center"/>
    </xf>
    <xf numFmtId="3" fontId="29" fillId="32" borderId="176" xfId="0" applyNumberFormat="1" applyFont="1" applyFill="1" applyBorder="1" applyAlignment="1">
      <alignment vertical="center"/>
    </xf>
    <xf numFmtId="3" fontId="29" fillId="2" borderId="176" xfId="0" applyNumberFormat="1" applyFont="1" applyFill="1" applyBorder="1" applyAlignment="1">
      <alignment vertical="center"/>
    </xf>
    <xf numFmtId="3" fontId="7" fillId="32" borderId="177" xfId="0" applyNumberFormat="1" applyFont="1" applyFill="1" applyBorder="1" applyAlignment="1">
      <alignment vertical="top"/>
    </xf>
    <xf numFmtId="3" fontId="7" fillId="2" borderId="187" xfId="0" applyNumberFormat="1" applyFont="1" applyFill="1" applyBorder="1" applyAlignment="1">
      <alignment vertical="top"/>
    </xf>
    <xf numFmtId="3" fontId="38" fillId="62" borderId="35" xfId="4" applyNumberFormat="1" applyFont="1" applyFill="1" applyBorder="1" applyAlignment="1">
      <alignment horizontal="right" vertical="center"/>
    </xf>
    <xf numFmtId="43" fontId="38" fillId="62" borderId="35" xfId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vertical="top"/>
    </xf>
    <xf numFmtId="3" fontId="38" fillId="25" borderId="129" xfId="0" applyNumberFormat="1" applyFont="1" applyFill="1" applyBorder="1" applyAlignment="1">
      <alignment vertical="top"/>
    </xf>
    <xf numFmtId="0" fontId="22" fillId="0" borderId="50" xfId="6" applyFont="1" applyBorder="1" applyAlignment="1">
      <alignment horizontal="center" vertical="center"/>
    </xf>
    <xf numFmtId="3" fontId="31" fillId="23" borderId="162" xfId="4" applyNumberFormat="1" applyFont="1" applyFill="1" applyBorder="1" applyAlignment="1">
      <alignment horizontal="right" vertical="center"/>
    </xf>
    <xf numFmtId="43" fontId="31" fillId="23" borderId="162" xfId="1" applyFont="1" applyFill="1" applyBorder="1" applyAlignment="1">
      <alignment horizontal="right" vertical="center"/>
    </xf>
    <xf numFmtId="3" fontId="29" fillId="2" borderId="195" xfId="4" applyNumberFormat="1" applyFont="1" applyFill="1" applyBorder="1" applyAlignment="1">
      <alignment vertical="top" wrapText="1"/>
    </xf>
    <xf numFmtId="3" fontId="27" fillId="2" borderId="177" xfId="0" applyNumberFormat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85" xfId="0" applyNumberFormat="1" applyFont="1" applyFill="1" applyBorder="1" applyAlignment="1"/>
    <xf numFmtId="0" fontId="7" fillId="0" borderId="195" xfId="0" applyFont="1" applyFill="1" applyBorder="1" applyAlignment="1">
      <alignment vertical="center"/>
    </xf>
    <xf numFmtId="3" fontId="31" fillId="25" borderId="185" xfId="0" applyNumberFormat="1" applyFont="1" applyFill="1" applyBorder="1" applyAlignment="1"/>
    <xf numFmtId="0" fontId="7" fillId="0" borderId="195" xfId="0" applyFont="1" applyFill="1" applyBorder="1" applyAlignment="1">
      <alignment vertical="top"/>
    </xf>
    <xf numFmtId="43" fontId="31" fillId="0" borderId="177" xfId="1" applyFont="1" applyFill="1" applyBorder="1" applyAlignment="1"/>
    <xf numFmtId="3" fontId="31" fillId="25" borderId="185" xfId="0" applyNumberFormat="1" applyFont="1" applyFill="1" applyBorder="1" applyAlignment="1">
      <alignment horizontal="center" vertical="top"/>
    </xf>
    <xf numFmtId="0" fontId="7" fillId="0" borderId="195" xfId="0" applyFont="1" applyFill="1" applyBorder="1" applyAlignment="1">
      <alignment horizontal="left" vertical="center"/>
    </xf>
    <xf numFmtId="43" fontId="31" fillId="0" borderId="187" xfId="1" applyFont="1" applyFill="1" applyBorder="1" applyAlignment="1"/>
    <xf numFmtId="0" fontId="25" fillId="6" borderId="21" xfId="4" applyFont="1" applyFill="1" applyBorder="1" applyAlignment="1">
      <alignment horizontal="left"/>
    </xf>
    <xf numFmtId="0" fontId="27" fillId="8" borderId="36" xfId="4" applyFont="1" applyFill="1" applyBorder="1" applyAlignment="1"/>
    <xf numFmtId="0" fontId="7" fillId="8" borderId="21" xfId="0" applyFont="1" applyFill="1" applyBorder="1" applyAlignment="1">
      <alignment vertical="center"/>
    </xf>
    <xf numFmtId="3" fontId="7" fillId="8" borderId="151" xfId="0" applyNumberFormat="1" applyFont="1" applyFill="1" applyBorder="1" applyAlignment="1">
      <alignment vertical="center"/>
    </xf>
    <xf numFmtId="3" fontId="7" fillId="25" borderId="185" xfId="0" applyNumberFormat="1" applyFont="1" applyFill="1" applyBorder="1" applyAlignment="1">
      <alignment horizontal="center" vertical="top"/>
    </xf>
    <xf numFmtId="3" fontId="25" fillId="8" borderId="3" xfId="0" applyNumberFormat="1" applyFont="1" applyFill="1" applyBorder="1" applyAlignment="1">
      <alignment vertical="top"/>
    </xf>
    <xf numFmtId="3" fontId="25" fillId="8" borderId="15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0" fontId="7" fillId="6" borderId="119" xfId="0" applyFont="1" applyFill="1" applyBorder="1" applyAlignment="1">
      <alignment vertical="top"/>
    </xf>
    <xf numFmtId="43" fontId="25" fillId="6" borderId="119" xfId="1" applyFont="1" applyFill="1" applyBorder="1" applyAlignment="1"/>
    <xf numFmtId="3" fontId="25" fillId="22" borderId="154" xfId="0" applyNumberFormat="1" applyFont="1" applyFill="1" applyBorder="1" applyAlignment="1"/>
    <xf numFmtId="3" fontId="29" fillId="2" borderId="115" xfId="4" applyNumberFormat="1" applyFont="1" applyFill="1" applyBorder="1" applyAlignment="1">
      <alignment vertical="top" wrapText="1"/>
    </xf>
    <xf numFmtId="3" fontId="27" fillId="2" borderId="151" xfId="0" applyNumberFormat="1" applyFont="1" applyFill="1" applyBorder="1" applyAlignment="1"/>
    <xf numFmtId="43" fontId="27" fillId="2" borderId="151" xfId="1" applyFont="1" applyFill="1" applyBorder="1" applyAlignment="1"/>
    <xf numFmtId="43" fontId="27" fillId="2" borderId="119" xfId="1" applyFont="1" applyFill="1" applyBorder="1" applyAlignment="1"/>
    <xf numFmtId="3" fontId="27" fillId="25" borderId="154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43" fontId="31" fillId="0" borderId="119" xfId="1" applyFont="1" applyFill="1" applyBorder="1" applyAlignment="1">
      <alignment vertical="top"/>
    </xf>
    <xf numFmtId="0" fontId="7" fillId="0" borderId="115" xfId="0" applyFont="1" applyFill="1" applyBorder="1" applyAlignment="1">
      <alignment vertical="top" wrapText="1"/>
    </xf>
    <xf numFmtId="43" fontId="31" fillId="0" borderId="151" xfId="1" applyFont="1" applyFill="1" applyBorder="1" applyAlignment="1">
      <alignment vertical="top"/>
    </xf>
    <xf numFmtId="3" fontId="31" fillId="25" borderId="154" xfId="0" applyNumberFormat="1" applyFont="1" applyFill="1" applyBorder="1" applyAlignment="1">
      <alignment vertical="top"/>
    </xf>
    <xf numFmtId="43" fontId="31" fillId="0" borderId="153" xfId="1" applyFont="1" applyFill="1" applyBorder="1" applyAlignment="1">
      <alignment vertical="top"/>
    </xf>
    <xf numFmtId="43" fontId="31" fillId="0" borderId="176" xfId="1" applyFont="1" applyFill="1" applyBorder="1" applyAlignment="1">
      <alignment vertical="top"/>
    </xf>
    <xf numFmtId="0" fontId="7" fillId="0" borderId="115" xfId="0" applyFont="1" applyFill="1" applyBorder="1" applyAlignment="1">
      <alignment vertical="center" wrapText="1"/>
    </xf>
    <xf numFmtId="43" fontId="0" fillId="0" borderId="9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32" borderId="20" xfId="0" applyFont="1" applyFill="1" applyBorder="1" applyAlignment="1">
      <alignment vertical="top"/>
    </xf>
    <xf numFmtId="43" fontId="0" fillId="0" borderId="8" xfId="1" applyFont="1" applyBorder="1"/>
    <xf numFmtId="43" fontId="25" fillId="22" borderId="46" xfId="1" applyFont="1" applyFill="1" applyBorder="1" applyAlignment="1">
      <alignment horizontal="center" vertical="center"/>
    </xf>
    <xf numFmtId="43" fontId="27" fillId="2" borderId="119" xfId="1" applyFont="1" applyFill="1" applyBorder="1" applyAlignment="1">
      <alignment vertical="center"/>
    </xf>
    <xf numFmtId="43" fontId="31" fillId="0" borderId="128" xfId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6" borderId="176" xfId="1" applyNumberFormat="1" applyFont="1" applyFill="1" applyBorder="1" applyAlignment="1">
      <alignment vertical="top"/>
    </xf>
    <xf numFmtId="3" fontId="27" fillId="2" borderId="176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6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87" xfId="1" applyNumberFormat="1" applyFont="1" applyFill="1" applyBorder="1" applyAlignment="1">
      <alignment horizontal="right" vertical="center"/>
    </xf>
    <xf numFmtId="3" fontId="31" fillId="0" borderId="193" xfId="4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0" fontId="28" fillId="0" borderId="125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31" fillId="0" borderId="117" xfId="0" applyNumberFormat="1" applyFont="1" applyFill="1" applyBorder="1" applyAlignment="1">
      <alignment horizontal="right" vertical="center"/>
    </xf>
    <xf numFmtId="3" fontId="31" fillId="0" borderId="153" xfId="0" applyNumberFormat="1" applyFont="1" applyFill="1" applyBorder="1" applyAlignment="1">
      <alignment horizontal="right" vertical="center"/>
    </xf>
    <xf numFmtId="3" fontId="31" fillId="25" borderId="161" xfId="0" applyNumberFormat="1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2" xfId="0" applyNumberFormat="1" applyFont="1" applyFill="1" applyBorder="1" applyAlignment="1">
      <alignment horizontal="right" vertical="center"/>
    </xf>
    <xf numFmtId="3" fontId="28" fillId="25" borderId="117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70" xfId="0" applyNumberFormat="1" applyFont="1" applyFill="1" applyBorder="1" applyAlignment="1">
      <alignment vertical="top"/>
    </xf>
    <xf numFmtId="43" fontId="25" fillId="6" borderId="170" xfId="1" applyFont="1" applyFill="1" applyBorder="1" applyAlignment="1">
      <alignment vertical="top"/>
    </xf>
    <xf numFmtId="3" fontId="25" fillId="22" borderId="170" xfId="0" applyNumberFormat="1" applyFont="1" applyFill="1" applyBorder="1" applyAlignment="1">
      <alignment vertical="top"/>
    </xf>
    <xf numFmtId="43" fontId="27" fillId="2" borderId="176" xfId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6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28" fillId="2" borderId="176" xfId="1" applyFont="1" applyFill="1" applyBorder="1" applyAlignment="1">
      <alignment vertical="top"/>
    </xf>
    <xf numFmtId="43" fontId="28" fillId="2" borderId="128" xfId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69" xfId="0" applyFont="1" applyFill="1" applyBorder="1" applyAlignment="1">
      <alignment horizontal="left" vertical="center" wrapText="1"/>
    </xf>
    <xf numFmtId="0" fontId="27" fillId="2" borderId="160" xfId="4" applyFont="1" applyFill="1" applyBorder="1" applyAlignment="1">
      <alignment vertical="top"/>
    </xf>
    <xf numFmtId="0" fontId="66" fillId="6" borderId="158" xfId="4" applyFont="1" applyFill="1" applyBorder="1" applyAlignment="1">
      <alignment horizontal="left" vertical="center"/>
    </xf>
    <xf numFmtId="3" fontId="24" fillId="6" borderId="167" xfId="0" applyNumberFormat="1" applyFont="1" applyFill="1" applyBorder="1" applyAlignment="1">
      <alignment vertical="center"/>
    </xf>
    <xf numFmtId="3" fontId="29" fillId="0" borderId="167" xfId="0" applyNumberFormat="1" applyFont="1" applyFill="1" applyBorder="1" applyAlignment="1">
      <alignment vertical="center"/>
    </xf>
    <xf numFmtId="0" fontId="8" fillId="0" borderId="115" xfId="0" applyFont="1" applyFill="1" applyBorder="1" applyAlignment="1">
      <alignment vertical="center" wrapText="1"/>
    </xf>
    <xf numFmtId="3" fontId="7" fillId="0" borderId="161" xfId="4" applyNumberFormat="1" applyFont="1" applyFill="1" applyBorder="1" applyAlignment="1">
      <alignment vertical="center"/>
    </xf>
    <xf numFmtId="3" fontId="38" fillId="2" borderId="119" xfId="0" applyNumberFormat="1" applyFont="1" applyFill="1" applyBorder="1" applyAlignment="1">
      <alignment vertical="top"/>
    </xf>
    <xf numFmtId="3" fontId="7" fillId="0" borderId="152" xfId="4" applyNumberFormat="1" applyFont="1" applyFill="1" applyBorder="1" applyAlignment="1">
      <alignment vertical="center"/>
    </xf>
    <xf numFmtId="0" fontId="29" fillId="2" borderId="115" xfId="4" applyFont="1" applyFill="1" applyBorder="1" applyAlignment="1">
      <alignment vertical="top"/>
    </xf>
    <xf numFmtId="3" fontId="29" fillId="0" borderId="167" xfId="0" applyNumberFormat="1" applyFont="1" applyFill="1" applyBorder="1" applyAlignment="1">
      <alignment horizontal="right" vertical="center"/>
    </xf>
    <xf numFmtId="3" fontId="38" fillId="0" borderId="167" xfId="0" applyNumberFormat="1" applyFont="1" applyFill="1" applyBorder="1" applyAlignment="1">
      <alignment vertical="center"/>
    </xf>
    <xf numFmtId="0" fontId="8" fillId="0" borderId="115" xfId="0" quotePrefix="1" applyFont="1" applyFill="1" applyBorder="1" applyAlignment="1">
      <alignment vertical="center" wrapText="1"/>
    </xf>
    <xf numFmtId="3" fontId="38" fillId="2" borderId="119" xfId="0" applyNumberFormat="1" applyFont="1" applyFill="1" applyBorder="1" applyAlignment="1">
      <alignment vertical="center"/>
    </xf>
    <xf numFmtId="3" fontId="7" fillId="0" borderId="112" xfId="4" applyNumberFormat="1" applyFont="1" applyFill="1" applyBorder="1" applyAlignment="1">
      <alignment vertical="center"/>
    </xf>
    <xf numFmtId="0" fontId="7" fillId="0" borderId="21" xfId="0" quotePrefix="1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0" fontId="7" fillId="0" borderId="115" xfId="0" quotePrefix="1" applyFont="1" applyFill="1" applyBorder="1" applyAlignment="1">
      <alignment vertical="center" wrapText="1"/>
    </xf>
    <xf numFmtId="0" fontId="7" fillId="0" borderId="74" xfId="0" quotePrefix="1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7" fillId="8" borderId="7" xfId="0" applyNumberFormat="1" applyFont="1" applyFill="1" applyBorder="1" applyAlignment="1">
      <alignment vertical="top"/>
    </xf>
    <xf numFmtId="3" fontId="7" fillId="8" borderId="8" xfId="0" applyNumberFormat="1" applyFont="1" applyFill="1" applyBorder="1" applyAlignment="1">
      <alignment vertical="top"/>
    </xf>
    <xf numFmtId="0" fontId="7" fillId="8" borderId="8" xfId="0" applyFont="1" applyFill="1" applyBorder="1" applyAlignment="1">
      <alignment vertical="top"/>
    </xf>
    <xf numFmtId="0" fontId="7" fillId="8" borderId="9" xfId="0" applyFont="1" applyFill="1" applyBorder="1" applyAlignment="1">
      <alignment vertical="top"/>
    </xf>
    <xf numFmtId="0" fontId="66" fillId="6" borderId="20" xfId="4" applyFont="1" applyFill="1" applyBorder="1" applyAlignment="1">
      <alignment horizontal="left" vertical="center"/>
    </xf>
    <xf numFmtId="3" fontId="29" fillId="0" borderId="87" xfId="0" applyNumberFormat="1" applyFont="1" applyFill="1" applyBorder="1" applyAlignment="1">
      <alignment vertical="center"/>
    </xf>
    <xf numFmtId="3" fontId="29" fillId="0" borderId="89" xfId="0" applyNumberFormat="1" applyFont="1" applyFill="1" applyBorder="1" applyAlignment="1">
      <alignment vertical="top"/>
    </xf>
    <xf numFmtId="0" fontId="8" fillId="0" borderId="21" xfId="4" applyFont="1" applyFill="1" applyBorder="1" applyAlignment="1">
      <alignment vertical="center" wrapText="1"/>
    </xf>
    <xf numFmtId="3" fontId="7" fillId="0" borderId="87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top"/>
    </xf>
    <xf numFmtId="3" fontId="7" fillId="0" borderId="96" xfId="0" applyNumberFormat="1" applyFont="1" applyFill="1" applyBorder="1" applyAlignment="1">
      <alignment vertical="center"/>
    </xf>
    <xf numFmtId="3" fontId="38" fillId="0" borderId="87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top"/>
    </xf>
    <xf numFmtId="3" fontId="38" fillId="0" borderId="96" xfId="0" applyNumberFormat="1" applyFont="1" applyFill="1" applyBorder="1" applyAlignment="1">
      <alignment vertical="center"/>
    </xf>
    <xf numFmtId="0" fontId="29" fillId="2" borderId="32" xfId="4" applyFont="1" applyFill="1" applyBorder="1" applyAlignment="1">
      <alignment vertical="top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4" fillId="6" borderId="99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38" fillId="0" borderId="97" xfId="0" applyNumberFormat="1" applyFont="1" applyFill="1" applyBorder="1" applyAlignment="1">
      <alignment vertical="center"/>
    </xf>
    <xf numFmtId="3" fontId="3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0" fontId="66" fillId="6" borderId="100" xfId="4" applyFont="1" applyFill="1" applyBorder="1" applyAlignment="1">
      <alignment horizontal="left" vertical="center"/>
    </xf>
    <xf numFmtId="3" fontId="38" fillId="0" borderId="98" xfId="0" applyNumberFormat="1" applyFont="1" applyFill="1" applyBorder="1" applyAlignment="1">
      <alignment vertical="top"/>
    </xf>
    <xf numFmtId="0" fontId="29" fillId="2" borderId="32" xfId="4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24" fillId="6" borderId="25" xfId="4" applyFont="1" applyFill="1" applyBorder="1" applyAlignment="1">
      <alignment horizontal="left" vertical="center"/>
    </xf>
    <xf numFmtId="3" fontId="29" fillId="2" borderId="19" xfId="4" applyNumberFormat="1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3" fontId="29" fillId="0" borderId="99" xfId="0" applyNumberFormat="1" applyFont="1" applyFill="1" applyBorder="1" applyAlignment="1">
      <alignment vertical="top"/>
    </xf>
    <xf numFmtId="3" fontId="7" fillId="0" borderId="47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top"/>
    </xf>
    <xf numFmtId="0" fontId="25" fillId="8" borderId="21" xfId="0" applyFont="1" applyFill="1" applyBorder="1" applyAlignment="1">
      <alignment vertical="center" wrapText="1"/>
    </xf>
    <xf numFmtId="0" fontId="25" fillId="8" borderId="20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62" fillId="6" borderId="28" xfId="4" applyFont="1" applyFill="1" applyBorder="1" applyAlignment="1">
      <alignment horizontal="left" vertical="center"/>
    </xf>
    <xf numFmtId="3" fontId="27" fillId="0" borderId="87" xfId="0" applyNumberFormat="1" applyFont="1" applyFill="1" applyBorder="1" applyAlignment="1">
      <alignment vertical="center"/>
    </xf>
    <xf numFmtId="3" fontId="60" fillId="22" borderId="199" xfId="0" applyNumberFormat="1" applyFont="1" applyFill="1" applyBorder="1" applyAlignment="1">
      <alignment horizontal="right" vertical="center"/>
    </xf>
    <xf numFmtId="3" fontId="7" fillId="22" borderId="200" xfId="0" applyNumberFormat="1" applyFont="1" applyFill="1" applyBorder="1" applyAlignment="1">
      <alignment horizontal="right" vertical="center"/>
    </xf>
    <xf numFmtId="3" fontId="27" fillId="22" borderId="200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87" xfId="0" applyNumberFormat="1" applyFont="1" applyFill="1" applyBorder="1" applyAlignment="1">
      <alignment vertical="center"/>
    </xf>
    <xf numFmtId="3" fontId="28" fillId="0" borderId="187" xfId="0" applyNumberFormat="1" applyFont="1" applyFill="1" applyBorder="1" applyAlignment="1">
      <alignment vertical="top"/>
    </xf>
    <xf numFmtId="3" fontId="7" fillId="22" borderId="201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17" fillId="2" borderId="4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top"/>
    </xf>
    <xf numFmtId="3" fontId="24" fillId="22" borderId="176" xfId="0" applyNumberFormat="1" applyFont="1" applyFill="1" applyBorder="1" applyAlignment="1">
      <alignment vertical="top"/>
    </xf>
    <xf numFmtId="3" fontId="24" fillId="2" borderId="176" xfId="0" applyNumberFormat="1" applyFont="1" applyFill="1" applyBorder="1" applyAlignment="1">
      <alignment vertical="center"/>
    </xf>
    <xf numFmtId="3" fontId="29" fillId="26" borderId="176" xfId="0" applyNumberFormat="1" applyFont="1" applyFill="1" applyBorder="1" applyAlignment="1">
      <alignment vertical="center"/>
    </xf>
    <xf numFmtId="0" fontId="7" fillId="2" borderId="195" xfId="0" applyFont="1" applyFill="1" applyBorder="1" applyAlignment="1">
      <alignment vertical="center"/>
    </xf>
    <xf numFmtId="3" fontId="7" fillId="2" borderId="176" xfId="0" applyNumberFormat="1" applyFont="1" applyFill="1" applyBorder="1" applyAlignment="1">
      <alignment vertical="top"/>
    </xf>
    <xf numFmtId="3" fontId="7" fillId="2" borderId="177" xfId="0" applyNumberFormat="1" applyFont="1" applyFill="1" applyBorder="1" applyAlignment="1">
      <alignment vertical="top"/>
    </xf>
    <xf numFmtId="3" fontId="7" fillId="25" borderId="177" xfId="0" applyNumberFormat="1" applyFont="1" applyFill="1" applyBorder="1" applyAlignment="1">
      <alignment vertical="top"/>
    </xf>
    <xf numFmtId="0" fontId="38" fillId="61" borderId="21" xfId="0" applyFont="1" applyFill="1" applyBorder="1" applyAlignment="1">
      <alignment horizontal="right" vertical="top"/>
    </xf>
    <xf numFmtId="3" fontId="7" fillId="61" borderId="168" xfId="4" applyNumberFormat="1" applyFont="1" applyFill="1" applyBorder="1" applyAlignment="1">
      <alignment vertical="center"/>
    </xf>
    <xf numFmtId="3" fontId="38" fillId="61" borderId="176" xfId="0" applyNumberFormat="1" applyFont="1" applyFill="1" applyBorder="1" applyAlignment="1">
      <alignment vertical="top"/>
    </xf>
    <xf numFmtId="3" fontId="7" fillId="61" borderId="9" xfId="0" applyNumberFormat="1" applyFont="1" applyFill="1" applyBorder="1" applyAlignment="1">
      <alignment vertical="top"/>
    </xf>
    <xf numFmtId="3" fontId="38" fillId="61" borderId="9" xfId="0" applyNumberFormat="1" applyFont="1" applyFill="1" applyBorder="1" applyAlignment="1">
      <alignment vertical="top"/>
    </xf>
    <xf numFmtId="0" fontId="38" fillId="64" borderId="25" xfId="0" applyFont="1" applyFill="1" applyBorder="1" applyAlignment="1">
      <alignment horizontal="right" vertical="top"/>
    </xf>
    <xf numFmtId="3" fontId="7" fillId="64" borderId="187" xfId="4" applyNumberFormat="1" applyFont="1" applyFill="1" applyBorder="1" applyAlignment="1">
      <alignment vertical="center"/>
    </xf>
    <xf numFmtId="3" fontId="38" fillId="64" borderId="193" xfId="0" applyNumberFormat="1" applyFont="1" applyFill="1" applyBorder="1" applyAlignment="1">
      <alignment vertical="top"/>
    </xf>
    <xf numFmtId="3" fontId="7" fillId="64" borderId="23" xfId="0" applyNumberFormat="1" applyFont="1" applyFill="1" applyBorder="1" applyAlignment="1">
      <alignment vertical="top"/>
    </xf>
    <xf numFmtId="3" fontId="38" fillId="64" borderId="23" xfId="0" applyNumberFormat="1" applyFont="1" applyFill="1" applyBorder="1" applyAlignment="1">
      <alignment vertical="top"/>
    </xf>
    <xf numFmtId="3" fontId="7" fillId="25" borderId="187" xfId="0" applyNumberFormat="1" applyFont="1" applyFill="1" applyBorder="1" applyAlignment="1">
      <alignment vertical="top"/>
    </xf>
    <xf numFmtId="0" fontId="31" fillId="6" borderId="176" xfId="0" applyFont="1" applyFill="1" applyBorder="1" applyAlignment="1">
      <alignment vertical="top"/>
    </xf>
    <xf numFmtId="3" fontId="27" fillId="2" borderId="176" xfId="0" applyNumberFormat="1" applyFont="1" applyFill="1" applyBorder="1" applyAlignment="1">
      <alignment vertical="center"/>
    </xf>
    <xf numFmtId="3" fontId="27" fillId="26" borderId="176" xfId="0" applyNumberFormat="1" applyFont="1" applyFill="1" applyBorder="1" applyAlignment="1">
      <alignment vertical="center"/>
    </xf>
    <xf numFmtId="0" fontId="0" fillId="0" borderId="74" xfId="0" applyFont="1" applyBorder="1"/>
    <xf numFmtId="43" fontId="28" fillId="2" borderId="187" xfId="1" applyFont="1" applyFill="1" applyBorder="1" applyAlignment="1">
      <alignment vertical="top"/>
    </xf>
    <xf numFmtId="43" fontId="0" fillId="0" borderId="187" xfId="1" applyFont="1" applyBorder="1"/>
    <xf numFmtId="3" fontId="31" fillId="0" borderId="193" xfId="0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top" wrapText="1"/>
    </xf>
    <xf numFmtId="0" fontId="31" fillId="0" borderId="117" xfId="0" applyFont="1" applyFill="1" applyBorder="1" applyAlignment="1">
      <alignment horizontal="left" vertical="center" wrapText="1"/>
    </xf>
    <xf numFmtId="0" fontId="31" fillId="0" borderId="35" xfId="0" applyFont="1" applyFill="1" applyBorder="1" applyAlignment="1">
      <alignment horizontal="left" vertical="center" wrapText="1"/>
    </xf>
    <xf numFmtId="3" fontId="27" fillId="0" borderId="117" xfId="4" applyNumberFormat="1" applyFont="1" applyFill="1" applyBorder="1" applyAlignment="1">
      <alignment vertical="center" wrapText="1"/>
    </xf>
    <xf numFmtId="0" fontId="32" fillId="0" borderId="117" xfId="0" applyFont="1" applyBorder="1" applyAlignment="1">
      <alignment vertical="center"/>
    </xf>
    <xf numFmtId="0" fontId="63" fillId="0" borderId="35" xfId="0" quotePrefix="1" applyFont="1" applyBorder="1" applyAlignment="1">
      <alignment vertical="center"/>
    </xf>
    <xf numFmtId="3" fontId="28" fillId="0" borderId="177" xfId="0" applyNumberFormat="1" applyFont="1" applyFill="1" applyBorder="1" applyAlignment="1">
      <alignment vertical="top"/>
    </xf>
    <xf numFmtId="0" fontId="25" fillId="6" borderId="162" xfId="4" applyFont="1" applyFill="1" applyBorder="1" applyAlignment="1">
      <alignment horizontal="left" vertical="center"/>
    </xf>
    <xf numFmtId="0" fontId="31" fillId="6" borderId="162" xfId="0" applyFont="1" applyFill="1" applyBorder="1" applyAlignment="1">
      <alignment vertical="top"/>
    </xf>
    <xf numFmtId="3" fontId="25" fillId="6" borderId="162" xfId="0" applyNumberFormat="1" applyFont="1" applyFill="1" applyBorder="1" applyAlignment="1">
      <alignment vertical="top"/>
    </xf>
    <xf numFmtId="3" fontId="25" fillId="22" borderId="162" xfId="0" applyNumberFormat="1" applyFont="1" applyFill="1" applyBorder="1" applyAlignment="1">
      <alignment vertical="top"/>
    </xf>
    <xf numFmtId="3" fontId="27" fillId="0" borderId="162" xfId="4" applyNumberFormat="1" applyFont="1" applyFill="1" applyBorder="1" applyAlignment="1">
      <alignment vertical="top" wrapText="1"/>
    </xf>
    <xf numFmtId="3" fontId="25" fillId="25" borderId="162" xfId="0" applyNumberFormat="1" applyFont="1" applyFill="1" applyBorder="1" applyAlignment="1">
      <alignment vertical="top"/>
    </xf>
    <xf numFmtId="0" fontId="32" fillId="0" borderId="162" xfId="0" applyFont="1" applyBorder="1"/>
    <xf numFmtId="3" fontId="31" fillId="0" borderId="162" xfId="0" applyNumberFormat="1" applyFont="1" applyFill="1" applyBorder="1" applyAlignment="1">
      <alignment vertical="top"/>
    </xf>
    <xf numFmtId="3" fontId="31" fillId="2" borderId="162" xfId="0" applyNumberFormat="1" applyFont="1" applyFill="1" applyBorder="1" applyAlignment="1">
      <alignment vertical="top"/>
    </xf>
    <xf numFmtId="0" fontId="32" fillId="0" borderId="162" xfId="0" applyFont="1" applyBorder="1" applyAlignment="1">
      <alignment vertical="center"/>
    </xf>
    <xf numFmtId="3" fontId="31" fillId="2" borderId="162" xfId="0" applyNumberFormat="1" applyFont="1" applyFill="1" applyBorder="1" applyAlignment="1">
      <alignment vertical="center"/>
    </xf>
    <xf numFmtId="0" fontId="33" fillId="0" borderId="162" xfId="0" applyFont="1" applyBorder="1" applyAlignment="1">
      <alignment vertical="center"/>
    </xf>
    <xf numFmtId="3" fontId="27" fillId="0" borderId="162" xfId="0" applyNumberFormat="1" applyFont="1" applyFill="1" applyBorder="1" applyAlignment="1">
      <alignment vertical="center"/>
    </xf>
    <xf numFmtId="0" fontId="31" fillId="6" borderId="162" xfId="0" applyFont="1" applyFill="1" applyBorder="1" applyAlignment="1">
      <alignment vertical="center"/>
    </xf>
    <xf numFmtId="3" fontId="25" fillId="6" borderId="162" xfId="0" applyNumberFormat="1" applyFont="1" applyFill="1" applyBorder="1" applyAlignment="1">
      <alignment vertical="center"/>
    </xf>
    <xf numFmtId="3" fontId="27" fillId="0" borderId="162" xfId="4" applyNumberFormat="1" applyFont="1" applyFill="1" applyBorder="1" applyAlignment="1">
      <alignment vertical="center" wrapText="1"/>
    </xf>
    <xf numFmtId="0" fontId="32" fillId="0" borderId="112" xfId="0" applyFont="1" applyBorder="1" applyAlignment="1">
      <alignment vertical="center"/>
    </xf>
    <xf numFmtId="3" fontId="25" fillId="22" borderId="2" xfId="0" applyNumberFormat="1" applyFont="1" applyFill="1" applyBorder="1" applyAlignment="1">
      <alignment vertical="top"/>
    </xf>
    <xf numFmtId="0" fontId="31" fillId="6" borderId="117" xfId="0" applyFont="1" applyFill="1" applyBorder="1" applyAlignment="1">
      <alignment vertical="top"/>
    </xf>
    <xf numFmtId="43" fontId="25" fillId="6" borderId="117" xfId="1" applyFont="1" applyFill="1" applyBorder="1" applyAlignment="1">
      <alignment vertical="top"/>
    </xf>
    <xf numFmtId="43" fontId="27" fillId="0" borderId="117" xfId="1" applyFont="1" applyFill="1" applyBorder="1" applyAlignment="1">
      <alignment vertical="top"/>
    </xf>
    <xf numFmtId="43" fontId="31" fillId="0" borderId="117" xfId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17" xfId="4" applyNumberFormat="1" applyFont="1" applyFill="1" applyBorder="1" applyAlignment="1">
      <alignment vertical="center" wrapText="1"/>
    </xf>
    <xf numFmtId="43" fontId="27" fillId="0" borderId="35" xfId="1" applyFont="1" applyFill="1" applyBorder="1" applyAlignment="1">
      <alignment vertical="top"/>
    </xf>
    <xf numFmtId="43" fontId="25" fillId="0" borderId="117" xfId="1" applyFont="1" applyFill="1" applyBorder="1" applyAlignment="1">
      <alignment vertical="top"/>
    </xf>
    <xf numFmtId="0" fontId="31" fillId="0" borderId="117" xfId="0" applyFont="1" applyFill="1" applyBorder="1" applyAlignment="1">
      <alignment vertical="top" wrapText="1"/>
    </xf>
    <xf numFmtId="0" fontId="32" fillId="0" borderId="117" xfId="0" applyFont="1" applyBorder="1"/>
    <xf numFmtId="0" fontId="31" fillId="2" borderId="117" xfId="4" applyFont="1" applyFill="1" applyBorder="1" applyAlignment="1">
      <alignment vertical="center"/>
    </xf>
    <xf numFmtId="0" fontId="23" fillId="6" borderId="117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2" xfId="4" applyFont="1" applyFill="1" applyBorder="1" applyAlignment="1">
      <alignment vertical="center"/>
    </xf>
    <xf numFmtId="43" fontId="31" fillId="0" borderId="117" xfId="1" applyFont="1" applyFill="1" applyBorder="1" applyAlignment="1">
      <alignment vertical="center"/>
    </xf>
    <xf numFmtId="0" fontId="27" fillId="0" borderId="117" xfId="0" applyFont="1" applyFill="1" applyBorder="1" applyAlignment="1">
      <alignment vertical="center" wrapText="1"/>
    </xf>
    <xf numFmtId="43" fontId="27" fillId="0" borderId="117" xfId="1" applyFont="1" applyFill="1" applyBorder="1" applyAlignment="1">
      <alignment vertical="center"/>
    </xf>
    <xf numFmtId="0" fontId="31" fillId="0" borderId="117" xfId="0" applyFont="1" applyFill="1" applyBorder="1" applyAlignment="1">
      <alignment vertical="center" wrapText="1"/>
    </xf>
    <xf numFmtId="3" fontId="25" fillId="2" borderId="117" xfId="0" applyNumberFormat="1" applyFont="1" applyFill="1" applyBorder="1" applyAlignment="1">
      <alignment vertical="top"/>
    </xf>
    <xf numFmtId="43" fontId="25" fillId="2" borderId="117" xfId="1" applyFont="1" applyFill="1" applyBorder="1" applyAlignment="1">
      <alignment vertical="top"/>
    </xf>
    <xf numFmtId="0" fontId="27" fillId="0" borderId="117" xfId="0" applyFont="1" applyFill="1" applyBorder="1" applyAlignment="1">
      <alignment vertical="top" wrapText="1"/>
    </xf>
    <xf numFmtId="0" fontId="31" fillId="0" borderId="112" xfId="4" applyFont="1" applyFill="1" applyBorder="1" applyAlignment="1">
      <alignment vertical="center"/>
    </xf>
    <xf numFmtId="43" fontId="31" fillId="0" borderId="187" xfId="1" applyFont="1" applyFill="1" applyBorder="1" applyAlignment="1">
      <alignment vertical="top"/>
    </xf>
    <xf numFmtId="43" fontId="25" fillId="6" borderId="177" xfId="1" applyFont="1" applyFill="1" applyBorder="1" applyAlignment="1">
      <alignment vertical="top"/>
    </xf>
    <xf numFmtId="0" fontId="32" fillId="0" borderId="173" xfId="0" applyFont="1" applyBorder="1" applyAlignment="1">
      <alignment vertical="center"/>
    </xf>
    <xf numFmtId="43" fontId="31" fillId="0" borderId="173" xfId="1" applyFont="1" applyFill="1" applyBorder="1" applyAlignment="1">
      <alignment vertical="top"/>
    </xf>
    <xf numFmtId="0" fontId="33" fillId="0" borderId="68" xfId="0" applyFont="1" applyBorder="1" applyAlignment="1">
      <alignment vertical="center"/>
    </xf>
    <xf numFmtId="43" fontId="27" fillId="0" borderId="68" xfId="1" applyFont="1" applyFill="1" applyBorder="1" applyAlignment="1">
      <alignment vertical="center"/>
    </xf>
    <xf numFmtId="0" fontId="25" fillId="6" borderId="173" xfId="4" applyFont="1" applyFill="1" applyBorder="1" applyAlignment="1">
      <alignment horizontal="left" vertical="center"/>
    </xf>
    <xf numFmtId="0" fontId="31" fillId="6" borderId="173" xfId="0" applyFont="1" applyFill="1" applyBorder="1" applyAlignment="1">
      <alignment vertical="center"/>
    </xf>
    <xf numFmtId="43" fontId="25" fillId="6" borderId="173" xfId="1" applyFont="1" applyFill="1" applyBorder="1" applyAlignment="1">
      <alignment vertical="center"/>
    </xf>
    <xf numFmtId="0" fontId="32" fillId="0" borderId="176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31" fillId="2" borderId="35" xfId="0" applyNumberFormat="1" applyFont="1" applyFill="1" applyBorder="1" applyAlignment="1">
      <alignment vertical="center"/>
    </xf>
    <xf numFmtId="3" fontId="20" fillId="2" borderId="35" xfId="4" applyNumberFormat="1" applyFont="1" applyFill="1" applyBorder="1" applyAlignment="1">
      <alignment vertical="center" wrapText="1"/>
    </xf>
    <xf numFmtId="3" fontId="27" fillId="0" borderId="117" xfId="4" applyNumberFormat="1" applyFont="1" applyFill="1" applyBorder="1" applyAlignment="1">
      <alignment vertical="top" wrapText="1"/>
    </xf>
    <xf numFmtId="0" fontId="33" fillId="0" borderId="117" xfId="0" applyFont="1" applyBorder="1" applyAlignment="1">
      <alignment vertical="center"/>
    </xf>
    <xf numFmtId="0" fontId="31" fillId="6" borderId="117" xfId="0" applyFont="1" applyFill="1" applyBorder="1" applyAlignment="1">
      <alignment vertical="center"/>
    </xf>
    <xf numFmtId="43" fontId="25" fillId="6" borderId="117" xfId="1" applyFont="1" applyFill="1" applyBorder="1" applyAlignment="1">
      <alignment vertical="center"/>
    </xf>
    <xf numFmtId="43" fontId="27" fillId="2" borderId="117" xfId="1" applyFont="1" applyFill="1" applyBorder="1" applyAlignment="1">
      <alignment vertical="center"/>
    </xf>
    <xf numFmtId="0" fontId="25" fillId="8" borderId="68" xfId="0" applyFont="1" applyFill="1" applyBorder="1" applyAlignment="1">
      <alignment horizontal="left" vertical="center" wrapText="1"/>
    </xf>
    <xf numFmtId="3" fontId="25" fillId="22" borderId="7" xfId="0" applyNumberFormat="1" applyFont="1" applyFill="1" applyBorder="1" applyAlignment="1">
      <alignment horizontal="center" vertical="top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7" xfId="4" applyNumberFormat="1" applyFont="1" applyFill="1" applyBorder="1" applyAlignment="1">
      <alignment vertical="top"/>
    </xf>
    <xf numFmtId="0" fontId="24" fillId="8" borderId="195" xfId="4" applyFont="1" applyFill="1" applyBorder="1" applyAlignment="1">
      <alignment horizontal="left" vertical="center" wrapText="1"/>
    </xf>
    <xf numFmtId="3" fontId="27" fillId="2" borderId="160" xfId="4" applyNumberFormat="1" applyFont="1" applyFill="1" applyBorder="1" applyAlignment="1">
      <alignment vertical="center" wrapText="1"/>
    </xf>
    <xf numFmtId="3" fontId="27" fillId="0" borderId="153" xfId="4" applyNumberFormat="1" applyFont="1" applyFill="1" applyBorder="1" applyAlignment="1">
      <alignment horizontal="right" vertical="center"/>
    </xf>
    <xf numFmtId="3" fontId="7" fillId="0" borderId="162" xfId="4" applyNumberFormat="1" applyFont="1" applyFill="1" applyBorder="1" applyAlignment="1">
      <alignment horizontal="right" vertical="center"/>
    </xf>
    <xf numFmtId="43" fontId="27" fillId="0" borderId="153" xfId="1" applyFont="1" applyFill="1" applyBorder="1" applyAlignment="1">
      <alignment horizontal="right" vertical="center"/>
    </xf>
    <xf numFmtId="0" fontId="28" fillId="57" borderId="180" xfId="4" applyFont="1" applyFill="1" applyBorder="1" applyAlignment="1">
      <alignment horizontal="right" vertical="center"/>
    </xf>
    <xf numFmtId="3" fontId="31" fillId="57" borderId="168" xfId="4" applyNumberFormat="1" applyFont="1" applyFill="1" applyBorder="1" applyAlignment="1">
      <alignment vertical="center"/>
    </xf>
    <xf numFmtId="3" fontId="28" fillId="57" borderId="168" xfId="4" applyNumberFormat="1" applyFont="1" applyFill="1" applyBorder="1" applyAlignment="1">
      <alignment horizontal="right" vertical="center"/>
    </xf>
    <xf numFmtId="0" fontId="24" fillId="8" borderId="2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vertical="center"/>
    </xf>
    <xf numFmtId="43" fontId="18" fillId="8" borderId="8" xfId="1" applyFont="1" applyFill="1" applyBorder="1" applyAlignment="1">
      <alignment vertical="center"/>
    </xf>
    <xf numFmtId="3" fontId="18" fillId="8" borderId="8" xfId="0" applyNumberFormat="1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8" fillId="8" borderId="9" xfId="0" applyFont="1" applyFill="1" applyBorder="1" applyAlignment="1">
      <alignment vertical="center"/>
    </xf>
    <xf numFmtId="3" fontId="18" fillId="23" borderId="35" xfId="0" applyNumberFormat="1" applyFont="1" applyFill="1" applyBorder="1" applyAlignment="1">
      <alignment vertical="center"/>
    </xf>
    <xf numFmtId="0" fontId="28" fillId="57" borderId="180" xfId="4" quotePrefix="1" applyFont="1" applyFill="1" applyBorder="1" applyAlignment="1">
      <alignment horizontal="right" vertical="center"/>
    </xf>
    <xf numFmtId="3" fontId="31" fillId="57" borderId="168" xfId="4" applyNumberFormat="1" applyFont="1" applyFill="1" applyBorder="1" applyAlignment="1">
      <alignment horizontal="right" vertical="center"/>
    </xf>
    <xf numFmtId="0" fontId="28" fillId="62" borderId="180" xfId="4" quotePrefix="1" applyFont="1" applyFill="1" applyBorder="1" applyAlignment="1">
      <alignment horizontal="right" vertical="center"/>
    </xf>
    <xf numFmtId="3" fontId="31" fillId="62" borderId="168" xfId="4" applyNumberFormat="1" applyFont="1" applyFill="1" applyBorder="1" applyAlignment="1">
      <alignment vertical="center"/>
    </xf>
    <xf numFmtId="3" fontId="28" fillId="62" borderId="168" xfId="4" applyNumberFormat="1" applyFont="1" applyFill="1" applyBorder="1" applyAlignment="1">
      <alignment horizontal="right" vertical="center"/>
    </xf>
    <xf numFmtId="3" fontId="7" fillId="62" borderId="168" xfId="4" applyNumberFormat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176" xfId="4" applyNumberFormat="1" applyFont="1" applyFill="1" applyBorder="1" applyAlignment="1">
      <alignment vertical="center"/>
    </xf>
    <xf numFmtId="0" fontId="28" fillId="57" borderId="195" xfId="4" quotePrefix="1" applyFont="1" applyFill="1" applyBorder="1" applyAlignment="1">
      <alignment horizontal="right" vertical="center"/>
    </xf>
    <xf numFmtId="43" fontId="28" fillId="57" borderId="168" xfId="1" applyFont="1" applyFill="1" applyBorder="1" applyAlignment="1">
      <alignment horizontal="right" vertical="center"/>
    </xf>
    <xf numFmtId="0" fontId="28" fillId="62" borderId="195" xfId="4" quotePrefix="1" applyFont="1" applyFill="1" applyBorder="1" applyAlignment="1">
      <alignment horizontal="right" vertical="center"/>
    </xf>
    <xf numFmtId="43" fontId="28" fillId="62" borderId="168" xfId="1" applyFont="1" applyFill="1" applyBorder="1" applyAlignment="1">
      <alignment horizontal="right" vertical="center"/>
    </xf>
    <xf numFmtId="0" fontId="24" fillId="8" borderId="4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3" fontId="31" fillId="23" borderId="173" xfId="4" applyNumberFormat="1" applyFont="1" applyFill="1" applyBorder="1" applyAlignment="1">
      <alignment vertical="center"/>
    </xf>
    <xf numFmtId="3" fontId="31" fillId="57" borderId="177" xfId="4" applyNumberFormat="1" applyFont="1" applyFill="1" applyBorder="1" applyAlignment="1">
      <alignment horizontal="right" vertical="center"/>
    </xf>
    <xf numFmtId="43" fontId="31" fillId="0" borderId="168" xfId="4" applyNumberFormat="1" applyFont="1" applyFill="1" applyBorder="1" applyAlignment="1">
      <alignment vertical="center"/>
    </xf>
    <xf numFmtId="3" fontId="7" fillId="57" borderId="168" xfId="4" applyNumberFormat="1" applyFont="1" applyFill="1" applyBorder="1" applyAlignment="1">
      <alignment horizontal="right" vertical="center"/>
    </xf>
    <xf numFmtId="43" fontId="33" fillId="57" borderId="177" xfId="6" applyNumberFormat="1" applyFont="1" applyFill="1" applyBorder="1" applyAlignment="1">
      <alignment vertical="center"/>
    </xf>
    <xf numFmtId="0" fontId="28" fillId="62" borderId="180" xfId="4" applyFont="1" applyFill="1" applyBorder="1" applyAlignment="1">
      <alignment horizontal="right" vertical="center"/>
    </xf>
    <xf numFmtId="43" fontId="7" fillId="62" borderId="168" xfId="4" applyNumberFormat="1" applyFont="1" applyFill="1" applyBorder="1" applyAlignment="1">
      <alignment horizontal="right" vertical="center"/>
    </xf>
    <xf numFmtId="43" fontId="33" fillId="62" borderId="177" xfId="6" applyNumberFormat="1" applyFont="1" applyFill="1" applyBorder="1" applyAlignment="1">
      <alignment vertical="center"/>
    </xf>
    <xf numFmtId="0" fontId="0" fillId="0" borderId="195" xfId="0" applyFont="1" applyBorder="1" applyAlignment="1">
      <alignment vertical="center"/>
    </xf>
    <xf numFmtId="3" fontId="32" fillId="0" borderId="168" xfId="6" applyNumberFormat="1" applyFont="1" applyFill="1" applyBorder="1" applyAlignment="1">
      <alignment vertical="center"/>
    </xf>
    <xf numFmtId="43" fontId="32" fillId="0" borderId="168" xfId="6" applyNumberFormat="1" applyFont="1" applyFill="1" applyBorder="1" applyAlignment="1">
      <alignment vertical="center"/>
    </xf>
    <xf numFmtId="3" fontId="28" fillId="57" borderId="195" xfId="4" applyNumberFormat="1" applyFont="1" applyFill="1" applyBorder="1" applyAlignment="1">
      <alignment horizontal="right" vertical="center" wrapText="1"/>
    </xf>
    <xf numFmtId="43" fontId="32" fillId="57" borderId="177" xfId="6" applyNumberFormat="1" applyFont="1" applyFill="1" applyBorder="1" applyAlignment="1">
      <alignment vertical="center"/>
    </xf>
    <xf numFmtId="0" fontId="39" fillId="62" borderId="195" xfId="0" applyFont="1" applyFill="1" applyBorder="1" applyAlignment="1">
      <alignment horizontal="right" vertical="center"/>
    </xf>
    <xf numFmtId="41" fontId="31" fillId="62" borderId="176" xfId="1" applyNumberFormat="1" applyFont="1" applyFill="1" applyBorder="1" applyAlignment="1"/>
    <xf numFmtId="43" fontId="32" fillId="62" borderId="177" xfId="6" applyNumberFormat="1" applyFont="1" applyFill="1" applyBorder="1" applyAlignment="1">
      <alignment vertical="center"/>
    </xf>
    <xf numFmtId="43" fontId="7" fillId="62" borderId="177" xfId="4" applyNumberFormat="1" applyFont="1" applyFill="1" applyBorder="1" applyAlignment="1">
      <alignment horizontal="right" vertical="center"/>
    </xf>
    <xf numFmtId="43" fontId="33" fillId="0" borderId="168" xfId="6" applyNumberFormat="1" applyFont="1" applyFill="1" applyBorder="1" applyAlignment="1">
      <alignment vertical="center"/>
    </xf>
    <xf numFmtId="3" fontId="28" fillId="0" borderId="168" xfId="4" applyNumberFormat="1" applyFont="1" applyFill="1" applyBorder="1" applyAlignment="1">
      <alignment horizontal="right" vertical="center"/>
    </xf>
    <xf numFmtId="3" fontId="31" fillId="23" borderId="39" xfId="4" applyNumberFormat="1" applyFont="1" applyFill="1" applyBorder="1" applyAlignment="1">
      <alignment vertical="center"/>
    </xf>
    <xf numFmtId="43" fontId="33" fillId="0" borderId="177" xfId="6" applyNumberFormat="1" applyFont="1" applyFill="1" applyBorder="1" applyAlignment="1">
      <alignment vertical="center"/>
    </xf>
    <xf numFmtId="166" fontId="24" fillId="6" borderId="176" xfId="1" applyNumberFormat="1" applyFont="1" applyFill="1" applyBorder="1" applyAlignment="1">
      <alignment vertical="center"/>
    </xf>
    <xf numFmtId="3" fontId="7" fillId="0" borderId="168" xfId="1" applyNumberFormat="1" applyFont="1" applyFill="1" applyBorder="1" applyAlignment="1">
      <alignment horizontal="right" vertical="center"/>
    </xf>
    <xf numFmtId="0" fontId="40" fillId="8" borderId="76" xfId="0" applyFont="1" applyFill="1" applyBorder="1" applyAlignment="1">
      <alignment horizontal="center" vertical="center"/>
    </xf>
    <xf numFmtId="43" fontId="40" fillId="8" borderId="18" xfId="1" applyFont="1" applyFill="1" applyBorder="1" applyAlignment="1">
      <alignment horizontal="center" vertical="center"/>
    </xf>
    <xf numFmtId="3" fontId="40" fillId="8" borderId="18" xfId="0" applyNumberFormat="1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/>
    </xf>
    <xf numFmtId="43" fontId="7" fillId="8" borderId="8" xfId="1" applyFont="1" applyFill="1" applyBorder="1" applyAlignment="1">
      <alignment vertical="center"/>
    </xf>
    <xf numFmtId="3" fontId="27" fillId="2" borderId="177" xfId="4" applyNumberFormat="1" applyFont="1" applyFill="1" applyBorder="1" applyAlignment="1">
      <alignment horizontal="right" vertical="center"/>
    </xf>
    <xf numFmtId="3" fontId="29" fillId="2" borderId="177" xfId="4" applyNumberFormat="1" applyFont="1" applyFill="1" applyBorder="1" applyAlignment="1">
      <alignment horizontal="right" vertical="center"/>
    </xf>
    <xf numFmtId="3" fontId="29" fillId="0" borderId="173" xfId="4" applyNumberFormat="1" applyFont="1" applyFill="1" applyBorder="1" applyAlignment="1">
      <alignment horizontal="right" vertical="center"/>
    </xf>
    <xf numFmtId="0" fontId="24" fillId="8" borderId="21" xfId="112" applyFont="1" applyFill="1" applyBorder="1" applyAlignment="1">
      <alignment vertical="center" wrapText="1"/>
    </xf>
    <xf numFmtId="0" fontId="24" fillId="8" borderId="6" xfId="112" applyFont="1" applyFill="1" applyBorder="1" applyAlignment="1">
      <alignment horizontal="center" vertical="center" wrapText="1"/>
    </xf>
    <xf numFmtId="0" fontId="7" fillId="8" borderId="0" xfId="112" applyFont="1" applyFill="1" applyBorder="1" applyAlignment="1">
      <alignment vertical="center"/>
    </xf>
    <xf numFmtId="0" fontId="7" fillId="8" borderId="7" xfId="112" applyFont="1" applyFill="1" applyBorder="1" applyAlignment="1">
      <alignment vertical="center"/>
    </xf>
    <xf numFmtId="3" fontId="7" fillId="8" borderId="7" xfId="112" applyNumberFormat="1" applyFont="1" applyFill="1" applyBorder="1" applyAlignment="1">
      <alignment vertical="center"/>
    </xf>
    <xf numFmtId="3" fontId="7" fillId="23" borderId="35" xfId="112" applyNumberFormat="1" applyFont="1" applyFill="1" applyBorder="1" applyAlignment="1">
      <alignment vertical="center"/>
    </xf>
    <xf numFmtId="43" fontId="29" fillId="0" borderId="176" xfId="1" applyFont="1" applyFill="1" applyBorder="1" applyAlignment="1">
      <alignment vertical="center"/>
    </xf>
    <xf numFmtId="43" fontId="31" fillId="32" borderId="176" xfId="1" applyFont="1" applyFill="1" applyBorder="1" applyAlignment="1">
      <alignment vertical="center"/>
    </xf>
    <xf numFmtId="3" fontId="7" fillId="0" borderId="187" xfId="0" applyNumberFormat="1" applyFont="1" applyFill="1" applyBorder="1" applyAlignment="1">
      <alignment horizontal="right" vertical="center"/>
    </xf>
    <xf numFmtId="0" fontId="7" fillId="0" borderId="12" xfId="4" applyFont="1" applyFill="1" applyBorder="1" applyAlignment="1">
      <alignment vertical="center"/>
    </xf>
    <xf numFmtId="0" fontId="7" fillId="0" borderId="74" xfId="0" applyFont="1" applyFill="1" applyBorder="1" applyAlignment="1">
      <alignment vertical="center"/>
    </xf>
    <xf numFmtId="3" fontId="38" fillId="25" borderId="72" xfId="0" applyNumberFormat="1" applyFont="1" applyFill="1" applyBorder="1" applyAlignment="1">
      <alignment vertical="top"/>
    </xf>
    <xf numFmtId="43" fontId="7" fillId="2" borderId="193" xfId="1" applyFont="1" applyFill="1" applyBorder="1" applyAlignment="1">
      <alignment vertical="top"/>
    </xf>
    <xf numFmtId="3" fontId="7" fillId="32" borderId="187" xfId="0" applyNumberFormat="1" applyFont="1" applyFill="1" applyBorder="1" applyAlignment="1">
      <alignment vertical="top"/>
    </xf>
    <xf numFmtId="3" fontId="27" fillId="0" borderId="9" xfId="0" applyNumberFormat="1" applyFont="1" applyFill="1" applyBorder="1" applyAlignment="1">
      <alignment vertical="top"/>
    </xf>
    <xf numFmtId="0" fontId="25" fillId="8" borderId="68" xfId="0" applyFont="1" applyFill="1" applyBorder="1" applyAlignment="1">
      <alignment horizontal="center" vertical="center" wrapText="1"/>
    </xf>
    <xf numFmtId="0" fontId="31" fillId="8" borderId="76" xfId="0" applyFont="1" applyFill="1" applyBorder="1" applyAlignment="1">
      <alignment vertical="top"/>
    </xf>
    <xf numFmtId="3" fontId="28" fillId="0" borderId="173" xfId="4" applyNumberFormat="1" applyFont="1" applyFill="1" applyBorder="1" applyAlignment="1">
      <alignment vertical="center"/>
    </xf>
    <xf numFmtId="3" fontId="28" fillId="0" borderId="177" xfId="4" applyNumberFormat="1" applyFont="1" applyFill="1" applyBorder="1" applyAlignment="1">
      <alignment vertical="center"/>
    </xf>
    <xf numFmtId="0" fontId="100" fillId="0" borderId="0" xfId="0" applyFont="1" applyAlignment="1">
      <alignment vertical="center"/>
    </xf>
    <xf numFmtId="3" fontId="100" fillId="0" borderId="0" xfId="0" applyNumberFormat="1" applyFont="1" applyAlignment="1">
      <alignment vertical="center"/>
    </xf>
    <xf numFmtId="0" fontId="85" fillId="0" borderId="0" xfId="0" applyFont="1" applyAlignment="1">
      <alignment vertical="center"/>
    </xf>
    <xf numFmtId="3" fontId="92" fillId="8" borderId="18" xfId="4" applyNumberFormat="1" applyFont="1" applyFill="1" applyBorder="1" applyAlignment="1">
      <alignment horizontal="right" vertical="center"/>
    </xf>
    <xf numFmtId="3" fontId="101" fillId="6" borderId="152" xfId="6" applyNumberFormat="1" applyFont="1" applyFill="1" applyBorder="1" applyAlignment="1">
      <alignment horizontal="right" vertical="center"/>
    </xf>
    <xf numFmtId="3" fontId="97" fillId="0" borderId="152" xfId="6" applyNumberFormat="1" applyFont="1" applyFill="1" applyBorder="1" applyAlignment="1">
      <alignment horizontal="right" vertical="center"/>
    </xf>
    <xf numFmtId="3" fontId="98" fillId="0" borderId="193" xfId="4" applyNumberFormat="1" applyFont="1" applyFill="1" applyBorder="1" applyAlignment="1">
      <alignment horizontal="right" vertical="center"/>
    </xf>
    <xf numFmtId="3" fontId="101" fillId="6" borderId="176" xfId="6" applyNumberFormat="1" applyFont="1" applyFill="1" applyBorder="1" applyAlignment="1">
      <alignment horizontal="right" vertical="center"/>
    </xf>
    <xf numFmtId="3" fontId="97" fillId="0" borderId="176" xfId="6" applyNumberFormat="1" applyFont="1" applyFill="1" applyBorder="1" applyAlignment="1">
      <alignment horizontal="right" vertical="center"/>
    </xf>
    <xf numFmtId="3" fontId="98" fillId="0" borderId="176" xfId="4" applyNumberFormat="1" applyFont="1" applyFill="1" applyBorder="1" applyAlignment="1">
      <alignment horizontal="right" vertical="center"/>
    </xf>
    <xf numFmtId="3" fontId="98" fillId="0" borderId="13" xfId="4" applyNumberFormat="1" applyFont="1" applyFill="1" applyBorder="1" applyAlignment="1">
      <alignment horizontal="right" vertical="center"/>
    </xf>
    <xf numFmtId="3" fontId="101" fillId="6" borderId="177" xfId="6" applyNumberFormat="1" applyFont="1" applyFill="1" applyBorder="1" applyAlignment="1">
      <alignment horizontal="right" vertical="center"/>
    </xf>
    <xf numFmtId="3" fontId="99" fillId="0" borderId="176" xfId="6" applyNumberFormat="1" applyFont="1" applyFill="1" applyBorder="1" applyAlignment="1">
      <alignment vertical="center"/>
    </xf>
    <xf numFmtId="3" fontId="98" fillId="0" borderId="112" xfId="4" applyNumberFormat="1" applyFont="1" applyFill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7" fillId="0" borderId="43" xfId="4" applyFont="1" applyFill="1" applyBorder="1" applyAlignment="1">
      <alignment vertical="center" wrapText="1"/>
    </xf>
    <xf numFmtId="0" fontId="32" fillId="0" borderId="43" xfId="0" applyFont="1" applyFill="1" applyBorder="1" applyAlignment="1">
      <alignment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vertical="center" wrapText="1"/>
    </xf>
    <xf numFmtId="0" fontId="23" fillId="0" borderId="44" xfId="0" applyFont="1" applyBorder="1" applyAlignment="1">
      <alignment horizontal="center" vertical="center" wrapText="1"/>
    </xf>
    <xf numFmtId="43" fontId="7" fillId="0" borderId="24" xfId="1" applyFont="1" applyFill="1" applyBorder="1" applyAlignment="1">
      <alignment horizontal="right" vertical="center"/>
    </xf>
    <xf numFmtId="3" fontId="27" fillId="26" borderId="176" xfId="4" applyNumberFormat="1" applyFont="1" applyFill="1" applyBorder="1" applyAlignment="1">
      <alignment horizontal="right" vertical="center"/>
    </xf>
    <xf numFmtId="3" fontId="28" fillId="26" borderId="176" xfId="4" applyNumberFormat="1" applyFont="1" applyFill="1" applyBorder="1" applyAlignment="1">
      <alignment horizontal="right" vertical="center"/>
    </xf>
    <xf numFmtId="3" fontId="28" fillId="26" borderId="193" xfId="4" applyNumberFormat="1" applyFont="1" applyFill="1" applyBorder="1" applyAlignment="1">
      <alignment horizontal="right" vertical="center"/>
    </xf>
    <xf numFmtId="3" fontId="31" fillId="0" borderId="24" xfId="4" applyNumberFormat="1" applyFont="1" applyFill="1" applyBorder="1" applyAlignment="1">
      <alignment vertical="center"/>
    </xf>
    <xf numFmtId="3" fontId="7" fillId="0" borderId="168" xfId="4" applyNumberFormat="1" applyFont="1" applyFill="1" applyBorder="1" applyAlignment="1">
      <alignment vertical="center"/>
    </xf>
    <xf numFmtId="0" fontId="7" fillId="32" borderId="21" xfId="4" applyFont="1" applyFill="1" applyBorder="1" applyAlignment="1">
      <alignment horizontal="left" vertical="center"/>
    </xf>
    <xf numFmtId="3" fontId="29" fillId="2" borderId="184" xfId="4" applyNumberFormat="1" applyFont="1" applyFill="1" applyBorder="1" applyAlignment="1">
      <alignment vertical="center" wrapText="1"/>
    </xf>
    <xf numFmtId="3" fontId="29" fillId="0" borderId="177" xfId="4" applyNumberFormat="1" applyFont="1" applyFill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43" fontId="24" fillId="8" borderId="17" xfId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177" xfId="6" applyNumberFormat="1" applyFont="1" applyFill="1" applyBorder="1" applyAlignment="1">
      <alignment horizontal="right" vertical="center"/>
    </xf>
    <xf numFmtId="43" fontId="23" fillId="6" borderId="177" xfId="1" applyFont="1" applyFill="1" applyBorder="1" applyAlignment="1">
      <alignment horizontal="right" vertical="center"/>
    </xf>
    <xf numFmtId="3" fontId="31" fillId="2" borderId="125" xfId="4" applyNumberFormat="1" applyFont="1" applyFill="1" applyBorder="1" applyAlignment="1">
      <alignment vertical="center" wrapText="1"/>
    </xf>
    <xf numFmtId="43" fontId="33" fillId="0" borderId="153" xfId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horizontal="right" vertical="center"/>
    </xf>
    <xf numFmtId="3" fontId="7" fillId="8" borderId="68" xfId="0" applyNumberFormat="1" applyFont="1" applyFill="1" applyBorder="1" applyAlignment="1">
      <alignment vertical="center"/>
    </xf>
    <xf numFmtId="0" fontId="28" fillId="65" borderId="180" xfId="4" applyFont="1" applyFill="1" applyBorder="1" applyAlignment="1">
      <alignment horizontal="right" vertical="center"/>
    </xf>
    <xf numFmtId="3" fontId="31" fillId="65" borderId="168" xfId="4" applyNumberFormat="1" applyFont="1" applyFill="1" applyBorder="1" applyAlignment="1">
      <alignment vertical="center"/>
    </xf>
    <xf numFmtId="43" fontId="28" fillId="65" borderId="168" xfId="1" applyFont="1" applyFill="1" applyBorder="1" applyAlignment="1">
      <alignment vertical="center"/>
    </xf>
    <xf numFmtId="3" fontId="28" fillId="65" borderId="168" xfId="4" applyNumberFormat="1" applyFont="1" applyFill="1" applyBorder="1" applyAlignment="1">
      <alignment horizontal="right" vertical="center"/>
    </xf>
    <xf numFmtId="43" fontId="28" fillId="57" borderId="168" xfId="1" applyFont="1" applyFill="1" applyBorder="1" applyAlignment="1">
      <alignment vertical="center"/>
    </xf>
    <xf numFmtId="0" fontId="22" fillId="0" borderId="65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0" fillId="0" borderId="184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3" fontId="24" fillId="22" borderId="177" xfId="4" applyNumberFormat="1" applyFont="1" applyFill="1" applyBorder="1" applyAlignment="1">
      <alignment vertical="center"/>
    </xf>
    <xf numFmtId="3" fontId="27" fillId="25" borderId="176" xfId="4" applyNumberFormat="1" applyFont="1" applyFill="1" applyBorder="1" applyAlignment="1">
      <alignment vertical="center"/>
    </xf>
    <xf numFmtId="0" fontId="28" fillId="0" borderId="181" xfId="4" applyFont="1" applyFill="1" applyBorder="1" applyAlignment="1">
      <alignment vertical="center"/>
    </xf>
    <xf numFmtId="3" fontId="38" fillId="0" borderId="176" xfId="4" applyNumberFormat="1" applyFont="1" applyFill="1" applyBorder="1" applyAlignment="1">
      <alignment horizontal="right" vertical="center"/>
    </xf>
    <xf numFmtId="3" fontId="28" fillId="25" borderId="176" xfId="4" applyNumberFormat="1" applyFont="1" applyFill="1" applyBorder="1" applyAlignment="1">
      <alignment horizontal="right" vertical="center"/>
    </xf>
    <xf numFmtId="0" fontId="31" fillId="0" borderId="174" xfId="4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63" fillId="0" borderId="168" xfId="6" applyNumberFormat="1" applyFont="1" applyFill="1" applyBorder="1" applyAlignment="1">
      <alignment vertical="center"/>
    </xf>
    <xf numFmtId="3" fontId="28" fillId="25" borderId="168" xfId="4" applyNumberFormat="1" applyFont="1" applyFill="1" applyBorder="1" applyAlignment="1">
      <alignment horizontal="right" vertical="center"/>
    </xf>
    <xf numFmtId="3" fontId="7" fillId="8" borderId="27" xfId="4" applyNumberFormat="1" applyFont="1" applyFill="1" applyBorder="1" applyAlignment="1">
      <alignment horizontal="right" vertical="center"/>
    </xf>
    <xf numFmtId="3" fontId="7" fillId="8" borderId="42" xfId="4" applyNumberFormat="1" applyFont="1" applyFill="1" applyBorder="1" applyAlignment="1">
      <alignment vertical="center" wrapText="1"/>
    </xf>
    <xf numFmtId="3" fontId="29" fillId="8" borderId="181" xfId="4" applyNumberFormat="1" applyFont="1" applyFill="1" applyBorder="1" applyAlignment="1">
      <alignment vertical="center" wrapText="1"/>
    </xf>
    <xf numFmtId="3" fontId="29" fillId="8" borderId="196" xfId="4" applyNumberFormat="1" applyFont="1" applyFill="1" applyBorder="1" applyAlignment="1">
      <alignment vertical="center" wrapText="1"/>
    </xf>
    <xf numFmtId="3" fontId="7" fillId="8" borderId="176" xfId="4" applyNumberFormat="1" applyFont="1" applyFill="1" applyBorder="1" applyAlignment="1">
      <alignment horizontal="right" vertical="center"/>
    </xf>
    <xf numFmtId="0" fontId="7" fillId="8" borderId="175" xfId="4" applyFont="1" applyFill="1" applyBorder="1" applyAlignment="1">
      <alignment vertical="center"/>
    </xf>
    <xf numFmtId="0" fontId="38" fillId="57" borderId="187" xfId="4" applyFont="1" applyFill="1" applyBorder="1" applyAlignment="1">
      <alignment horizontal="right" vertical="top"/>
    </xf>
    <xf numFmtId="3" fontId="38" fillId="57" borderId="187" xfId="4" applyNumberFormat="1" applyFont="1" applyFill="1" applyBorder="1" applyAlignment="1">
      <alignment horizontal="right" vertical="center"/>
    </xf>
    <xf numFmtId="43" fontId="38" fillId="57" borderId="187" xfId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vertical="top"/>
    </xf>
    <xf numFmtId="0" fontId="24" fillId="2" borderId="2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vertical="center" wrapText="1"/>
    </xf>
    <xf numFmtId="0" fontId="31" fillId="0" borderId="43" xfId="0" applyFont="1" applyFill="1" applyBorder="1" applyAlignment="1">
      <alignment vertical="center" wrapText="1"/>
    </xf>
    <xf numFmtId="0" fontId="31" fillId="0" borderId="41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/>
    </xf>
    <xf numFmtId="0" fontId="38" fillId="62" borderId="35" xfId="4" applyFont="1" applyFill="1" applyBorder="1" applyAlignment="1">
      <alignment horizontal="right" vertical="top"/>
    </xf>
    <xf numFmtId="0" fontId="24" fillId="8" borderId="195" xfId="0" applyFont="1" applyFill="1" applyBorder="1" applyAlignment="1">
      <alignment vertical="center" wrapText="1"/>
    </xf>
    <xf numFmtId="0" fontId="24" fillId="8" borderId="175" xfId="0" applyFont="1" applyFill="1" applyBorder="1" applyAlignment="1">
      <alignment horizontal="center" vertical="center" wrapText="1"/>
    </xf>
    <xf numFmtId="0" fontId="7" fillId="8" borderId="185" xfId="0" applyFont="1" applyFill="1" applyBorder="1" applyAlignment="1">
      <alignment vertical="center"/>
    </xf>
    <xf numFmtId="43" fontId="7" fillId="8" borderId="180" xfId="1" applyFont="1" applyFill="1" applyBorder="1" applyAlignment="1">
      <alignment vertical="center"/>
    </xf>
    <xf numFmtId="3" fontId="7" fillId="8" borderId="180" xfId="0" applyNumberFormat="1" applyFont="1" applyFill="1" applyBorder="1" applyAlignment="1">
      <alignment vertical="center"/>
    </xf>
    <xf numFmtId="0" fontId="7" fillId="8" borderId="180" xfId="0" applyFont="1" applyFill="1" applyBorder="1" applyAlignment="1">
      <alignment vertical="center"/>
    </xf>
    <xf numFmtId="0" fontId="7" fillId="8" borderId="176" xfId="0" applyFont="1" applyFill="1" applyBorder="1" applyAlignment="1">
      <alignment vertical="center"/>
    </xf>
    <xf numFmtId="0" fontId="24" fillId="8" borderId="196" xfId="0" applyFont="1" applyFill="1" applyBorder="1" applyAlignment="1">
      <alignment horizontal="center" vertical="center" wrapText="1"/>
    </xf>
    <xf numFmtId="0" fontId="7" fillId="8" borderId="8" xfId="112" applyFont="1" applyFill="1" applyBorder="1" applyAlignment="1">
      <alignment vertical="center"/>
    </xf>
    <xf numFmtId="3" fontId="7" fillId="8" borderId="8" xfId="112" applyNumberFormat="1" applyFont="1" applyFill="1" applyBorder="1" applyAlignment="1">
      <alignment vertical="center"/>
    </xf>
    <xf numFmtId="3" fontId="7" fillId="8" borderId="9" xfId="112" applyNumberFormat="1" applyFont="1" applyFill="1" applyBorder="1" applyAlignment="1">
      <alignment vertical="center"/>
    </xf>
    <xf numFmtId="3" fontId="7" fillId="23" borderId="10" xfId="112" applyNumberFormat="1" applyFont="1" applyFill="1" applyBorder="1" applyAlignment="1">
      <alignment vertical="center"/>
    </xf>
    <xf numFmtId="0" fontId="4" fillId="0" borderId="187" xfId="112" applyFont="1" applyBorder="1" applyAlignment="1">
      <alignment vertical="center"/>
    </xf>
    <xf numFmtId="43" fontId="28" fillId="65" borderId="168" xfId="1" applyFont="1" applyFill="1" applyBorder="1" applyAlignment="1">
      <alignment horizontal="right" vertical="center"/>
    </xf>
    <xf numFmtId="3" fontId="7" fillId="25" borderId="152" xfId="4" applyNumberFormat="1" applyFont="1" applyFill="1" applyBorder="1" applyAlignment="1">
      <alignment horizontal="right" vertical="center"/>
    </xf>
    <xf numFmtId="3" fontId="24" fillId="22" borderId="176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18" fillId="0" borderId="183" xfId="0" applyFont="1" applyFill="1" applyBorder="1" applyAlignment="1">
      <alignment vertical="center" wrapText="1"/>
    </xf>
    <xf numFmtId="0" fontId="8" fillId="0" borderId="186" xfId="0" applyFont="1" applyBorder="1" applyAlignment="1">
      <alignment horizontal="center"/>
    </xf>
    <xf numFmtId="0" fontId="8" fillId="0" borderId="191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82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15" borderId="14" xfId="0" applyFont="1" applyFill="1" applyBorder="1" applyAlignment="1">
      <alignment horizontal="center" vertical="center" wrapText="1"/>
    </xf>
    <xf numFmtId="0" fontId="36" fillId="15" borderId="22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wrapText="1"/>
    </xf>
    <xf numFmtId="0" fontId="36" fillId="16" borderId="22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0" fontId="23" fillId="0" borderId="1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8" fillId="0" borderId="183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24" fillId="2" borderId="175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31" fillId="25" borderId="173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24" fillId="2" borderId="20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3" fontId="25" fillId="2" borderId="175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18" fillId="0" borderId="120" xfId="4" applyNumberFormat="1" applyFont="1" applyFill="1" applyBorder="1" applyAlignment="1">
      <alignment horizontal="center" vertical="center" wrapText="1"/>
    </xf>
    <xf numFmtId="3" fontId="25" fillId="25" borderId="61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3" fontId="24" fillId="22" borderId="161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" borderId="121" xfId="4" applyNumberFormat="1" applyFont="1" applyFill="1" applyBorder="1" applyAlignment="1">
      <alignment horizontal="center" vertical="center" wrapText="1"/>
    </xf>
    <xf numFmtId="0" fontId="24" fillId="2" borderId="182" xfId="4" applyFont="1" applyFill="1" applyBorder="1" applyAlignment="1">
      <alignment horizontal="center" vertical="center"/>
    </xf>
    <xf numFmtId="3" fontId="25" fillId="25" borderId="167" xfId="4" applyNumberFormat="1" applyFont="1" applyFill="1" applyBorder="1" applyAlignment="1">
      <alignment horizontal="center" vertical="center"/>
    </xf>
    <xf numFmtId="3" fontId="25" fillId="25" borderId="187" xfId="4" applyNumberFormat="1" applyFont="1" applyFill="1" applyBorder="1" applyAlignment="1">
      <alignment horizontal="center" vertical="center"/>
    </xf>
    <xf numFmtId="3" fontId="25" fillId="2" borderId="156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3" fontId="25" fillId="25" borderId="173" xfId="4" applyNumberFormat="1" applyFont="1" applyFill="1" applyBorder="1" applyAlignment="1">
      <alignment horizontal="center" vertical="center"/>
    </xf>
    <xf numFmtId="43" fontId="24" fillId="22" borderId="104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3" fontId="25" fillId="26" borderId="173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3" fontId="24" fillId="26" borderId="187" xfId="4" applyNumberFormat="1" applyFont="1" applyFill="1" applyBorder="1" applyAlignment="1">
      <alignment horizontal="center" vertical="center"/>
    </xf>
    <xf numFmtId="3" fontId="24" fillId="26" borderId="39" xfId="4" applyNumberFormat="1" applyFont="1" applyFill="1" applyBorder="1" applyAlignment="1">
      <alignment horizontal="center" vertical="center"/>
    </xf>
    <xf numFmtId="0" fontId="23" fillId="0" borderId="156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3" fontId="25" fillId="2" borderId="71" xfId="4" applyNumberFormat="1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6" borderId="61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43" fontId="24" fillId="22" borderId="60" xfId="1" applyFont="1" applyFill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3" fontId="25" fillId="26" borderId="161" xfId="4" applyNumberFormat="1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2" fillId="0" borderId="18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68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32" fillId="0" borderId="18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4" fillId="26" borderId="161" xfId="4" applyNumberFormat="1" applyFont="1" applyFill="1" applyBorder="1" applyAlignment="1">
      <alignment horizontal="center" vertical="center"/>
    </xf>
    <xf numFmtId="3" fontId="24" fillId="26" borderId="173" xfId="4" applyNumberFormat="1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5" fillId="2" borderId="175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38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3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3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77" xfId="4" applyFont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/>
    </xf>
    <xf numFmtId="0" fontId="18" fillId="0" borderId="65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8" fillId="0" borderId="44" xfId="4" applyFont="1" applyFill="1" applyBorder="1" applyAlignment="1">
      <alignment horizontal="center" vertical="center" wrapText="1"/>
    </xf>
    <xf numFmtId="0" fontId="18" fillId="0" borderId="113" xfId="4" applyFont="1" applyFill="1" applyBorder="1" applyAlignment="1">
      <alignment horizontal="center" vertical="center" wrapText="1"/>
    </xf>
    <xf numFmtId="0" fontId="18" fillId="0" borderId="40" xfId="4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25" fillId="26" borderId="186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18" fillId="0" borderId="183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7" fillId="0" borderId="74" xfId="4" applyFont="1" applyFill="1" applyBorder="1" applyAlignment="1">
      <alignment horizontal="center" vertical="center"/>
    </xf>
    <xf numFmtId="0" fontId="25" fillId="0" borderId="15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18" fillId="0" borderId="79" xfId="4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3" fontId="31" fillId="26" borderId="186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3" fontId="24" fillId="2" borderId="22" xfId="4" applyNumberFormat="1" applyFont="1" applyFill="1" applyBorder="1" applyAlignment="1">
      <alignment horizontal="center" vertical="center" wrapText="1"/>
    </xf>
    <xf numFmtId="0" fontId="25" fillId="2" borderId="121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3" fontId="25" fillId="26" borderId="168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3" fontId="31" fillId="0" borderId="75" xfId="4" applyNumberFormat="1" applyFont="1" applyFill="1" applyBorder="1" applyAlignment="1">
      <alignment horizontal="center" vertical="center"/>
    </xf>
    <xf numFmtId="3" fontId="31" fillId="0" borderId="51" xfId="4" applyNumberFormat="1" applyFont="1" applyFill="1" applyBorder="1" applyAlignment="1">
      <alignment horizontal="center" vertical="center"/>
    </xf>
    <xf numFmtId="3" fontId="31" fillId="0" borderId="50" xfId="4" applyNumberFormat="1" applyFont="1" applyFill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5" fillId="2" borderId="101" xfId="4" applyNumberFormat="1" applyFont="1" applyFill="1" applyBorder="1" applyAlignment="1">
      <alignment horizontal="center" vertical="center" wrapText="1"/>
    </xf>
    <xf numFmtId="3" fontId="25" fillId="26" borderId="193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96" xfId="4" applyFont="1" applyFill="1" applyBorder="1" applyAlignment="1">
      <alignment horizontal="center" vertical="center" wrapText="1"/>
    </xf>
    <xf numFmtId="3" fontId="25" fillId="0" borderId="186" xfId="4" applyNumberFormat="1" applyFont="1" applyFill="1" applyBorder="1" applyAlignment="1">
      <alignment horizontal="center" vertical="center" wrapText="1"/>
    </xf>
    <xf numFmtId="3" fontId="25" fillId="0" borderId="10" xfId="4" applyNumberFormat="1" applyFont="1" applyFill="1" applyBorder="1" applyAlignment="1">
      <alignment horizontal="center" vertical="center" wrapText="1"/>
    </xf>
    <xf numFmtId="3" fontId="25" fillId="0" borderId="7" xfId="4" applyNumberFormat="1" applyFont="1" applyFill="1" applyBorder="1" applyAlignment="1">
      <alignment horizontal="center" vertical="center" wrapText="1"/>
    </xf>
    <xf numFmtId="0" fontId="23" fillId="0" borderId="186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>
      <alignment horizontal="center" vertical="center" wrapText="1"/>
    </xf>
    <xf numFmtId="3" fontId="24" fillId="26" borderId="177" xfId="4" applyNumberFormat="1" applyFont="1" applyFill="1" applyBorder="1" applyAlignment="1">
      <alignment horizontal="center" vertical="center"/>
    </xf>
    <xf numFmtId="0" fontId="7" fillId="0" borderId="183" xfId="4" applyFont="1" applyFill="1" applyBorder="1" applyAlignment="1">
      <alignment horizontal="center" vertical="center" wrapText="1"/>
    </xf>
    <xf numFmtId="0" fontId="7" fillId="0" borderId="43" xfId="4" applyFont="1" applyFill="1" applyBorder="1" applyAlignment="1">
      <alignment horizontal="center" vertical="center" wrapText="1"/>
    </xf>
    <xf numFmtId="0" fontId="7" fillId="0" borderId="46" xfId="4" applyFont="1" applyFill="1" applyBorder="1" applyAlignment="1">
      <alignment horizontal="center" vertical="center" wrapText="1"/>
    </xf>
    <xf numFmtId="0" fontId="7" fillId="0" borderId="42" xfId="4" applyFont="1" applyFill="1" applyBorder="1" applyAlignment="1">
      <alignment horizontal="center" vertical="center" wrapText="1"/>
    </xf>
    <xf numFmtId="0" fontId="7" fillId="0" borderId="41" xfId="4" applyFont="1" applyFill="1" applyBorder="1" applyAlignment="1">
      <alignment horizontal="center" vertical="center" wrapText="1"/>
    </xf>
    <xf numFmtId="0" fontId="7" fillId="0" borderId="40" xfId="4" applyFont="1" applyFill="1" applyBorder="1" applyAlignment="1">
      <alignment horizontal="center" vertical="center" wrapText="1"/>
    </xf>
    <xf numFmtId="0" fontId="7" fillId="0" borderId="44" xfId="4" applyFont="1" applyFill="1" applyBorder="1" applyAlignment="1">
      <alignment horizontal="center" vertical="center" wrapText="1"/>
    </xf>
    <xf numFmtId="0" fontId="32" fillId="0" borderId="183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196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23" fillId="0" borderId="177" xfId="0" applyFont="1" applyBorder="1" applyAlignment="1">
      <alignment horizontal="center" vertical="center" wrapText="1"/>
    </xf>
    <xf numFmtId="0" fontId="23" fillId="0" borderId="187" xfId="0" applyFont="1" applyBorder="1" applyAlignment="1">
      <alignment horizontal="center" vertical="center" wrapText="1"/>
    </xf>
    <xf numFmtId="3" fontId="25" fillId="2" borderId="177" xfId="4" applyNumberFormat="1" applyFont="1" applyFill="1" applyBorder="1" applyAlignment="1">
      <alignment horizontal="center" vertical="center" wrapText="1"/>
    </xf>
    <xf numFmtId="0" fontId="32" fillId="0" borderId="177" xfId="0" applyFont="1" applyBorder="1" applyAlignment="1">
      <alignment horizontal="center" vertical="center" wrapText="1"/>
    </xf>
    <xf numFmtId="0" fontId="17" fillId="0" borderId="17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38" xfId="4" applyFont="1" applyFill="1" applyBorder="1" applyAlignment="1">
      <alignment horizontal="center" vertical="center"/>
    </xf>
    <xf numFmtId="3" fontId="24" fillId="26" borderId="185" xfId="4" applyNumberFormat="1" applyFont="1" applyFill="1" applyBorder="1" applyAlignment="1">
      <alignment horizontal="center" vertical="center"/>
    </xf>
    <xf numFmtId="3" fontId="24" fillId="26" borderId="129" xfId="4" applyNumberFormat="1" applyFont="1" applyFill="1" applyBorder="1" applyAlignment="1">
      <alignment horizontal="center" vertical="center"/>
    </xf>
    <xf numFmtId="0" fontId="23" fillId="0" borderId="173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7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17" fillId="0" borderId="38" xfId="4" quotePrefix="1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3" fontId="25" fillId="0" borderId="177" xfId="4" applyNumberFormat="1" applyFont="1" applyFill="1" applyBorder="1" applyAlignment="1">
      <alignment horizontal="center" vertical="center" wrapText="1"/>
    </xf>
    <xf numFmtId="0" fontId="32" fillId="0" borderId="177" xfId="0" applyFont="1" applyFill="1" applyBorder="1" applyAlignment="1">
      <alignment horizontal="center" vertical="center"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4" fillId="0" borderId="19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1" fillId="0" borderId="42" xfId="4" applyFont="1" applyFill="1" applyBorder="1" applyAlignment="1">
      <alignment horizontal="center" vertical="center" wrapText="1"/>
    </xf>
    <xf numFmtId="0" fontId="31" fillId="0" borderId="43" xfId="4" applyFont="1" applyFill="1" applyBorder="1" applyAlignment="1">
      <alignment horizontal="center" vertical="center" wrapText="1"/>
    </xf>
    <xf numFmtId="0" fontId="31" fillId="0" borderId="46" xfId="4" applyFont="1" applyFill="1" applyBorder="1" applyAlignment="1">
      <alignment horizontal="center" vertic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3" fillId="0" borderId="173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17" fillId="0" borderId="14" xfId="4" quotePrefix="1" applyFont="1" applyFill="1" applyBorder="1" applyAlignment="1">
      <alignment horizontal="center" vertical="center" wrapText="1"/>
    </xf>
    <xf numFmtId="0" fontId="17" fillId="0" borderId="6" xfId="4" quotePrefix="1" applyFont="1" applyFill="1" applyBorder="1" applyAlignment="1">
      <alignment horizontal="center" vertical="center" wrapText="1"/>
    </xf>
    <xf numFmtId="0" fontId="17" fillId="0" borderId="22" xfId="4" quotePrefix="1" applyFont="1" applyFill="1" applyBorder="1" applyAlignment="1">
      <alignment horizontal="center" vertical="center" wrapText="1"/>
    </xf>
    <xf numFmtId="0" fontId="25" fillId="2" borderId="177" xfId="4" applyFont="1" applyFill="1" applyBorder="1" applyAlignment="1">
      <alignment horizontal="center" vertical="center" wrapText="1"/>
    </xf>
    <xf numFmtId="0" fontId="32" fillId="0" borderId="177" xfId="0" applyFont="1" applyBorder="1" applyAlignment="1">
      <alignment wrapText="1"/>
    </xf>
    <xf numFmtId="0" fontId="32" fillId="0" borderId="187" xfId="0" applyFont="1" applyBorder="1" applyAlignment="1">
      <alignment wrapText="1"/>
    </xf>
    <xf numFmtId="0" fontId="25" fillId="0" borderId="173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17" fillId="0" borderId="14" xfId="4" applyFont="1" applyFill="1" applyBorder="1" applyAlignment="1">
      <alignment horizontal="center" vertical="center"/>
    </xf>
    <xf numFmtId="0" fontId="32" fillId="0" borderId="187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7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6" fillId="2" borderId="27" xfId="4" applyFont="1" applyFill="1" applyBorder="1" applyAlignment="1">
      <alignment horizontal="left" vertical="center" wrapText="1"/>
    </xf>
    <xf numFmtId="0" fontId="16" fillId="2" borderId="13" xfId="4" applyFont="1" applyFill="1" applyBorder="1" applyAlignment="1">
      <alignment horizontal="left" vertical="center" wrapText="1"/>
    </xf>
    <xf numFmtId="0" fontId="16" fillId="2" borderId="10" xfId="4" applyFont="1" applyFill="1" applyBorder="1" applyAlignment="1">
      <alignment horizontal="left" vertical="center" wrapText="1"/>
    </xf>
    <xf numFmtId="0" fontId="18" fillId="0" borderId="68" xfId="4" applyFont="1" applyBorder="1" applyAlignment="1">
      <alignment horizontal="center" vertical="center" wrapText="1"/>
    </xf>
    <xf numFmtId="0" fontId="4" fillId="0" borderId="177" xfId="0" applyFont="1" applyBorder="1" applyAlignment="1">
      <alignment horizontal="center" vertical="center" wrapText="1"/>
    </xf>
    <xf numFmtId="0" fontId="22" fillId="0" borderId="177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2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4" fillId="19" borderId="177" xfId="0" applyFont="1" applyFill="1" applyBorder="1" applyAlignment="1">
      <alignment horizontal="center" vertical="center" wrapText="1"/>
    </xf>
    <xf numFmtId="0" fontId="17" fillId="0" borderId="196" xfId="4" quotePrefix="1" applyFont="1" applyFill="1" applyBorder="1" applyAlignment="1">
      <alignment horizontal="center" vertical="center" wrapText="1"/>
    </xf>
    <xf numFmtId="0" fontId="17" fillId="0" borderId="184" xfId="4" applyFont="1" applyFill="1" applyBorder="1" applyAlignment="1">
      <alignment horizontal="center" vertical="center" wrapText="1"/>
    </xf>
    <xf numFmtId="0" fontId="32" fillId="0" borderId="176" xfId="0" applyFont="1" applyBorder="1" applyAlignment="1">
      <alignment horizontal="center" vertical="center" wrapText="1"/>
    </xf>
    <xf numFmtId="3" fontId="24" fillId="22" borderId="177" xfId="4" applyNumberFormat="1" applyFont="1" applyFill="1" applyBorder="1" applyAlignment="1">
      <alignment horizontal="center" vertical="center"/>
    </xf>
    <xf numFmtId="3" fontId="24" fillId="22" borderId="173" xfId="4" applyNumberFormat="1" applyFont="1" applyFill="1" applyBorder="1" applyAlignment="1">
      <alignment horizontal="center" vertical="center"/>
    </xf>
    <xf numFmtId="3" fontId="24" fillId="22" borderId="187" xfId="4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25" fillId="0" borderId="35" xfId="4" applyFont="1" applyBorder="1" applyAlignment="1">
      <alignment horizontal="center" vertical="center" wrapText="1"/>
    </xf>
    <xf numFmtId="0" fontId="25" fillId="0" borderId="173" xfId="4" applyFont="1" applyFill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35" xfId="4" applyFont="1" applyFill="1" applyBorder="1" applyAlignment="1">
      <alignment horizontal="center" vertical="center" wrapText="1"/>
    </xf>
    <xf numFmtId="0" fontId="32" fillId="0" borderId="11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3" fillId="0" borderId="18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4" fillId="2" borderId="175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top"/>
    </xf>
    <xf numFmtId="0" fontId="30" fillId="8" borderId="11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horizontal="center" vertical="top"/>
    </xf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3" fontId="25" fillId="28" borderId="113" xfId="0" applyNumberFormat="1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18" fillId="0" borderId="183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25" fillId="2" borderId="196" xfId="4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3" fontId="24" fillId="26" borderId="186" xfId="4" applyNumberFormat="1" applyFont="1" applyFill="1" applyBorder="1" applyAlignment="1">
      <alignment horizontal="center" vertical="center"/>
    </xf>
    <xf numFmtId="3" fontId="24" fillId="26" borderId="24" xfId="4" applyNumberFormat="1" applyFont="1" applyFill="1" applyBorder="1" applyAlignment="1">
      <alignment horizontal="center" vertical="center"/>
    </xf>
    <xf numFmtId="0" fontId="25" fillId="2" borderId="0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2" fillId="0" borderId="191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3" fontId="17" fillId="26" borderId="173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7" fillId="0" borderId="74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3" fontId="25" fillId="2" borderId="168" xfId="4" applyNumberFormat="1" applyFont="1" applyFill="1" applyBorder="1" applyAlignment="1">
      <alignment horizontal="center"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25" fillId="32" borderId="175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3" fontId="24" fillId="26" borderId="35" xfId="4" applyNumberFormat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5" fillId="0" borderId="175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8" fillId="0" borderId="15" xfId="4" applyFont="1" applyBorder="1" applyAlignment="1">
      <alignment horizontal="center" vertical="center" wrapText="1"/>
    </xf>
    <xf numFmtId="0" fontId="18" fillId="0" borderId="35" xfId="4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0" fontId="25" fillId="2" borderId="20" xfId="4" applyFont="1" applyFill="1" applyBorder="1" applyAlignment="1">
      <alignment horizontal="center" vertical="center" wrapText="1"/>
    </xf>
    <xf numFmtId="0" fontId="0" fillId="0" borderId="191" xfId="0" applyFont="1" applyBorder="1" applyAlignment="1">
      <alignment horizontal="center" vertical="center" wrapText="1"/>
    </xf>
    <xf numFmtId="3" fontId="20" fillId="26" borderId="173" xfId="4" applyNumberFormat="1" applyFont="1" applyFill="1" applyBorder="1" applyAlignment="1">
      <alignment horizontal="center" vertical="center"/>
    </xf>
    <xf numFmtId="3" fontId="20" fillId="26" borderId="13" xfId="4" applyNumberFormat="1" applyFont="1" applyFill="1" applyBorder="1" applyAlignment="1">
      <alignment horizontal="center" vertical="center"/>
    </xf>
    <xf numFmtId="3" fontId="20" fillId="26" borderId="12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0" fillId="0" borderId="84" xfId="0" applyFont="1" applyBorder="1" applyAlignment="1">
      <alignment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17" fillId="0" borderId="182" xfId="0" applyFont="1" applyFill="1" applyBorder="1" applyAlignment="1">
      <alignment horizontal="center" vertical="center" wrapText="1"/>
    </xf>
    <xf numFmtId="0" fontId="25" fillId="2" borderId="168" xfId="4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0" fillId="0" borderId="182" xfId="0" applyFont="1" applyBorder="1" applyAlignment="1">
      <alignment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1" xfId="112" applyFont="1" applyBorder="1" applyAlignment="1">
      <alignment horizontal="center" vertical="center" wrapText="1"/>
    </xf>
    <xf numFmtId="0" fontId="18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3" fontId="25" fillId="25" borderId="161" xfId="4" applyNumberFormat="1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0" fontId="25" fillId="0" borderId="175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3" fontId="25" fillId="28" borderId="173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0" fontId="25" fillId="8" borderId="12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3" fontId="25" fillId="22" borderId="186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3" fontId="24" fillId="26" borderId="118" xfId="4" applyNumberFormat="1" applyFont="1" applyFill="1" applyBorder="1" applyAlignment="1">
      <alignment horizontal="center" vertical="center"/>
    </xf>
    <xf numFmtId="2" fontId="17" fillId="0" borderId="11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7" fillId="8" borderId="182" xfId="4" applyFont="1" applyFill="1" applyBorder="1" applyAlignment="1">
      <alignment horizontal="center" vertical="center"/>
    </xf>
    <xf numFmtId="0" fontId="17" fillId="8" borderId="11" xfId="4" applyFont="1" applyFill="1" applyBorder="1" applyAlignment="1">
      <alignment horizontal="center" vertical="center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22" fillId="0" borderId="183" xfId="112" applyFont="1" applyBorder="1" applyAlignment="1">
      <alignment horizontal="center" vertical="center" wrapText="1"/>
    </xf>
    <xf numFmtId="0" fontId="22" fillId="0" borderId="41" xfId="112" applyFont="1" applyBorder="1" applyAlignment="1">
      <alignment horizontal="center" vertical="center" wrapText="1"/>
    </xf>
    <xf numFmtId="43" fontId="25" fillId="22" borderId="173" xfId="1" applyFont="1" applyFill="1" applyBorder="1" applyAlignment="1">
      <alignment horizontal="center" vertical="center"/>
    </xf>
    <xf numFmtId="43" fontId="25" fillId="22" borderId="13" xfId="1" applyFont="1" applyFill="1" applyBorder="1" applyAlignment="1">
      <alignment horizontal="center" vertical="center"/>
    </xf>
    <xf numFmtId="43" fontId="25" fillId="22" borderId="12" xfId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/>
    </xf>
    <xf numFmtId="0" fontId="37" fillId="0" borderId="17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6" xfId="0" applyFont="1" applyBorder="1"/>
    <xf numFmtId="49" fontId="84" fillId="0" borderId="173" xfId="3" applyNumberFormat="1" applyFont="1" applyBorder="1" applyAlignment="1">
      <alignment horizontal="center" vertical="center" wrapText="1"/>
    </xf>
    <xf numFmtId="49" fontId="84" fillId="0" borderId="13" xfId="3" applyNumberFormat="1" applyFont="1" applyBorder="1" applyAlignment="1">
      <alignment horizontal="center" vertical="center" wrapText="1"/>
    </xf>
    <xf numFmtId="49" fontId="84" fillId="0" borderId="12" xfId="3" applyNumberFormat="1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3" fontId="25" fillId="22" borderId="120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24" fillId="0" borderId="12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21" xfId="0" applyFont="1" applyBorder="1" applyAlignment="1">
      <alignment horizontal="center" vertical="center" wrapText="1"/>
    </xf>
    <xf numFmtId="43" fontId="25" fillId="22" borderId="120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87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0" fillId="63" borderId="168" xfId="3" applyFont="1" applyFill="1" applyBorder="1" applyAlignment="1">
      <alignment horizontal="center" vertical="center"/>
    </xf>
    <xf numFmtId="0" fontId="0" fillId="63" borderId="27" xfId="3" applyFont="1" applyFill="1" applyBorder="1" applyAlignment="1">
      <alignment horizontal="center" vertical="center"/>
    </xf>
    <xf numFmtId="0" fontId="0" fillId="63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58" xfId="0" quotePrefix="1" applyFont="1" applyFill="1" applyBorder="1" applyAlignment="1">
      <alignment horizontal="center" vertical="center" wrapText="1"/>
    </xf>
    <xf numFmtId="0" fontId="17" fillId="2" borderId="190" xfId="0" quotePrefix="1" applyFont="1" applyFill="1" applyBorder="1" applyAlignment="1">
      <alignment horizontal="center" vertical="center" wrapText="1"/>
    </xf>
    <xf numFmtId="0" fontId="24" fillId="0" borderId="17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17" fillId="0" borderId="151" xfId="4" applyFont="1" applyBorder="1" applyAlignment="1">
      <alignment horizontal="center" vertical="center" wrapText="1"/>
    </xf>
    <xf numFmtId="3" fontId="20" fillId="2" borderId="161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20" fillId="2" borderId="17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113" xfId="0" applyFont="1" applyFill="1" applyBorder="1" applyAlignment="1">
      <alignment horizontal="center" vertical="center" wrapText="1"/>
    </xf>
    <xf numFmtId="0" fontId="25" fillId="8" borderId="175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73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0" fillId="0" borderId="17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73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23" fillId="0" borderId="175" xfId="0" applyNumberFormat="1" applyFont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7" fillId="56" borderId="5" xfId="0" applyNumberFormat="1" applyFont="1" applyFill="1" applyBorder="1" applyAlignment="1">
      <alignment horizontal="center" vertical="center" wrapText="1"/>
    </xf>
    <xf numFmtId="2" fontId="0" fillId="56" borderId="11" xfId="0" applyNumberFormat="1" applyFont="1" applyFill="1" applyBorder="1" applyAlignment="1">
      <alignment vertical="center" wrapText="1"/>
    </xf>
    <xf numFmtId="2" fontId="0" fillId="56" borderId="25" xfId="0" applyNumberFormat="1" applyFont="1" applyFill="1" applyBorder="1" applyAlignment="1">
      <alignment vertical="center" wrapText="1"/>
    </xf>
    <xf numFmtId="2" fontId="25" fillId="22" borderId="186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3" fontId="25" fillId="28" borderId="43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4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65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2" fontId="16" fillId="2" borderId="66" xfId="0" applyNumberFormat="1" applyFont="1" applyFill="1" applyBorder="1" applyAlignment="1">
      <alignment horizontal="left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3" fontId="25" fillId="22" borderId="173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0" fontId="25" fillId="2" borderId="175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75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21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20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35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2" fontId="22" fillId="0" borderId="183" xfId="0" applyNumberFormat="1" applyFont="1" applyBorder="1" applyAlignment="1">
      <alignment horizontal="center" vertical="center" wrapText="1"/>
    </xf>
    <xf numFmtId="3" fontId="25" fillId="22" borderId="72" xfId="0" applyNumberFormat="1" applyFont="1" applyFill="1" applyBorder="1" applyAlignment="1">
      <alignment horizontal="center" vertical="center"/>
    </xf>
    <xf numFmtId="2" fontId="25" fillId="32" borderId="175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0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73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0" fontId="23" fillId="0" borderId="38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113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3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91" xfId="0" applyNumberFormat="1" applyFont="1" applyFill="1" applyBorder="1" applyAlignment="1">
      <alignment horizontal="center" vertical="center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8" fillId="0" borderId="101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121" xfId="0" applyFont="1" applyFill="1" applyBorder="1" applyAlignment="1">
      <alignment horizontal="center" vertical="center" wrapText="1"/>
    </xf>
    <xf numFmtId="3" fontId="25" fillId="22" borderId="161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20" fillId="19" borderId="35" xfId="4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183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75" xfId="4" applyFont="1" applyFill="1" applyBorder="1" applyAlignment="1">
      <alignment horizontal="center" vertical="center" wrapText="1"/>
    </xf>
    <xf numFmtId="3" fontId="24" fillId="22" borderId="161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0" borderId="182" xfId="0" applyFont="1" applyFill="1" applyBorder="1" applyAlignment="1">
      <alignment horizontal="center" vertical="center"/>
    </xf>
    <xf numFmtId="0" fontId="19" fillId="0" borderId="159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6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32" fillId="0" borderId="40" xfId="0" applyFont="1" applyBorder="1"/>
    <xf numFmtId="0" fontId="25" fillId="0" borderId="121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3" fontId="24" fillId="22" borderId="91" xfId="0" applyNumberFormat="1" applyFont="1" applyFill="1" applyBorder="1" applyAlignment="1">
      <alignment horizontal="center" vertical="center"/>
    </xf>
    <xf numFmtId="3" fontId="25" fillId="22" borderId="118" xfId="0" applyNumberFormat="1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86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3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68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3" fillId="0" borderId="16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41" xfId="0" applyFont="1" applyBorder="1"/>
    <xf numFmtId="3" fontId="25" fillId="25" borderId="10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3" fontId="25" fillId="22" borderId="118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73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12" xfId="4" applyNumberFormat="1" applyFont="1" applyFill="1" applyBorder="1" applyAlignment="1">
      <alignment horizontal="center" vertical="center" wrapText="1"/>
    </xf>
    <xf numFmtId="0" fontId="0" fillId="0" borderId="46" xfId="0" applyFont="1" applyBorder="1"/>
    <xf numFmtId="0" fontId="20" fillId="2" borderId="20" xfId="0" applyFont="1" applyFill="1" applyBorder="1" applyAlignment="1">
      <alignment horizontal="center" vertical="center" wrapText="1"/>
    </xf>
    <xf numFmtId="3" fontId="25" fillId="2" borderId="186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" xfId="4" applyNumberFormat="1" applyFont="1" applyFill="1" applyBorder="1" applyAlignment="1">
      <alignment horizontal="center" vertical="center" wrapText="1"/>
    </xf>
    <xf numFmtId="0" fontId="32" fillId="0" borderId="177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17" xfId="4" applyFont="1" applyFill="1" applyBorder="1" applyAlignment="1">
      <alignment horizontal="center" vertical="center"/>
    </xf>
    <xf numFmtId="0" fontId="27" fillId="8" borderId="177" xfId="4" applyFont="1" applyFill="1" applyBorder="1" applyAlignment="1">
      <alignment horizontal="center" vertical="center"/>
    </xf>
    <xf numFmtId="0" fontId="27" fillId="8" borderId="118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3" fontId="25" fillId="23" borderId="118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12" xfId="6" applyFont="1" applyBorder="1" applyAlignment="1">
      <alignment horizontal="center" vertical="center" wrapText="1"/>
    </xf>
    <xf numFmtId="3" fontId="25" fillId="22" borderId="173" xfId="0" applyNumberFormat="1" applyFont="1" applyFill="1" applyBorder="1" applyAlignment="1">
      <alignment horizontal="center" vertical="top"/>
    </xf>
    <xf numFmtId="3" fontId="25" fillId="22" borderId="35" xfId="0" applyNumberFormat="1" applyFont="1" applyFill="1" applyBorder="1" applyAlignment="1">
      <alignment horizontal="center" vertical="top"/>
    </xf>
    <xf numFmtId="3" fontId="25" fillId="2" borderId="117" xfId="4" applyNumberFormat="1" applyFont="1" applyFill="1" applyBorder="1" applyAlignment="1">
      <alignment horizontal="center" vertical="center" wrapText="1"/>
    </xf>
    <xf numFmtId="0" fontId="32" fillId="0" borderId="118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0" fontId="21" fillId="0" borderId="183" xfId="0" applyFont="1" applyFill="1" applyBorder="1" applyAlignment="1">
      <alignment horizontal="center" vertical="center" wrapText="1"/>
    </xf>
    <xf numFmtId="3" fontId="25" fillId="25" borderId="118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" borderId="118" xfId="4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43" fontId="25" fillId="0" borderId="15" xfId="1" applyFont="1" applyBorder="1" applyAlignment="1">
      <alignment horizontal="center" vertical="center" wrapText="1"/>
    </xf>
    <xf numFmtId="43" fontId="25" fillId="0" borderId="12" xfId="1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4" fillId="34" borderId="173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25" xfId="0" applyBorder="1"/>
    <xf numFmtId="0" fontId="0" fillId="0" borderId="11" xfId="0" applyFont="1" applyBorder="1"/>
    <xf numFmtId="0" fontId="24" fillId="2" borderId="178" xfId="4" applyFont="1" applyFill="1" applyBorder="1" applyAlignment="1">
      <alignment horizontal="center" vertical="center" wrapText="1"/>
    </xf>
    <xf numFmtId="3" fontId="24" fillId="22" borderId="162" xfId="4" applyNumberFormat="1" applyFont="1" applyFill="1" applyBorder="1" applyAlignment="1">
      <alignment horizontal="center" vertical="center"/>
    </xf>
    <xf numFmtId="0" fontId="24" fillId="2" borderId="178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0" fontId="0" fillId="0" borderId="25" xfId="0" applyFont="1" applyBorder="1"/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78" xfId="4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horizontal="center" vertical="center" wrapText="1"/>
    </xf>
    <xf numFmtId="0" fontId="0" fillId="0" borderId="180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18" fillId="0" borderId="172" xfId="4" applyFont="1" applyFill="1" applyBorder="1" applyAlignment="1">
      <alignment horizontal="center" vertical="center" wrapText="1"/>
    </xf>
    <xf numFmtId="0" fontId="18" fillId="0" borderId="64" xfId="4" applyFont="1" applyFill="1" applyBorder="1" applyAlignment="1">
      <alignment horizontal="center" vertical="center" wrapText="1"/>
    </xf>
    <xf numFmtId="0" fontId="25" fillId="2" borderId="110" xfId="4" applyFont="1" applyFill="1" applyBorder="1" applyAlignment="1">
      <alignment horizontal="center" vertical="center" wrapText="1"/>
    </xf>
    <xf numFmtId="0" fontId="0" fillId="0" borderId="110" xfId="0" applyFont="1" applyBorder="1"/>
    <xf numFmtId="0" fontId="32" fillId="0" borderId="110" xfId="0" applyFont="1" applyBorder="1" applyAlignment="1">
      <alignment horizontal="center" vertical="center" wrapText="1"/>
    </xf>
    <xf numFmtId="3" fontId="25" fillId="22" borderId="173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18" fillId="0" borderId="17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5" fillId="2" borderId="27" xfId="4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41" xfId="0" applyBorder="1"/>
    <xf numFmtId="0" fontId="25" fillId="0" borderId="175" xfId="4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0" xfId="0" applyBorder="1"/>
    <xf numFmtId="0" fontId="0" fillId="0" borderId="22" xfId="0" applyBorder="1"/>
    <xf numFmtId="0" fontId="0" fillId="0" borderId="13" xfId="0" applyBorder="1"/>
    <xf numFmtId="0" fontId="0" fillId="0" borderId="12" xfId="0" applyBorder="1"/>
    <xf numFmtId="3" fontId="25" fillId="22" borderId="161" xfId="4" applyNumberFormat="1" applyFont="1" applyFill="1" applyBorder="1" applyAlignment="1">
      <alignment horizontal="center" vertical="center"/>
    </xf>
    <xf numFmtId="0" fontId="66" fillId="37" borderId="84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66" fillId="6" borderId="84" xfId="4" applyFont="1" applyFill="1" applyBorder="1" applyAlignment="1">
      <alignment horizontal="left" vertical="center"/>
    </xf>
    <xf numFmtId="0" fontId="0" fillId="6" borderId="50" xfId="0" applyFont="1" applyFill="1" applyBorder="1" applyAlignment="1">
      <alignment vertical="center"/>
    </xf>
    <xf numFmtId="0" fontId="66" fillId="37" borderId="84" xfId="4" applyFont="1" applyFill="1" applyBorder="1" applyAlignment="1">
      <alignment horizontal="left" vertical="center" wrapText="1"/>
    </xf>
    <xf numFmtId="0" fontId="0" fillId="37" borderId="50" xfId="0" applyFont="1" applyFill="1" applyBorder="1" applyAlignment="1">
      <alignment vertical="center" wrapText="1"/>
    </xf>
    <xf numFmtId="0" fontId="66" fillId="6" borderId="84" xfId="4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vertical="center" wrapText="1"/>
    </xf>
    <xf numFmtId="0" fontId="68" fillId="37" borderId="84" xfId="0" applyFont="1" applyFill="1" applyBorder="1" applyAlignment="1">
      <alignment horizontal="left" vertical="center"/>
    </xf>
    <xf numFmtId="0" fontId="68" fillId="37" borderId="50" xfId="0" applyFont="1" applyFill="1" applyBorder="1" applyAlignment="1">
      <alignment horizontal="left" vertical="center"/>
    </xf>
    <xf numFmtId="0" fontId="66" fillId="37" borderId="66" xfId="4" applyFont="1" applyFill="1" applyBorder="1" applyAlignment="1">
      <alignment horizontal="left" vertical="center" wrapText="1"/>
    </xf>
    <xf numFmtId="0" fontId="0" fillId="37" borderId="23" xfId="0" applyFont="1" applyFill="1" applyBorder="1" applyAlignment="1">
      <alignment vertical="center" wrapText="1"/>
    </xf>
    <xf numFmtId="0" fontId="76" fillId="0" borderId="1" xfId="4" applyFont="1" applyFill="1" applyBorder="1" applyAlignment="1">
      <alignment horizontal="center" vertical="center" wrapText="1"/>
    </xf>
    <xf numFmtId="0" fontId="76" fillId="0" borderId="4" xfId="4" applyFont="1" applyFill="1" applyBorder="1" applyAlignment="1">
      <alignment horizontal="center" vertical="center" wrapText="1"/>
    </xf>
    <xf numFmtId="0" fontId="79" fillId="61" borderId="158" xfId="4" applyFont="1" applyFill="1" applyBorder="1" applyAlignment="1">
      <alignment horizontal="left" vertical="center" wrapText="1"/>
    </xf>
    <xf numFmtId="0" fontId="80" fillId="61" borderId="152" xfId="0" applyFont="1" applyFill="1" applyBorder="1" applyAlignment="1">
      <alignment vertical="center" wrapText="1"/>
    </xf>
    <xf numFmtId="0" fontId="79" fillId="6" borderId="82" xfId="4" applyFont="1" applyFill="1" applyBorder="1" applyAlignment="1">
      <alignment horizontal="left" vertical="center" wrapText="1"/>
    </xf>
    <xf numFmtId="0" fontId="80" fillId="6" borderId="9" xfId="0" applyFont="1" applyFill="1" applyBorder="1" applyAlignment="1">
      <alignment vertical="center" wrapText="1"/>
    </xf>
    <xf numFmtId="0" fontId="77" fillId="61" borderId="158" xfId="4" applyFont="1" applyFill="1" applyBorder="1" applyAlignment="1">
      <alignment horizontal="left" vertical="center" wrapText="1"/>
    </xf>
    <xf numFmtId="0" fontId="39" fillId="61" borderId="152" xfId="0" applyFont="1" applyFill="1" applyBorder="1" applyAlignment="1">
      <alignment vertical="center" wrapText="1"/>
    </xf>
    <xf numFmtId="0" fontId="77" fillId="6" borderId="82" xfId="4" applyFont="1" applyFill="1" applyBorder="1" applyAlignment="1">
      <alignment horizontal="left" vertical="center" wrapText="1"/>
    </xf>
    <xf numFmtId="0" fontId="39" fillId="6" borderId="9" xfId="0" applyFont="1" applyFill="1" applyBorder="1" applyAlignment="1">
      <alignment vertical="center" wrapText="1"/>
    </xf>
    <xf numFmtId="0" fontId="77" fillId="4" borderId="82" xfId="4" applyFont="1" applyFill="1" applyBorder="1" applyAlignment="1">
      <alignment horizontal="left" vertical="center"/>
    </xf>
    <xf numFmtId="0" fontId="39" fillId="4" borderId="9" xfId="0" applyFont="1" applyFill="1" applyBorder="1" applyAlignment="1">
      <alignment vertical="center"/>
    </xf>
    <xf numFmtId="0" fontId="77" fillId="6" borderId="81" xfId="4" applyFont="1" applyFill="1" applyBorder="1" applyAlignment="1">
      <alignment horizontal="left" vertical="center"/>
    </xf>
    <xf numFmtId="0" fontId="39" fillId="6" borderId="29" xfId="0" applyFont="1" applyFill="1" applyBorder="1" applyAlignment="1">
      <alignment vertical="center"/>
    </xf>
    <xf numFmtId="0" fontId="77" fillId="61" borderId="158" xfId="4" applyFont="1" applyFill="1" applyBorder="1" applyAlignment="1">
      <alignment horizontal="left" vertical="center"/>
    </xf>
    <xf numFmtId="0" fontId="39" fillId="61" borderId="152" xfId="0" applyFont="1" applyFill="1" applyBorder="1" applyAlignment="1">
      <alignment vertical="center"/>
    </xf>
    <xf numFmtId="0" fontId="77" fillId="6" borderId="82" xfId="4" applyFont="1" applyFill="1" applyBorder="1" applyAlignment="1">
      <alignment horizontal="left" vertical="center"/>
    </xf>
    <xf numFmtId="0" fontId="39" fillId="6" borderId="9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8" fillId="0" borderId="15" xfId="6" applyFont="1" applyBorder="1" applyAlignment="1">
      <alignment horizontal="center" vertical="center" wrapText="1"/>
    </xf>
    <xf numFmtId="0" fontId="88" fillId="0" borderId="35" xfId="6" applyFont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66FF66"/>
      <color rgb="FF00FF00"/>
      <color rgb="FFCCFF33"/>
      <color rgb="FFFFFF99"/>
      <color rgb="FFFFFF00"/>
      <color rgb="FFFF99FF"/>
      <color rgb="FF800000"/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76</xdr:row>
      <xdr:rowOff>0</xdr:rowOff>
    </xdr:from>
    <xdr:to>
      <xdr:col>17</xdr:col>
      <xdr:colOff>0</xdr:colOff>
      <xdr:row>76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Uchwa&#322;y/Sejmiku/stycze&#324;_24/stycze&#324;_24_WPF_zmiany_2019/stycze&#324;_zmiany%20WPF_Tabele%206_przedsi&#281;wziecia_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Maj/maj_29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115">
          <cell r="G115">
            <v>26461975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6">
          <cell r="M86">
            <v>34307447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D - Oświata"/>
      <sheetName val="Tab. 6H - Kultura fiz. i turyst"/>
      <sheetName val="Tab. 6C - Ochrona zdrowia"/>
      <sheetName val="Tab. 6E - Administracja"/>
      <sheetName val="Tab. 6F - Kultura"/>
      <sheetName val="Tab. 6G - Roln i ochrona środ."/>
      <sheetName val="Tab.6I - Planow. przestrz."/>
      <sheetName val="projekty UE"/>
      <sheetName val="Dane do WPF"/>
      <sheetName val="Arkusz1"/>
    </sheetNames>
    <sheetDataSet>
      <sheetData sheetId="0">
        <row r="16">
          <cell r="D16">
            <v>250000</v>
          </cell>
        </row>
      </sheetData>
      <sheetData sheetId="1">
        <row r="74">
          <cell r="J74">
            <v>3176618048</v>
          </cell>
        </row>
      </sheetData>
      <sheetData sheetId="2">
        <row r="8">
          <cell r="D8">
            <v>986839735</v>
          </cell>
        </row>
      </sheetData>
      <sheetData sheetId="3">
        <row r="7">
          <cell r="D7">
            <v>138408529</v>
          </cell>
        </row>
      </sheetData>
      <sheetData sheetId="4">
        <row r="9">
          <cell r="D9">
            <v>1408272</v>
          </cell>
        </row>
      </sheetData>
      <sheetData sheetId="5">
        <row r="7">
          <cell r="D7">
            <v>101294089</v>
          </cell>
        </row>
        <row r="74">
          <cell r="D74">
            <v>7500000</v>
          </cell>
        </row>
      </sheetData>
      <sheetData sheetId="6">
        <row r="6">
          <cell r="D6">
            <v>38992820</v>
          </cell>
        </row>
      </sheetData>
      <sheetData sheetId="7">
        <row r="9">
          <cell r="D9">
            <v>335590850</v>
          </cell>
        </row>
        <row r="20">
          <cell r="D20">
            <v>271743700</v>
          </cell>
        </row>
        <row r="27">
          <cell r="D27">
            <v>1966760</v>
          </cell>
        </row>
        <row r="35">
          <cell r="D35">
            <v>1964760</v>
          </cell>
        </row>
        <row r="39">
          <cell r="D39">
            <v>1304492</v>
          </cell>
        </row>
        <row r="54">
          <cell r="D54">
            <v>1234943</v>
          </cell>
        </row>
        <row r="60">
          <cell r="D60">
            <v>12448</v>
          </cell>
        </row>
        <row r="66">
          <cell r="D66">
            <v>11826</v>
          </cell>
        </row>
        <row r="72">
          <cell r="D72">
            <v>8902458</v>
          </cell>
        </row>
        <row r="77">
          <cell r="D77">
            <v>8902458</v>
          </cell>
        </row>
        <row r="83">
          <cell r="D83">
            <v>41857</v>
          </cell>
        </row>
        <row r="88">
          <cell r="D88">
            <v>41857</v>
          </cell>
        </row>
        <row r="93">
          <cell r="D93">
            <v>217427656</v>
          </cell>
        </row>
        <row r="115">
          <cell r="D115">
            <v>182654787</v>
          </cell>
        </row>
        <row r="119">
          <cell r="D119">
            <v>2776726</v>
          </cell>
        </row>
        <row r="124">
          <cell r="D124">
            <v>2741069</v>
          </cell>
        </row>
        <row r="138">
          <cell r="D138">
            <v>98152110</v>
          </cell>
        </row>
        <row r="147">
          <cell r="D147">
            <v>69250000</v>
          </cell>
        </row>
        <row r="220">
          <cell r="D220">
            <v>4936236</v>
          </cell>
        </row>
        <row r="231">
          <cell r="D231">
            <v>5764</v>
          </cell>
        </row>
        <row r="253">
          <cell r="D253">
            <v>82293135</v>
          </cell>
        </row>
        <row r="259">
          <cell r="D259">
            <v>685000</v>
          </cell>
        </row>
      </sheetData>
      <sheetData sheetId="8">
        <row r="7">
          <cell r="D7">
            <v>133145158</v>
          </cell>
        </row>
      </sheetData>
      <sheetData sheetId="9">
        <row r="8">
          <cell r="D8">
            <v>43479650</v>
          </cell>
        </row>
      </sheetData>
      <sheetData sheetId="10">
        <row r="8">
          <cell r="D8">
            <v>54820691</v>
          </cell>
        </row>
        <row r="19">
          <cell r="D19">
            <v>51913751</v>
          </cell>
        </row>
        <row r="32">
          <cell r="D32">
            <v>816583</v>
          </cell>
        </row>
        <row r="41">
          <cell r="D41">
            <v>761593</v>
          </cell>
        </row>
        <row r="57">
          <cell r="D57">
            <v>393255</v>
          </cell>
        </row>
        <row r="68">
          <cell r="D68">
            <v>4335</v>
          </cell>
        </row>
        <row r="80">
          <cell r="D80">
            <v>49937985</v>
          </cell>
        </row>
      </sheetData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E7">
            <v>553999809</v>
          </cell>
        </row>
        <row r="40">
          <cell r="K40">
            <v>1335657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5"/>
  <sheetViews>
    <sheetView showGridLines="0" tabSelected="1" view="pageBreakPreview" zoomScale="90" zoomScaleNormal="110" zoomScaleSheetLayoutView="90" workbookViewId="0">
      <selection activeCell="A346" sqref="A346:A352"/>
    </sheetView>
  </sheetViews>
  <sheetFormatPr defaultColWidth="9.140625" defaultRowHeight="12.75" outlineLevelCol="1"/>
  <cols>
    <col min="1" max="1" width="49.140625" style="745" customWidth="1"/>
    <col min="2" max="2" width="16" style="746" customWidth="1"/>
    <col min="3" max="3" width="15.85546875" style="746" customWidth="1"/>
    <col min="4" max="8" width="14" style="746" customWidth="1"/>
    <col min="9" max="9" width="14" style="746" hidden="1" customWidth="1"/>
    <col min="10" max="10" width="16.140625" style="745" customWidth="1"/>
    <col min="11" max="11" width="15.5703125" style="748" customWidth="1" outlineLevel="1"/>
    <col min="12" max="12" width="17.28515625" style="748" hidden="1" customWidth="1" outlineLevel="1"/>
    <col min="13" max="13" width="14.7109375" style="745" hidden="1" customWidth="1"/>
    <col min="14" max="14" width="14.28515625" style="745" hidden="1" customWidth="1"/>
    <col min="15" max="15" width="0" style="745" hidden="1" customWidth="1"/>
    <col min="16" max="16" width="15.28515625" style="745" hidden="1" customWidth="1"/>
    <col min="17" max="17" width="14" style="745" hidden="1" customWidth="1"/>
    <col min="18" max="28" width="0" style="745" hidden="1" customWidth="1"/>
    <col min="29" max="16384" width="9.140625" style="745"/>
  </cols>
  <sheetData>
    <row r="1" spans="1:17" ht="23.25" customHeight="1">
      <c r="A1" s="744"/>
      <c r="D1" s="747"/>
      <c r="F1" s="747"/>
      <c r="G1" s="747"/>
      <c r="H1" s="747"/>
      <c r="I1" s="747"/>
    </row>
    <row r="2" spans="1:17" ht="15">
      <c r="C2" s="750"/>
      <c r="D2" s="750"/>
      <c r="F2" s="750"/>
      <c r="G2" s="750"/>
      <c r="H2" s="747" t="s">
        <v>315</v>
      </c>
      <c r="I2" s="747"/>
      <c r="J2" s="749"/>
    </row>
    <row r="3" spans="1:17" ht="13.5" thickBot="1">
      <c r="B3" s="753"/>
      <c r="C3" s="750"/>
      <c r="D3" s="750"/>
      <c r="E3" s="750"/>
      <c r="F3" s="750"/>
      <c r="G3" s="750"/>
      <c r="H3" s="750"/>
      <c r="I3" s="750"/>
      <c r="J3" s="749"/>
    </row>
    <row r="4" spans="1:17" ht="12.75" customHeight="1">
      <c r="A4" s="746"/>
      <c r="C4" s="257"/>
      <c r="D4" s="257"/>
      <c r="E4" s="257"/>
      <c r="F4" s="257"/>
      <c r="G4" s="257"/>
      <c r="H4" s="257"/>
      <c r="I4" s="257"/>
      <c r="J4" s="2960"/>
      <c r="K4" s="1208"/>
      <c r="L4" s="902"/>
      <c r="M4" s="901"/>
      <c r="N4" s="2854"/>
    </row>
    <row r="5" spans="1:17" ht="72" customHeight="1">
      <c r="A5" s="3619" t="s">
        <v>0</v>
      </c>
      <c r="B5" s="3619"/>
      <c r="C5" s="3619"/>
      <c r="D5" s="3619"/>
      <c r="E5" s="3619"/>
      <c r="F5" s="3619"/>
      <c r="G5" s="3619"/>
      <c r="H5" s="3619"/>
      <c r="I5" s="3619"/>
      <c r="J5" s="3619"/>
      <c r="K5" s="2651"/>
      <c r="L5" s="1208"/>
      <c r="M5" s="746"/>
      <c r="N5" s="2855"/>
    </row>
    <row r="6" spans="1:17" ht="12" customHeight="1">
      <c r="A6" s="751"/>
      <c r="B6" s="751"/>
      <c r="C6" s="1809"/>
      <c r="D6" s="751"/>
      <c r="E6" s="751"/>
      <c r="F6" s="751"/>
      <c r="G6" s="751"/>
      <c r="H6" s="751"/>
      <c r="I6" s="751"/>
      <c r="J6" s="751"/>
      <c r="K6" s="1208"/>
      <c r="L6" s="1208"/>
      <c r="M6" s="746"/>
      <c r="N6" s="2855"/>
    </row>
    <row r="7" spans="1:17" ht="48.75" customHeight="1" thickBot="1">
      <c r="A7" s="3620" t="s">
        <v>1</v>
      </c>
      <c r="B7" s="3620"/>
      <c r="C7" s="3620"/>
      <c r="D7" s="3620"/>
      <c r="E7" s="3620"/>
      <c r="F7" s="3620"/>
      <c r="G7" s="3620"/>
      <c r="H7" s="3620"/>
      <c r="I7" s="3620"/>
      <c r="J7" s="3620"/>
      <c r="K7" s="969"/>
      <c r="L7" s="1208"/>
      <c r="M7" s="746"/>
      <c r="N7" s="2855"/>
    </row>
    <row r="8" spans="1:17" s="746" customFormat="1" ht="24.75" customHeight="1">
      <c r="A8" s="752"/>
      <c r="B8" s="3624" t="s">
        <v>240</v>
      </c>
      <c r="C8" s="3633" t="s">
        <v>556</v>
      </c>
      <c r="D8" s="3609" t="s">
        <v>539</v>
      </c>
      <c r="E8" s="3610"/>
      <c r="F8" s="3610"/>
      <c r="G8" s="3610"/>
      <c r="H8" s="3611"/>
      <c r="I8" s="3630">
        <v>2024</v>
      </c>
      <c r="J8" s="3621" t="s">
        <v>3</v>
      </c>
      <c r="K8" s="3604" t="s">
        <v>536</v>
      </c>
      <c r="L8" s="753"/>
      <c r="N8" s="2855"/>
    </row>
    <row r="9" spans="1:17" ht="27" customHeight="1">
      <c r="A9" s="754" t="s">
        <v>4</v>
      </c>
      <c r="B9" s="3625"/>
      <c r="C9" s="3634"/>
      <c r="D9" s="3612"/>
      <c r="E9" s="3613"/>
      <c r="F9" s="3613"/>
      <c r="G9" s="3613"/>
      <c r="H9" s="3614"/>
      <c r="I9" s="3631"/>
      <c r="J9" s="3622"/>
      <c r="K9" s="3605"/>
      <c r="L9" s="753" t="s">
        <v>2</v>
      </c>
      <c r="M9" s="746"/>
      <c r="N9" s="2855"/>
      <c r="P9" s="745" t="s">
        <v>535</v>
      </c>
    </row>
    <row r="10" spans="1:17" ht="19.5" customHeight="1" thickBot="1">
      <c r="A10" s="754"/>
      <c r="B10" s="755" t="s">
        <v>538</v>
      </c>
      <c r="C10" s="756" t="s">
        <v>5</v>
      </c>
      <c r="D10" s="756" t="s">
        <v>193</v>
      </c>
      <c r="E10" s="756" t="s">
        <v>194</v>
      </c>
      <c r="F10" s="756" t="s">
        <v>234</v>
      </c>
      <c r="G10" s="756" t="s">
        <v>235</v>
      </c>
      <c r="H10" s="2856" t="s">
        <v>233</v>
      </c>
      <c r="I10" s="3632"/>
      <c r="J10" s="3623"/>
      <c r="K10" s="3605"/>
      <c r="L10" s="261"/>
      <c r="M10" s="753"/>
      <c r="N10" s="2855"/>
    </row>
    <row r="11" spans="1:17" ht="13.5" customHeight="1" thickBot="1">
      <c r="A11" s="758">
        <v>1</v>
      </c>
      <c r="B11" s="759">
        <v>2</v>
      </c>
      <c r="C11" s="759">
        <v>3</v>
      </c>
      <c r="D11" s="760">
        <v>4</v>
      </c>
      <c r="E11" s="761">
        <v>5</v>
      </c>
      <c r="F11" s="762">
        <v>6</v>
      </c>
      <c r="G11" s="759">
        <v>7</v>
      </c>
      <c r="H11" s="762">
        <v>8</v>
      </c>
      <c r="I11" s="2654"/>
      <c r="J11" s="1387">
        <v>9</v>
      </c>
      <c r="K11" s="763">
        <v>10</v>
      </c>
      <c r="L11" s="1208"/>
      <c r="M11" s="3602" t="s">
        <v>40</v>
      </c>
      <c r="N11" s="3603"/>
    </row>
    <row r="12" spans="1:17" s="767" customFormat="1" ht="18.75" customHeight="1">
      <c r="A12" s="764" t="s">
        <v>6</v>
      </c>
      <c r="B12" s="765">
        <f>+B13+B14</f>
        <v>159420630</v>
      </c>
      <c r="C12" s="765">
        <f t="shared" ref="C12" si="0">+C13+C14</f>
        <v>137186375</v>
      </c>
      <c r="D12" s="765">
        <f t="shared" ref="D12:H12" si="1">+D13+D14</f>
        <v>396974442</v>
      </c>
      <c r="E12" s="765">
        <f t="shared" si="1"/>
        <v>364710355</v>
      </c>
      <c r="F12" s="765">
        <f t="shared" si="1"/>
        <v>142915485</v>
      </c>
      <c r="G12" s="765">
        <f t="shared" si="1"/>
        <v>57643472</v>
      </c>
      <c r="H12" s="765">
        <f t="shared" si="1"/>
        <v>33631245</v>
      </c>
      <c r="I12" s="765" t="e">
        <f>+I13+I14</f>
        <v>#REF!</v>
      </c>
      <c r="J12" s="1388">
        <f>+J13+J14</f>
        <v>1292482004</v>
      </c>
      <c r="K12" s="766">
        <f>+K13+K14</f>
        <v>995874999</v>
      </c>
      <c r="L12" s="2655"/>
      <c r="M12" s="360"/>
      <c r="N12" s="2857"/>
      <c r="P12" s="2377">
        <v>898829129</v>
      </c>
      <c r="Q12" s="2377">
        <f>K12-P12</f>
        <v>97045870</v>
      </c>
    </row>
    <row r="13" spans="1:17" s="767" customFormat="1" ht="17.25" customHeight="1">
      <c r="A13" s="768" t="s">
        <v>7</v>
      </c>
      <c r="B13" s="769">
        <f>+'Tab. 6B Polit społ i rozwój prz'!E8+'Tab. 6D - Oświata'!E10+'Tab. 6A -Drogi'!E9+'Tab. 6E - Administracja'!E10+'Tab. 6G - Roln i ochrona środ.'!E9+'Tab. 6H - Kultura fiz. i turyst'!E8+'Tab.6I - Planow. przestrz.'!E9+'Tab. 6C - Ochrona zdrowia'!E7</f>
        <v>91134677</v>
      </c>
      <c r="C13" s="769">
        <f>+'Tab. 6B Polit społ i rozwój prz'!F8+'Tab. 6D - Oświata'!F10+'Tab. 6A -Drogi'!F9+'Tab. 6E - Administracja'!F10+'Tab. 6G - Roln i ochrona środ.'!F9+'Tab. 6H - Kultura fiz. i turyst'!F8+'Tab.6I - Planow. przestrz.'!F9+'Tab. 6C - Ochrona zdrowia'!F7</f>
        <v>58510697</v>
      </c>
      <c r="D13" s="769">
        <f>+'Tab. 6B Polit społ i rozwój prz'!G8+'Tab. 6D - Oświata'!G10+'Tab. 6A -Drogi'!G9+'Tab. 6E - Administracja'!G10+'Tab. 6G - Roln i ochrona środ.'!G9+'Tab. 6H - Kultura fiz. i turyst'!G8+'Tab.6I - Planow. przestrz.'!G9+'Tab. 6C - Ochrona zdrowia'!G7</f>
        <v>90619496</v>
      </c>
      <c r="E13" s="769">
        <f>+'Tab. 6B Polit społ i rozwój prz'!H8+'Tab. 6D - Oświata'!H10+'Tab. 6A -Drogi'!H9+'Tab. 6E - Administracja'!H10+'Tab. 6G - Roln i ochrona środ.'!H9+'Tab. 6H - Kultura fiz. i turyst'!H8+'Tab.6I - Planow. przestrz.'!H9+'Tab. 6C - Ochrona zdrowia'!H7</f>
        <v>63073156</v>
      </c>
      <c r="F13" s="769">
        <f>+'Tab. 6B Polit społ i rozwój prz'!I8+'Tab. 6D - Oświata'!I10+'Tab. 6A -Drogi'!I9+'Tab. 6E - Administracja'!I10+'Tab. 6G - Roln i ochrona środ.'!I9+'Tab. 6H - Kultura fiz. i turyst'!I8+'Tab.6I - Planow. przestrz.'!I9+'Tab. 6C - Ochrona zdrowia'!I7</f>
        <v>44007519</v>
      </c>
      <c r="G13" s="769">
        <f>+'Tab. 6B Polit społ i rozwój prz'!J8+'Tab. 6D - Oświata'!J10+'Tab. 6A -Drogi'!J9+'Tab. 6E - Administracja'!J10+'Tab. 6G - Roln i ochrona środ.'!J9+'Tab. 6H - Kultura fiz. i turyst'!J8+'Tab.6I - Planow. przestrz.'!J9+'Tab. 6C - Ochrona zdrowia'!J7</f>
        <v>39207718</v>
      </c>
      <c r="H13" s="769">
        <f>+'Tab. 6B Polit społ i rozwój prz'!K8+'Tab. 6D - Oświata'!K10+'Tab. 6A -Drogi'!K9+'Tab. 6E - Administracja'!K10+'Tab. 6G - Roln i ochrona środ.'!K9+'Tab. 6H - Kultura fiz. i turyst'!K8+'Tab.6I - Planow. przestrz.'!K9+'Tab. 6C - Ochrona zdrowia'!K7</f>
        <v>33485204</v>
      </c>
      <c r="I13" s="2656" t="e">
        <f>+'Tab. 6B Polit społ i rozwój prz'!L8+'Tab. 6D - Oświata'!L10+'Tab. 6A -Drogi'!L9+'Tab. 6E - Administracja'!L10+'Tab. 6G - Roln i ochrona środ.'!L9+'Tab. 6H - Kultura fiz. i turyst'!L8+'Tab.6I - Planow. przestrz.'!L9</f>
        <v>#REF!</v>
      </c>
      <c r="J13" s="1389">
        <f>'Tab. 6A -Drogi'!D9+'Tab. 6B Polit społ i rozwój prz'!D8+'Tab. 6D - Oświata'!D10+'Tab. 6E - Administracja'!D10+'Tab. 6G - Roln i ochrona środ.'!D9+'Tab. 6H - Kultura fiz. i turyst'!D8+'Tab.6I - Planow. przestrz.'!D9+'Tab. 6C - Ochrona zdrowia'!D7</f>
        <v>420038467</v>
      </c>
      <c r="K13" s="928">
        <f>SUM(D13:H13)</f>
        <v>270393093</v>
      </c>
      <c r="L13" s="2655"/>
      <c r="M13" s="360"/>
      <c r="N13" s="2858"/>
      <c r="P13" s="2377">
        <v>263278060</v>
      </c>
      <c r="Q13" s="2377">
        <f t="shared" ref="Q13:Q26" si="2">K13-P13</f>
        <v>7115033</v>
      </c>
    </row>
    <row r="14" spans="1:17" s="767" customFormat="1" ht="17.25" customHeight="1" thickBot="1">
      <c r="A14" s="771" t="s">
        <v>8</v>
      </c>
      <c r="B14" s="772">
        <f>+'Tab. 6D - Oświata'!E11+'Tab. 6A -Drogi'!E10+'Tab. 6E - Administracja'!E11+'Tab. 6G - Roln i ochrona środ.'!E10+'Tab. 6H - Kultura fiz. i turyst'!E9+'Tab. 6B Polit społ i rozwój prz'!E9+'Tab.6I - Planow. przestrz.'!E10</f>
        <v>68285953</v>
      </c>
      <c r="C14" s="772">
        <f>+'Tab. 6D - Oświata'!F11+'Tab. 6A -Drogi'!F10+'Tab. 6E - Administracja'!F11+'Tab. 6G - Roln i ochrona środ.'!F10+'Tab. 6H - Kultura fiz. i turyst'!F9+'Tab. 6B Polit społ i rozwój prz'!F9+'Tab.6I - Planow. przestrz.'!F10+'Tab. 6C - Ochrona zdrowia'!F8</f>
        <v>78675678</v>
      </c>
      <c r="D14" s="772">
        <f>+'Tab. 6D - Oświata'!G11+'Tab. 6A -Drogi'!G10+'Tab. 6E - Administracja'!G11+'Tab. 6G - Roln i ochrona środ.'!G10+'Tab. 6H - Kultura fiz. i turyst'!G9+'Tab. 6B Polit społ i rozwój prz'!G9+'Tab.6I - Planow. przestrz.'!G10+'Tab. 6C - Ochrona zdrowia'!G8</f>
        <v>306354946</v>
      </c>
      <c r="E14" s="772">
        <f>+'Tab. 6D - Oświata'!H11+'Tab. 6A -Drogi'!H10+'Tab. 6E - Administracja'!H11+'Tab. 6G - Roln i ochrona środ.'!H10+'Tab. 6H - Kultura fiz. i turyst'!H9+'Tab. 6B Polit społ i rozwój prz'!H9+'Tab.6I - Planow. przestrz.'!H10+'Tab. 6C - Ochrona zdrowia'!H8</f>
        <v>301637199</v>
      </c>
      <c r="F14" s="772">
        <f>+'Tab. 6D - Oświata'!I11+'Tab. 6A -Drogi'!I10+'Tab. 6E - Administracja'!I11+'Tab. 6G - Roln i ochrona środ.'!I10+'Tab. 6H - Kultura fiz. i turyst'!I9+'Tab. 6B Polit społ i rozwój prz'!I9+'Tab.6I - Planow. przestrz.'!I10+'Tab. 6C - Ochrona zdrowia'!I8</f>
        <v>98907966</v>
      </c>
      <c r="G14" s="772">
        <f>+'Tab. 6D - Oświata'!J11+'Tab. 6A -Drogi'!J10+'Tab. 6E - Administracja'!J11+'Tab. 6G - Roln i ochrona środ.'!J10+'Tab. 6H - Kultura fiz. i turyst'!J9+'Tab. 6B Polit społ i rozwój prz'!J9+'Tab.6I - Planow. przestrz.'!J10+'Tab. 6C - Ochrona zdrowia'!J8</f>
        <v>18435754</v>
      </c>
      <c r="H14" s="772">
        <f>+'Tab. 6D - Oświata'!K11+'Tab. 6A -Drogi'!K10+'Tab. 6E - Administracja'!K11+'Tab. 6G - Roln i ochrona środ.'!K10+'Tab. 6H - Kultura fiz. i turyst'!K9+'Tab. 6B Polit społ i rozwój prz'!K9+'Tab.6I - Planow. przestrz.'!K10+'Tab. 6C - Ochrona zdrowia'!K8</f>
        <v>146041</v>
      </c>
      <c r="I14" s="2657">
        <f>+'Tab. 6D - Oświata'!L11+'Tab. 6A -Drogi'!L10+'Tab. 6E - Administracja'!L11+'Tab. 6G - Roln i ochrona środ.'!L10+'Tab. 6H - Kultura fiz. i turyst'!L9+'Tab. 6B Polit społ i rozwój prz'!L9+'Tab.6I - Planow. przestrz.'!L10</f>
        <v>0</v>
      </c>
      <c r="J14" s="1390">
        <f>'Tab. 6A -Drogi'!D10+'Tab. 6B Polit społ i rozwój prz'!D9+'Tab. 6D - Oświata'!D11+'Tab. 6E - Administracja'!D11+'Tab. 6G - Roln i ochrona środ.'!D10+'Tab. 6H - Kultura fiz. i turyst'!D9+'Tab.6I - Planow. przestrz.'!D10+'Tab. 6C - Ochrona zdrowia'!D8</f>
        <v>872443537</v>
      </c>
      <c r="K14" s="929">
        <f>SUM(D14:H14)</f>
        <v>725481906</v>
      </c>
      <c r="L14" s="2655">
        <f>J14-B14-I14-C14-D14-E14-F14-G14-H14</f>
        <v>0</v>
      </c>
      <c r="M14" s="360">
        <f t="shared" ref="M14:M26" si="3">+I14+C14+D14+E14+F14+G14+H14+B14</f>
        <v>872443537</v>
      </c>
      <c r="N14" s="2858">
        <f t="shared" ref="N14:N26" si="4">J14-M14</f>
        <v>0</v>
      </c>
      <c r="P14" s="2377">
        <v>635551069</v>
      </c>
      <c r="Q14" s="2377">
        <f t="shared" si="2"/>
        <v>89930837</v>
      </c>
    </row>
    <row r="15" spans="1:17" s="361" customFormat="1">
      <c r="A15" s="773"/>
      <c r="B15" s="774"/>
      <c r="C15" s="774"/>
      <c r="D15" s="774"/>
      <c r="E15" s="774"/>
      <c r="F15" s="774"/>
      <c r="G15" s="774"/>
      <c r="H15" s="774"/>
      <c r="I15" s="774"/>
      <c r="J15" s="774"/>
      <c r="K15" s="1400"/>
      <c r="L15" s="786"/>
      <c r="M15" s="360">
        <f t="shared" si="3"/>
        <v>0</v>
      </c>
      <c r="N15" s="2858">
        <f t="shared" si="4"/>
        <v>0</v>
      </c>
      <c r="P15" s="2377">
        <v>0</v>
      </c>
      <c r="Q15" s="2377">
        <f t="shared" si="2"/>
        <v>0</v>
      </c>
    </row>
    <row r="16" spans="1:17" s="775" customFormat="1" ht="18" customHeight="1">
      <c r="A16" s="2859" t="s">
        <v>9</v>
      </c>
      <c r="B16" s="2860">
        <f t="shared" ref="B16:K16" si="5">+B17+B24</f>
        <v>160115242.30000001</v>
      </c>
      <c r="C16" s="2860">
        <f t="shared" si="5"/>
        <v>137403312</v>
      </c>
      <c r="D16" s="2860">
        <f t="shared" si="5"/>
        <v>398539965</v>
      </c>
      <c r="E16" s="2860">
        <f t="shared" si="5"/>
        <v>364802117</v>
      </c>
      <c r="F16" s="2860">
        <f t="shared" si="5"/>
        <v>142992285</v>
      </c>
      <c r="G16" s="2860">
        <f t="shared" si="5"/>
        <v>57720272</v>
      </c>
      <c r="H16" s="2860">
        <f t="shared" si="5"/>
        <v>33695657</v>
      </c>
      <c r="I16" s="2860">
        <f>+I17+I24</f>
        <v>0</v>
      </c>
      <c r="J16" s="1391">
        <f t="shared" si="5"/>
        <v>1295268850.3</v>
      </c>
      <c r="K16" s="2861">
        <f t="shared" si="5"/>
        <v>995874999</v>
      </c>
      <c r="L16" s="2550"/>
      <c r="M16" s="360">
        <f t="shared" si="3"/>
        <v>1295268850.3</v>
      </c>
      <c r="N16" s="2858">
        <f t="shared" si="4"/>
        <v>0</v>
      </c>
      <c r="P16" s="2377">
        <f>898041303+C23</f>
        <v>898258240</v>
      </c>
      <c r="Q16" s="2377">
        <f t="shared" si="2"/>
        <v>97616759</v>
      </c>
    </row>
    <row r="17" spans="1:17" s="779" customFormat="1" ht="17.25" customHeight="1">
      <c r="A17" s="776" t="s">
        <v>10</v>
      </c>
      <c r="B17" s="777">
        <f t="shared" ref="B17:H17" si="6">SUM(B18:B23)</f>
        <v>31113513.300000001</v>
      </c>
      <c r="C17" s="777">
        <f t="shared" si="6"/>
        <v>23920109</v>
      </c>
      <c r="D17" s="777">
        <f>SUM(D18:D23)</f>
        <v>82719960</v>
      </c>
      <c r="E17" s="777">
        <f t="shared" si="6"/>
        <v>79624091</v>
      </c>
      <c r="F17" s="777">
        <f>SUM(F18:F23)</f>
        <v>37585089</v>
      </c>
      <c r="G17" s="777">
        <f>SUM(G18:G23)</f>
        <v>18717212</v>
      </c>
      <c r="H17" s="777">
        <f t="shared" si="6"/>
        <v>4557249</v>
      </c>
      <c r="I17" s="777">
        <f>SUM(I18:I23)</f>
        <v>0</v>
      </c>
      <c r="J17" s="1392">
        <f>SUM(J18:J23)</f>
        <v>278237223.30000001</v>
      </c>
      <c r="K17" s="778">
        <f>SUM(K18:K23)</f>
        <v>221328304</v>
      </c>
      <c r="L17" s="2550"/>
      <c r="M17" s="360">
        <f t="shared" si="3"/>
        <v>278237223.30000001</v>
      </c>
      <c r="N17" s="2858">
        <f t="shared" si="4"/>
        <v>0</v>
      </c>
      <c r="P17" s="2377">
        <f>175795075+C23</f>
        <v>176012012</v>
      </c>
      <c r="Q17" s="2377">
        <f t="shared" si="2"/>
        <v>45316292</v>
      </c>
    </row>
    <row r="18" spans="1:17" s="361" customFormat="1" ht="14.25" customHeight="1">
      <c r="A18" s="780" t="s">
        <v>11</v>
      </c>
      <c r="B18" s="781">
        <f>+'Tab. 6B Polit społ i rozwój prz'!E12+'Tab. 6D - Oświata'!E14+'Tab. 6A -Drogi'!E13+'Tab. 6E - Administracja'!E14+'Tab. 6G - Roln i ochrona środ.'!E13+'Tab. 6H - Kultura fiz. i turyst'!E12+'Tab.6I - Planow. przestrz.'!E13+0.3</f>
        <v>21515418.300000001</v>
      </c>
      <c r="C18" s="781">
        <f>+'Tab. 6B Polit społ i rozwój prz'!F12+'Tab. 6D - Oświata'!F14+'Tab. 6A -Drogi'!F13+'Tab. 6E - Administracja'!F14+'Tab. 6G - Roln i ochrona środ.'!F13+'Tab. 6H - Kultura fiz. i turyst'!F12+'Tab.6I - Planow. przestrz.'!F13+'Tab. 6C - Ochrona zdrowia'!F11</f>
        <v>17635247</v>
      </c>
      <c r="D18" s="781">
        <f>+'Tab. 6B Polit społ i rozwój prz'!G12+'Tab. 6D - Oświata'!G14+'Tab. 6A -Drogi'!G13+'Tab. 6E - Administracja'!G14+'Tab. 6G - Roln i ochrona środ.'!G13+'Tab. 6H - Kultura fiz. i turyst'!G12+'Tab.6I - Planow. przestrz.'!G13+'Tab. 6C - Ochrona zdrowia'!G11</f>
        <v>67315547</v>
      </c>
      <c r="E18" s="781">
        <f>+'Tab. 6B Polit społ i rozwój prz'!H12+'Tab. 6D - Oświata'!H14+'Tab. 6A -Drogi'!H13+'Tab. 6E - Administracja'!H14+'Tab. 6G - Roln i ochrona środ.'!H13+'Tab. 6H - Kultura fiz. i turyst'!H12+'Tab.6I - Planow. przestrz.'!H13+'Tab. 6C - Ochrona zdrowia'!H11</f>
        <v>71680244</v>
      </c>
      <c r="F18" s="781">
        <f>+'Tab. 6B Polit społ i rozwój prz'!I12+'Tab. 6D - Oświata'!I14+'Tab. 6A -Drogi'!I13+'Tab. 6E - Administracja'!I14+'Tab. 6G - Roln i ochrona środ.'!I13+'Tab. 6H - Kultura fiz. i turyst'!I12+'Tab.6I - Planow. przestrz.'!I13+'Tab. 6C - Ochrona zdrowia'!I11</f>
        <v>35546816</v>
      </c>
      <c r="G18" s="781">
        <f>+'Tab. 6B Polit społ i rozwój prz'!J12+'Tab. 6D - Oświata'!J14+'Tab. 6A -Drogi'!J13+'Tab. 6E - Administracja'!J14+'Tab. 6G - Roln i ochrona środ.'!J13+'Tab. 6H - Kultura fiz. i turyst'!J12+'Tab.6I - Planow. przestrz.'!J13+'Tab. 6C - Ochrona zdrowia'!J11</f>
        <v>17839346</v>
      </c>
      <c r="H18" s="781">
        <f>+'Tab. 6B Polit społ i rozwój prz'!K12+'Tab. 6D - Oświata'!K14+'Tab. 6A -Drogi'!K13+'Tab. 6E - Administracja'!K14+'Tab. 6G - Roln i ochrona środ.'!K13+'Tab. 6H - Kultura fiz. i turyst'!K12+'Tab.6I - Planow. przestrz.'!K13+'Tab. 6C - Ochrona zdrowia'!K11</f>
        <v>3852251</v>
      </c>
      <c r="I18" s="781">
        <f>+'Tab. 6B Polit społ i rozwój prz'!L12+'Tab. 6D - Oświata'!L14+'Tab. 6A -Drogi'!L13+'Tab. 6E - Administracja'!L14+'Tab. 6G - Roln i ochrona środ.'!L13+'Tab. 6H - Kultura fiz. i turyst'!L12+'Tab.6I - Planow. przestrz.'!L13</f>
        <v>0</v>
      </c>
      <c r="J18" s="1393">
        <f t="shared" ref="J18:J23" si="7">B18+I18+C18+D18+E18+F18+G18+H18</f>
        <v>235384869.30000001</v>
      </c>
      <c r="K18" s="770">
        <f>SUM(D18:H18)</f>
        <v>196234204</v>
      </c>
      <c r="L18" s="2550"/>
      <c r="M18" s="360">
        <f t="shared" si="3"/>
        <v>235384869.30000001</v>
      </c>
      <c r="N18" s="2858">
        <f t="shared" si="4"/>
        <v>0</v>
      </c>
      <c r="P18" s="2377">
        <v>152920631</v>
      </c>
      <c r="Q18" s="2377">
        <f t="shared" si="2"/>
        <v>43313573</v>
      </c>
    </row>
    <row r="19" spans="1:17" s="361" customFormat="1" ht="15.75" customHeight="1">
      <c r="A19" s="2862" t="s">
        <v>12</v>
      </c>
      <c r="B19" s="781">
        <f>+'Tab. 6B Polit społ i rozwój prz'!E13+'Tab. 6A -Drogi'!E14+'Tab. 6E - Administracja'!E15+'Tab. 6G - Roln i ochrona środ.'!E14+'Tab.6I - Planow. przestrz.'!E14</f>
        <v>4875121</v>
      </c>
      <c r="C19" s="781">
        <f>+'Tab. 6B Polit społ i rozwój prz'!F13+'Tab. 6A -Drogi'!F14+'Tab. 6E - Administracja'!F15+'Tab. 6G - Roln i ochrona środ.'!F14+'Tab.6I - Planow. przestrz.'!F14+'Tab. 6D - Oświata'!F15</f>
        <v>2778852</v>
      </c>
      <c r="D19" s="781">
        <f>+'Tab. 6B Polit społ i rozwój prz'!G13+'Tab. 6A -Drogi'!G14+'Tab. 6E - Administracja'!G15+'Tab. 6G - Roln i ochrona środ.'!G14+'Tab.6I - Planow. przestrz.'!G14+'Tab. 6D - Oświata'!G15</f>
        <v>5227356</v>
      </c>
      <c r="E19" s="781">
        <f>+'Tab. 6B Polit społ i rozwój prz'!H13+'Tab. 6A -Drogi'!H14+'Tab. 6E - Administracja'!H15+'Tab. 6G - Roln i ochrona środ.'!H14+'Tab.6I - Planow. przestrz.'!H14</f>
        <v>3331360</v>
      </c>
      <c r="F19" s="781">
        <f>+'Tab. 6B Polit społ i rozwój prz'!I13+'Tab. 6A -Drogi'!I14+'Tab. 6E - Administracja'!I15+'Tab. 6G - Roln i ochrona środ.'!I14+'Tab.6I - Planow. przestrz.'!I14</f>
        <v>1075392</v>
      </c>
      <c r="G19" s="781">
        <f>+'Tab. 6B Polit społ i rozwój prz'!J13+'Tab. 6A -Drogi'!J14+'Tab. 6E - Administracja'!J15+'Tab. 6G - Roln i ochrona środ.'!J14+'Tab.6I - Planow. przestrz.'!J14</f>
        <v>801066</v>
      </c>
      <c r="H19" s="781">
        <f>+'Tab. 6B Polit społ i rozwój prz'!K13+'Tab. 6A -Drogi'!K14+'Tab. 6E - Administracja'!K15+'Tab. 6G - Roln i ochrona środ.'!K14+'Tab.6I - Planow. przestrz.'!K14</f>
        <v>640586</v>
      </c>
      <c r="I19" s="781">
        <f>+'Tab. 6B Polit społ i rozwój prz'!L13+'Tab. 6A -Drogi'!L14+'Tab. 6E - Administracja'!L15+'Tab. 6G - Roln i ochrona środ.'!L14+'Tab.6I - Planow. przestrz.'!L14</f>
        <v>0</v>
      </c>
      <c r="J19" s="1393">
        <f t="shared" si="7"/>
        <v>18729733</v>
      </c>
      <c r="K19" s="770">
        <f>SUM(D19:H19)</f>
        <v>11075760</v>
      </c>
      <c r="L19" s="2550"/>
      <c r="M19" s="360">
        <f t="shared" si="3"/>
        <v>18729733</v>
      </c>
      <c r="N19" s="2858">
        <f t="shared" si="4"/>
        <v>0</v>
      </c>
      <c r="P19" s="2377">
        <v>10847721</v>
      </c>
      <c r="Q19" s="2377">
        <f t="shared" si="2"/>
        <v>228039</v>
      </c>
    </row>
    <row r="20" spans="1:17" s="361" customFormat="1" ht="15.75" customHeight="1">
      <c r="A20" s="2862" t="s">
        <v>14</v>
      </c>
      <c r="B20" s="2863">
        <f>+'Tab. 6A -Drogi'!E15+'Tab. 6H - Kultura fiz. i turyst'!E14</f>
        <v>4028362</v>
      </c>
      <c r="C20" s="781">
        <f>+'Tab. 6A -Drogi'!F15+'Tab. 6H - Kultura fiz. i turyst'!F14</f>
        <v>2770876</v>
      </c>
      <c r="D20" s="781">
        <f>+'Tab. 6A -Drogi'!G15+'Tab. 6H - Kultura fiz. i turyst'!G14</f>
        <v>4960663</v>
      </c>
      <c r="E20" s="2864">
        <f>+'Tab. 6A -Drogi'!H15+'Tab. 6H - Kultura fiz. i turyst'!H14</f>
        <v>0</v>
      </c>
      <c r="F20" s="2864">
        <f>+'Tab. 6A -Drogi'!I15+'Tab. 6H - Kultura fiz. i turyst'!I14</f>
        <v>0</v>
      </c>
      <c r="G20" s="2864">
        <f>+'Tab. 6A -Drogi'!J15+'Tab. 6H - Kultura fiz. i turyst'!J14</f>
        <v>0</v>
      </c>
      <c r="H20" s="2864">
        <f>+'Tab. 6A -Drogi'!K15+'Tab. 6H - Kultura fiz. i turyst'!K14</f>
        <v>0</v>
      </c>
      <c r="I20" s="781">
        <f>+'Tab. 6A -Drogi'!L15+'Tab. 6H - Kultura fiz. i turyst'!L14</f>
        <v>0</v>
      </c>
      <c r="J20" s="1393">
        <f t="shared" si="7"/>
        <v>11759901</v>
      </c>
      <c r="K20" s="770">
        <f>SUM(D20:H20)</f>
        <v>4960663</v>
      </c>
      <c r="L20" s="2550"/>
      <c r="M20" s="360">
        <f t="shared" si="3"/>
        <v>11759901</v>
      </c>
      <c r="N20" s="2858">
        <f t="shared" si="4"/>
        <v>0</v>
      </c>
      <c r="P20" s="2377">
        <v>4157433</v>
      </c>
      <c r="Q20" s="2377">
        <f t="shared" si="2"/>
        <v>803230</v>
      </c>
    </row>
    <row r="21" spans="1:17" s="361" customFormat="1" ht="15.75" customHeight="1">
      <c r="A21" s="2862" t="s">
        <v>15</v>
      </c>
      <c r="B21" s="2864">
        <f>+'Tab. 6A -Drogi'!E16+'Tab. 6G - Roln i ochrona środ.'!E15+'Tab. 6E - Administracja'!E16+'Tab. 6H - Kultura fiz. i turyst'!E13</f>
        <v>0</v>
      </c>
      <c r="C21" s="2865">
        <f>+'Tab. 6A -Drogi'!F16+'Tab. 6G - Roln i ochrona środ.'!F15+'Tab. 6E - Administracja'!F16+'Tab. 6H - Kultura fiz. i turyst'!F13</f>
        <v>320000</v>
      </c>
      <c r="D21" s="2864">
        <f>+'Tab. 6A -Drogi'!G16+'Tab. 6G - Roln i ochrona środ.'!G15+'Tab. 6E - Administracja'!G16+'Tab. 6H - Kultura fiz. i turyst'!G13</f>
        <v>0</v>
      </c>
      <c r="E21" s="2864">
        <f>+'Tab. 6A -Drogi'!H16+'Tab. 6G - Roln i ochrona środ.'!H15+'Tab. 6E - Administracja'!H16+'Tab. 6H - Kultura fiz. i turyst'!H13</f>
        <v>0</v>
      </c>
      <c r="F21" s="2864">
        <f>+'Tab. 6A -Drogi'!I16+'Tab. 6G - Roln i ochrona środ.'!I15+'Tab. 6E - Administracja'!I16+'Tab. 6H - Kultura fiz. i turyst'!I13</f>
        <v>0</v>
      </c>
      <c r="G21" s="2864">
        <f>+'Tab. 6A -Drogi'!J16+'Tab. 6G - Roln i ochrona środ.'!J15+'Tab. 6E - Administracja'!J16+'Tab. 6H - Kultura fiz. i turyst'!J13</f>
        <v>0</v>
      </c>
      <c r="H21" s="2864">
        <f>+'Tab. 6A -Drogi'!K16+'Tab. 6G - Roln i ochrona środ.'!K15+'Tab. 6E - Administracja'!K16+'Tab. 6H - Kultura fiz. i turyst'!K13</f>
        <v>0</v>
      </c>
      <c r="I21" s="2865">
        <f>+'Tab. 6A -Drogi'!L16+'Tab. 6G - Roln i ochrona środ.'!L15+'Tab. 6E - Administracja'!L16+'Tab. 6H - Kultura fiz. i turyst'!L13</f>
        <v>0</v>
      </c>
      <c r="J21" s="1393">
        <f t="shared" si="7"/>
        <v>320000</v>
      </c>
      <c r="K21" s="770">
        <f>SUM(D21:H21)</f>
        <v>0</v>
      </c>
      <c r="L21" s="2550"/>
      <c r="M21" s="360">
        <f t="shared" si="3"/>
        <v>320000</v>
      </c>
      <c r="N21" s="2858">
        <f t="shared" si="4"/>
        <v>0</v>
      </c>
      <c r="P21" s="2377">
        <v>0</v>
      </c>
      <c r="Q21" s="2377">
        <f t="shared" si="2"/>
        <v>0</v>
      </c>
    </row>
    <row r="22" spans="1:17" s="361" customFormat="1" ht="15.75" customHeight="1">
      <c r="A22" s="2862" t="s">
        <v>16</v>
      </c>
      <c r="B22" s="2864">
        <f>+'Tab. 6A -Drogi'!E17</f>
        <v>0</v>
      </c>
      <c r="C22" s="2865">
        <f>+'Tab. 6A -Drogi'!F17+'Tab. 6C - Ochrona zdrowia'!F13+'Tab.6I - Planow. przestrz.'!F15</f>
        <v>198197</v>
      </c>
      <c r="D22" s="2865">
        <f>+'Tab. 6A -Drogi'!G17+'Tab. 6C - Ochrona zdrowia'!G13+'Tab.6I - Planow. przestrz.'!G15</f>
        <v>3650871</v>
      </c>
      <c r="E22" s="2865">
        <f>+'Tab. 6A -Drogi'!H17+'Tab. 6C - Ochrona zdrowia'!H13+'Tab.6I - Planow. przestrz.'!H15</f>
        <v>4520725</v>
      </c>
      <c r="F22" s="2865">
        <f>+'Tab. 6A -Drogi'!I17+'Tab. 6C - Ochrona zdrowia'!I13+'Tab.6I - Planow. przestrz.'!I15</f>
        <v>886081</v>
      </c>
      <c r="G22" s="2864">
        <f>+'Tab. 6A -Drogi'!J17+'Tab. 6C - Ochrona zdrowia'!J13+'Tab.6I - Planow. przestrz.'!J15</f>
        <v>0</v>
      </c>
      <c r="H22" s="2864">
        <f>+'Tab. 6A -Drogi'!K17+'Tab. 6C - Ochrona zdrowia'!K13+'Tab.6I - Planow. przestrz.'!K15</f>
        <v>0</v>
      </c>
      <c r="I22" s="2866">
        <f>+'Tab. 6A -Drogi'!L17</f>
        <v>0</v>
      </c>
      <c r="J22" s="1393">
        <f t="shared" si="7"/>
        <v>9255874</v>
      </c>
      <c r="K22" s="770">
        <f>SUM(D22:H22)</f>
        <v>9057677</v>
      </c>
      <c r="L22" s="2550"/>
      <c r="M22" s="360">
        <f t="shared" si="3"/>
        <v>9255874</v>
      </c>
      <c r="N22" s="2858">
        <f t="shared" si="4"/>
        <v>0</v>
      </c>
      <c r="P22" s="2377">
        <v>8657116</v>
      </c>
      <c r="Q22" s="2377">
        <f t="shared" si="2"/>
        <v>400561</v>
      </c>
    </row>
    <row r="23" spans="1:17" s="361" customFormat="1" ht="15.75" customHeight="1">
      <c r="A23" s="2862" t="s">
        <v>30</v>
      </c>
      <c r="B23" s="783">
        <f>'Tab. 6E - Administracja'!E17+'Tab. 6B Polit społ i rozwój prz'!E14</f>
        <v>694612</v>
      </c>
      <c r="C23" s="783">
        <f>'Tab. 6E - Administracja'!F17+'Tab. 6B Polit społ i rozwój prz'!F14+'Tab. 6C - Ochrona zdrowia'!F12</f>
        <v>216937</v>
      </c>
      <c r="D23" s="783">
        <f>'Tab. 6E - Administracja'!G17+'Tab. 6B Polit społ i rozwój prz'!G14+'Tab. 6C - Ochrona zdrowia'!G12</f>
        <v>1565523</v>
      </c>
      <c r="E23" s="783">
        <f>'Tab. 6E - Administracja'!H17+'Tab. 6B Polit społ i rozwój prz'!H14+'Tab. 6C - Ochrona zdrowia'!H12</f>
        <v>91762</v>
      </c>
      <c r="F23" s="783">
        <f>'Tab. 6E - Administracja'!I17+'Tab. 6B Polit społ i rozwój prz'!I14+'Tab. 6C - Ochrona zdrowia'!I12</f>
        <v>76800</v>
      </c>
      <c r="G23" s="783">
        <f>'Tab. 6E - Administracja'!J17+'Tab. 6B Polit społ i rozwój prz'!J14+'Tab. 6C - Ochrona zdrowia'!J12</f>
        <v>76800</v>
      </c>
      <c r="H23" s="783">
        <f>'Tab. 6E - Administracja'!K17+'Tab. 6B Polit społ i rozwój prz'!K14+'Tab. 6C - Ochrona zdrowia'!K12</f>
        <v>64412</v>
      </c>
      <c r="I23" s="783">
        <f>'Tab. 6E - Administracja'!L17+'Tab. 6B Polit społ i rozwój prz'!L14</f>
        <v>0</v>
      </c>
      <c r="J23" s="1393">
        <f t="shared" si="7"/>
        <v>2786846</v>
      </c>
      <c r="K23" s="1216" t="s">
        <v>52</v>
      </c>
      <c r="L23" s="2550"/>
      <c r="M23" s="360">
        <f t="shared" si="3"/>
        <v>2786846</v>
      </c>
      <c r="N23" s="2858">
        <f t="shared" si="4"/>
        <v>0</v>
      </c>
      <c r="P23" s="2377"/>
      <c r="Q23" s="2377"/>
    </row>
    <row r="24" spans="1:17" s="361" customFormat="1" ht="17.25" customHeight="1">
      <c r="A24" s="359" t="s">
        <v>17</v>
      </c>
      <c r="B24" s="2867">
        <f t="shared" ref="B24:K24" si="8">SUM(B25:B26)</f>
        <v>129001729</v>
      </c>
      <c r="C24" s="2867">
        <f t="shared" si="8"/>
        <v>113483203</v>
      </c>
      <c r="D24" s="2867">
        <f t="shared" si="8"/>
        <v>315820005</v>
      </c>
      <c r="E24" s="2867">
        <f t="shared" si="8"/>
        <v>285178026</v>
      </c>
      <c r="F24" s="2867">
        <f t="shared" si="8"/>
        <v>105407196</v>
      </c>
      <c r="G24" s="2867">
        <f t="shared" si="8"/>
        <v>39003060</v>
      </c>
      <c r="H24" s="2867">
        <f t="shared" si="8"/>
        <v>29138408</v>
      </c>
      <c r="I24" s="2867">
        <f>SUM(I25:I26)</f>
        <v>0</v>
      </c>
      <c r="J24" s="1394">
        <f t="shared" si="8"/>
        <v>1017031627</v>
      </c>
      <c r="K24" s="2868">
        <f t="shared" si="8"/>
        <v>774546695</v>
      </c>
      <c r="L24" s="2550"/>
      <c r="M24" s="360">
        <f t="shared" si="3"/>
        <v>1017031627</v>
      </c>
      <c r="N24" s="2858">
        <f t="shared" si="4"/>
        <v>0</v>
      </c>
      <c r="P24" s="2377">
        <v>722246228</v>
      </c>
      <c r="Q24" s="2377">
        <f t="shared" si="2"/>
        <v>52300467</v>
      </c>
    </row>
    <row r="25" spans="1:17" s="361" customFormat="1" ht="14.25" customHeight="1">
      <c r="A25" s="2862" t="s">
        <v>18</v>
      </c>
      <c r="B25" s="781">
        <f>+'Tab. 6D - Oświata'!E18+'Tab. 6A -Drogi'!E19+'Tab. 6G - Roln i ochrona środ.'!E20+'Tab.6I - Planow. przestrz.'!E18+'Tab. 6B Polit społ i rozwój prz'!E16</f>
        <v>1601732</v>
      </c>
      <c r="C25" s="781">
        <f>+'Tab. 6D - Oświata'!F18+'Tab. 6A -Drogi'!F19+'Tab. 6G - Roln i ochrona środ.'!F20+'Tab.6I - Planow. przestrz.'!F18+'Tab. 6B Polit społ i rozwój prz'!F16</f>
        <v>850456</v>
      </c>
      <c r="D25" s="781">
        <f>+'Tab. 6D - Oświata'!G18+'Tab. 6A -Drogi'!G19+'Tab. 6G - Roln i ochrona środ.'!G20+'Tab.6I - Planow. przestrz.'!G18+'Tab. 6B Polit społ i rozwój prz'!G16</f>
        <v>333166</v>
      </c>
      <c r="E25" s="781">
        <f>+'Tab. 6D - Oświata'!H18+'Tab. 6A -Drogi'!H19+'Tab. 6G - Roln i ochrona środ.'!H20+'Tab.6I - Planow. przestrz.'!H18+'Tab. 6B Polit społ i rozwój prz'!H16</f>
        <v>227567</v>
      </c>
      <c r="F25" s="781">
        <f>+'Tab. 6D - Oświata'!I18+'Tab. 6A -Drogi'!I19+'Tab. 6G - Roln i ochrona środ.'!I20+'Tab.6I - Planow. przestrz.'!I18+'Tab. 6B Polit społ i rozwój prz'!I16</f>
        <v>0</v>
      </c>
      <c r="G25" s="781">
        <f>+'Tab. 6D - Oświata'!J18+'Tab. 6A -Drogi'!J19+'Tab. 6G - Roln i ochrona środ.'!J20+'Tab.6I - Planow. przestrz.'!J18+'Tab. 6B Polit społ i rozwój prz'!J16</f>
        <v>0</v>
      </c>
      <c r="H25" s="781">
        <f>+'Tab. 6D - Oświata'!K18+'Tab. 6A -Drogi'!K19+'Tab. 6G - Roln i ochrona środ.'!K20+'Tab.6I - Planow. przestrz.'!K18+'Tab. 6B Polit społ i rozwój prz'!K16</f>
        <v>0</v>
      </c>
      <c r="I25" s="781">
        <f>+'Tab. 6D - Oświata'!L18+'Tab. 6A -Drogi'!L19+'Tab. 6G - Roln i ochrona środ.'!L20+'Tab.6I - Planow. przestrz.'!L18+'Tab. 6B Polit społ i rozwój prz'!L16</f>
        <v>0</v>
      </c>
      <c r="J25" s="1393">
        <f>B25+I25+C25+D25+E25+F25+G25+H25</f>
        <v>3012921</v>
      </c>
      <c r="K25" s="770">
        <f>SUM(D25:H25)</f>
        <v>560733</v>
      </c>
      <c r="L25" s="2550"/>
      <c r="M25" s="360">
        <f t="shared" si="3"/>
        <v>3012921</v>
      </c>
      <c r="N25" s="2858">
        <f t="shared" si="4"/>
        <v>0</v>
      </c>
      <c r="P25" s="2377">
        <v>45168298</v>
      </c>
      <c r="Q25" s="2377">
        <f t="shared" si="2"/>
        <v>-44607565</v>
      </c>
    </row>
    <row r="26" spans="1:17" s="361" customFormat="1" ht="14.25" customHeight="1">
      <c r="A26" s="2862" t="s">
        <v>19</v>
      </c>
      <c r="B26" s="2863">
        <f>+'Tab. 6B Polit społ i rozwój prz'!E17+'Tab. 6A -Drogi'!E20+'Tab. 6E - Administracja'!E19+'Tab. 6G - Roln i ochrona środ.'!E18+'Tab. 6H - Kultura fiz. i turyst'!E16+'Tab.6I - Planow. przestrz.'!E17+'Tab. 6D - Oświata'!E17+'Tab. 6C - Ochrona zdrowia'!E15</f>
        <v>127399997</v>
      </c>
      <c r="C26" s="2863">
        <f>+'Tab. 6B Polit społ i rozwój prz'!F17+'Tab. 6A -Drogi'!F20+'Tab. 6E - Administracja'!F19+'Tab. 6G - Roln i ochrona środ.'!F18+'Tab. 6H - Kultura fiz. i turyst'!F16+'Tab.6I - Planow. przestrz.'!F17+'Tab. 6D - Oświata'!F17+'Tab. 6C - Ochrona zdrowia'!F15</f>
        <v>112632747</v>
      </c>
      <c r="D26" s="2863">
        <f>+'Tab. 6B Polit społ i rozwój prz'!G17+'Tab. 6A -Drogi'!G20+'Tab. 6E - Administracja'!G19+'Tab. 6G - Roln i ochrona środ.'!G18+'Tab. 6H - Kultura fiz. i turyst'!G16+'Tab.6I - Planow. przestrz.'!G17+'Tab. 6D - Oświata'!G17+'Tab. 6C - Ochrona zdrowia'!G15</f>
        <v>315486839</v>
      </c>
      <c r="E26" s="2863">
        <f>+'Tab. 6B Polit społ i rozwój prz'!H17+'Tab. 6A -Drogi'!H20+'Tab. 6E - Administracja'!H19+'Tab. 6G - Roln i ochrona środ.'!H18+'Tab. 6H - Kultura fiz. i turyst'!H16+'Tab.6I - Planow. przestrz.'!H17+'Tab. 6D - Oświata'!H17+'Tab. 6C - Ochrona zdrowia'!H15</f>
        <v>284950459</v>
      </c>
      <c r="F26" s="2863">
        <f>+'Tab. 6B Polit społ i rozwój prz'!I17+'Tab. 6A -Drogi'!I20+'Tab. 6E - Administracja'!I19+'Tab. 6G - Roln i ochrona środ.'!I18+'Tab. 6H - Kultura fiz. i turyst'!I16+'Tab.6I - Planow. przestrz.'!I17+'Tab. 6D - Oświata'!I17+'Tab. 6C - Ochrona zdrowia'!I15</f>
        <v>105407196</v>
      </c>
      <c r="G26" s="2863">
        <f>+'Tab. 6B Polit społ i rozwój prz'!J17+'Tab. 6A -Drogi'!J20+'Tab. 6E - Administracja'!J19+'Tab. 6G - Roln i ochrona środ.'!J18+'Tab. 6H - Kultura fiz. i turyst'!J16+'Tab.6I - Planow. przestrz.'!J17+'Tab. 6D - Oświata'!J17+'Tab. 6C - Ochrona zdrowia'!J15</f>
        <v>39003060</v>
      </c>
      <c r="H26" s="2863">
        <f>+'Tab. 6B Polit społ i rozwój prz'!K17+'Tab. 6A -Drogi'!K20+'Tab. 6E - Administracja'!K19+'Tab. 6G - Roln i ochrona środ.'!K18+'Tab. 6H - Kultura fiz. i turyst'!K16+'Tab.6I - Planow. przestrz.'!K17+'Tab. 6D - Oświata'!K17+'Tab. 6C - Ochrona zdrowia'!K15</f>
        <v>29138408</v>
      </c>
      <c r="I26" s="2863">
        <f>+'Tab. 6B Polit społ i rozwój prz'!L17+'Tab. 6A -Drogi'!L20+'Tab. 6E - Administracja'!L19+'Tab. 6G - Roln i ochrona środ.'!L18+'Tab. 6H - Kultura fiz. i turyst'!L16+'Tab.6I - Planow. przestrz.'!L17</f>
        <v>0</v>
      </c>
      <c r="J26" s="1393">
        <f>B26+I26+C26+D26+E26+F26+G26+H26</f>
        <v>1014018706</v>
      </c>
      <c r="K26" s="770">
        <f>SUM(D26:H26)</f>
        <v>773985962</v>
      </c>
      <c r="L26" s="2550"/>
      <c r="M26" s="360">
        <f t="shared" si="3"/>
        <v>1014018706</v>
      </c>
      <c r="N26" s="2857">
        <f t="shared" si="4"/>
        <v>0</v>
      </c>
      <c r="P26" s="2377">
        <v>677077930</v>
      </c>
      <c r="Q26" s="2377">
        <f t="shared" si="2"/>
        <v>96908032</v>
      </c>
    </row>
    <row r="27" spans="1:17" s="784" customFormat="1" ht="15.75" customHeight="1">
      <c r="A27" s="2869" t="s">
        <v>20</v>
      </c>
      <c r="B27" s="2870">
        <f t="shared" ref="B27:J27" si="9">+B28+B33</f>
        <v>118950118</v>
      </c>
      <c r="C27" s="2870">
        <f t="shared" si="9"/>
        <v>130926212</v>
      </c>
      <c r="D27" s="2870">
        <f t="shared" si="9"/>
        <v>313311898</v>
      </c>
      <c r="E27" s="2870">
        <f t="shared" si="9"/>
        <v>279501204</v>
      </c>
      <c r="F27" s="2870">
        <f t="shared" si="9"/>
        <v>134790974</v>
      </c>
      <c r="G27" s="2870">
        <f t="shared" si="9"/>
        <v>43588777</v>
      </c>
      <c r="H27" s="2870">
        <f t="shared" si="9"/>
        <v>33865078</v>
      </c>
      <c r="I27" s="2871">
        <f>+I28+I33</f>
        <v>0</v>
      </c>
      <c r="J27" s="1395">
        <f t="shared" si="9"/>
        <v>1057097135</v>
      </c>
      <c r="K27" s="3606" t="s">
        <v>21</v>
      </c>
      <c r="L27" s="2550"/>
      <c r="N27" s="2872"/>
    </row>
    <row r="28" spans="1:17" s="361" customFormat="1" ht="17.25" customHeight="1">
      <c r="A28" s="359" t="s">
        <v>22</v>
      </c>
      <c r="B28" s="2873">
        <f t="shared" ref="B28:J28" si="10">SUM(B29:B32)</f>
        <v>8456460</v>
      </c>
      <c r="C28" s="2873">
        <f t="shared" si="10"/>
        <v>6511215</v>
      </c>
      <c r="D28" s="2873">
        <f t="shared" si="10"/>
        <v>13806857</v>
      </c>
      <c r="E28" s="2873">
        <f t="shared" si="10"/>
        <v>7857096</v>
      </c>
      <c r="F28" s="2873">
        <f t="shared" si="10"/>
        <v>1992228</v>
      </c>
      <c r="G28" s="2873">
        <f t="shared" si="10"/>
        <v>801066</v>
      </c>
      <c r="H28" s="2873">
        <f t="shared" si="10"/>
        <v>640586</v>
      </c>
      <c r="I28" s="2867">
        <f>SUM(I29:I32)</f>
        <v>0</v>
      </c>
      <c r="J28" s="1396">
        <f t="shared" si="10"/>
        <v>40065508</v>
      </c>
      <c r="K28" s="3607"/>
      <c r="L28" s="786" t="s">
        <v>220</v>
      </c>
      <c r="N28" s="2874"/>
    </row>
    <row r="29" spans="1:17" s="361" customFormat="1" ht="14.25" customHeight="1">
      <c r="A29" s="2862" t="s">
        <v>12</v>
      </c>
      <c r="B29" s="688">
        <f>+'Tab. 6B Polit społ i rozwój prz'!E20+'Tab. 6A -Drogi'!E24+'Tab. 6E - Administracja'!E22+'Tab. 6G - Roln i ochrona środ.'!E23+'Tab.6I - Planow. przestrz.'!E21+'Tab. 6D - Oświata'!E21</f>
        <v>4827392</v>
      </c>
      <c r="C29" s="688">
        <f>+'Tab. 6B Polit społ i rozwój prz'!F20+'Tab. 6A -Drogi'!F24+'Tab. 6E - Administracja'!F22+'Tab. 6G - Roln i ochrona środ.'!F23+'Tab.6I - Planow. przestrz.'!F21+'Tab. 6D - Oświata'!F21</f>
        <v>2822848</v>
      </c>
      <c r="D29" s="688">
        <f>+'Tab. 6B Polit społ i rozwój prz'!G20+'Tab. 6A -Drogi'!G24+'Tab. 6E - Administracja'!G22+'Tab. 6G - Roln i ochrona środ.'!G23+'Tab.6I - Planow. przestrz.'!G21+'Tab. 6D - Oświata'!G21</f>
        <v>5195323</v>
      </c>
      <c r="E29" s="688">
        <f>+'Tab. 6B Polit społ i rozwój prz'!H20+'Tab. 6A -Drogi'!H24+'Tab. 6E - Administracja'!H22+'Tab. 6G - Roln i ochrona środ.'!H23+'Tab.6I - Planow. przestrz.'!H21</f>
        <v>3336371</v>
      </c>
      <c r="F29" s="688">
        <f>+'Tab. 6B Polit społ i rozwój prz'!I20+'Tab. 6A -Drogi'!I24+'Tab. 6E - Administracja'!I22+'Tab. 6G - Roln i ochrona środ.'!I23+'Tab.6I - Planow. przestrz.'!I21</f>
        <v>1106147</v>
      </c>
      <c r="G29" s="688">
        <f>+'Tab. 6B Polit społ i rozwój prz'!J20+'Tab. 6A -Drogi'!J24+'Tab. 6E - Administracja'!J22+'Tab. 6G - Roln i ochrona środ.'!J23+'Tab.6I - Planow. przestrz.'!J21</f>
        <v>801066</v>
      </c>
      <c r="H29" s="688">
        <f>+'Tab. 6B Polit społ i rozwój prz'!K20+'Tab. 6A -Drogi'!K24+'Tab. 6E - Administracja'!K22+'Tab. 6G - Roln i ochrona środ.'!K23+'Tab.6I - Planow. przestrz.'!K21</f>
        <v>640586</v>
      </c>
      <c r="I29" s="207">
        <f>+'Tab. 6B Polit społ i rozwój prz'!L20+'Tab. 6A -Drogi'!L24+'Tab. 6E - Administracja'!L22+'Tab. 6G - Roln i ochrona środ.'!L23+'Tab.6I - Planow. przestrz.'!L21</f>
        <v>0</v>
      </c>
      <c r="J29" s="1393">
        <f>B29+I29+C29+D29+E29+F29+G29+H29</f>
        <v>18729733</v>
      </c>
      <c r="K29" s="3607"/>
      <c r="L29" s="786">
        <f>J19-J29</f>
        <v>0</v>
      </c>
      <c r="N29" s="2874"/>
    </row>
    <row r="30" spans="1:17" s="361" customFormat="1" ht="14.25" customHeight="1">
      <c r="A30" s="2862" t="s">
        <v>14</v>
      </c>
      <c r="B30" s="781">
        <f>+'Tab. 6A -Drogi'!E25+'Tab. 6H - Kultura fiz. i turyst'!E21</f>
        <v>3629068</v>
      </c>
      <c r="C30" s="781">
        <f>+'Tab. 6A -Drogi'!F25+'Tab. 6H - Kultura fiz. i turyst'!F21</f>
        <v>3170170</v>
      </c>
      <c r="D30" s="781">
        <f>+'Tab. 6A -Drogi'!G25+'Tab. 6H - Kultura fiz. i turyst'!G21</f>
        <v>4960663</v>
      </c>
      <c r="E30" s="2864">
        <f>+'Tab. 6A -Drogi'!H25+'Tab. 6H - Kultura fiz. i turyst'!H21</f>
        <v>0</v>
      </c>
      <c r="F30" s="2864">
        <f>+'Tab. 6A -Drogi'!I25+'Tab. 6H - Kultura fiz. i turyst'!I21</f>
        <v>0</v>
      </c>
      <c r="G30" s="2864">
        <f>+'Tab. 6A -Drogi'!J25+'Tab. 6H - Kultura fiz. i turyst'!J21</f>
        <v>0</v>
      </c>
      <c r="H30" s="2864">
        <f>+'Tab. 6A -Drogi'!K25+'Tab. 6G - Roln i ochrona środ.'!K24+'Tab. 6E - Administracja'!K22+'Tab. 6H - Kultura fiz. i turyst'!K19</f>
        <v>0</v>
      </c>
      <c r="I30" s="781">
        <f>+'Tab. 6A -Drogi'!L25+'Tab. 6H - Kultura fiz. i turyst'!L21</f>
        <v>0</v>
      </c>
      <c r="J30" s="1393">
        <f>B30+I30+C30+D30+E30+F30+G30+H30</f>
        <v>11759901</v>
      </c>
      <c r="K30" s="3607"/>
      <c r="L30" s="786">
        <f>J30-J20</f>
        <v>0</v>
      </c>
      <c r="M30" s="786"/>
      <c r="N30" s="2874"/>
    </row>
    <row r="31" spans="1:17" s="361" customFormat="1" ht="12.75" customHeight="1">
      <c r="A31" s="2862" t="s">
        <v>15</v>
      </c>
      <c r="B31" s="2864">
        <f>+'Tab. 6A -Drogi'!E26+'Tab. 6G - Roln i ochrona środ.'!E25+'Tab. 6E - Administracja'!E23+'Tab. 6H - Kultura fiz. i turyst'!E20</f>
        <v>0</v>
      </c>
      <c r="C31" s="2865">
        <f>+'Tab. 6A -Drogi'!F26+'Tab. 6G - Roln i ochrona środ.'!F25+'Tab. 6E - Administracja'!F23+'Tab. 6H - Kultura fiz. i turyst'!F20</f>
        <v>320000</v>
      </c>
      <c r="D31" s="2864">
        <f>+'Tab. 6A -Drogi'!G26+'Tab. 6G - Roln i ochrona środ.'!G25+'Tab. 6E - Administracja'!G23+'Tab. 6H - Kultura fiz. i turyst'!G20</f>
        <v>0</v>
      </c>
      <c r="E31" s="2864">
        <f>+'Tab. 6A -Drogi'!H26+'Tab. 6G - Roln i ochrona środ.'!H25+'Tab. 6E - Administracja'!H23+'Tab. 6H - Kultura fiz. i turyst'!H20</f>
        <v>0</v>
      </c>
      <c r="F31" s="2864">
        <f>+'Tab. 6A -Drogi'!I26+'Tab. 6G - Roln i ochrona środ.'!I25+'Tab. 6E - Administracja'!I23+'Tab. 6H - Kultura fiz. i turyst'!I20</f>
        <v>0</v>
      </c>
      <c r="G31" s="2864">
        <f>+'Tab. 6A -Drogi'!J26+'Tab. 6G - Roln i ochrona środ.'!J25+'Tab. 6E - Administracja'!J23+'Tab. 6H - Kultura fiz. i turyst'!J20</f>
        <v>0</v>
      </c>
      <c r="H31" s="2864">
        <f>+'Tab. 6A -Drogi'!K26+'Tab. 6G - Roln i ochrona środ.'!K25+'Tab. 6E - Administracja'!K23+'Tab. 6H - Kultura fiz. i turyst'!K20</f>
        <v>0</v>
      </c>
      <c r="I31" s="2865">
        <f>+'Tab. 6A -Drogi'!L26+'Tab. 6G - Roln i ochrona środ.'!L25+'Tab. 6E - Administracja'!L23+'Tab. 6H - Kultura fiz. i turyst'!L20</f>
        <v>0</v>
      </c>
      <c r="J31" s="1393">
        <f>B31+I31+C31+D31+E31+F31+G31+H31</f>
        <v>320000</v>
      </c>
      <c r="K31" s="3607"/>
      <c r="L31" s="786">
        <f>J31-J21</f>
        <v>0</v>
      </c>
      <c r="N31" s="2874"/>
    </row>
    <row r="32" spans="1:17" s="361" customFormat="1" ht="15" customHeight="1">
      <c r="A32" s="2862" t="s">
        <v>16</v>
      </c>
      <c r="B32" s="782">
        <f>+'Tab. 6A -Drogi'!E27</f>
        <v>0</v>
      </c>
      <c r="C32" s="2865">
        <f>+'Tab. 6A -Drogi'!F27+'Tab. 6C - Ochrona zdrowia'!F18+'Tab.6I - Planow. przestrz.'!F22</f>
        <v>198197</v>
      </c>
      <c r="D32" s="2865">
        <f>+'Tab. 6A -Drogi'!G27+'Tab. 6C - Ochrona zdrowia'!G18+'Tab.6I - Planow. przestrz.'!G22</f>
        <v>3650871</v>
      </c>
      <c r="E32" s="2865">
        <f>+'Tab. 6A -Drogi'!H27+'Tab. 6C - Ochrona zdrowia'!H18+'Tab.6I - Planow. przestrz.'!H22</f>
        <v>4520725</v>
      </c>
      <c r="F32" s="2865">
        <f>+'Tab. 6A -Drogi'!I27+'Tab. 6C - Ochrona zdrowia'!I18+'Tab.6I - Planow. przestrz.'!I22</f>
        <v>886081</v>
      </c>
      <c r="G32" s="2864">
        <f>+'Tab. 6A -Drogi'!J27+'Tab. 6C - Ochrona zdrowia'!J18+'Tab.6I - Planow. przestrz.'!J22</f>
        <v>0</v>
      </c>
      <c r="H32" s="2864">
        <f>+'Tab. 6A -Drogi'!K27+'Tab. 6C - Ochrona zdrowia'!K18+'Tab.6I - Planow. przestrz.'!K22</f>
        <v>0</v>
      </c>
      <c r="I32" s="782">
        <f>+'Tab. 6A -Drogi'!L27</f>
        <v>0</v>
      </c>
      <c r="J32" s="1393">
        <f>B32+I32+C32+D32+E32+F32+G32+H32</f>
        <v>9255874</v>
      </c>
      <c r="K32" s="3607"/>
      <c r="L32" s="786">
        <f>J32-J22</f>
        <v>0</v>
      </c>
      <c r="N32" s="2874"/>
    </row>
    <row r="33" spans="1:17" s="361" customFormat="1" ht="16.5" customHeight="1">
      <c r="A33" s="359" t="s">
        <v>17</v>
      </c>
      <c r="B33" s="2875">
        <f t="shared" ref="B33:J33" si="11">SUM(B34:B35)</f>
        <v>110493658</v>
      </c>
      <c r="C33" s="2875">
        <f t="shared" si="11"/>
        <v>124414997</v>
      </c>
      <c r="D33" s="2875">
        <f t="shared" si="11"/>
        <v>299505041</v>
      </c>
      <c r="E33" s="2875">
        <f t="shared" si="11"/>
        <v>271644108</v>
      </c>
      <c r="F33" s="2875">
        <f t="shared" si="11"/>
        <v>132798746</v>
      </c>
      <c r="G33" s="2875">
        <f t="shared" si="11"/>
        <v>42787711</v>
      </c>
      <c r="H33" s="2875">
        <f t="shared" si="11"/>
        <v>33224492</v>
      </c>
      <c r="I33" s="2876">
        <f>SUM(I34:I35)</f>
        <v>0</v>
      </c>
      <c r="J33" s="1396">
        <f t="shared" si="11"/>
        <v>1017031627</v>
      </c>
      <c r="K33" s="3607"/>
      <c r="L33" s="786"/>
      <c r="N33" s="2874"/>
    </row>
    <row r="34" spans="1:17" s="361" customFormat="1" ht="14.25" customHeight="1">
      <c r="A34" s="2862" t="s">
        <v>18</v>
      </c>
      <c r="B34" s="2863">
        <f>+'Tab. 6A -Drogi'!E31+'Tab. 6G - Roln i ochrona środ.'!E31+'Tab. 6D - Oświata'!E24+'Tab.6I - Planow. przestrz.'!E25+'Tab. 6B Polit społ i rozwój prz'!E22</f>
        <v>942649</v>
      </c>
      <c r="C34" s="2863">
        <f>+'Tab. 6A -Drogi'!F31+'Tab. 6G - Roln i ochrona środ.'!F31+'Tab. 6D - Oświata'!F24+'Tab.6I - Planow. przestrz.'!F25+'Tab. 6B Polit społ i rozwój prz'!F22</f>
        <v>895229</v>
      </c>
      <c r="D34" s="2863">
        <f>+'Tab. 6A -Drogi'!G31+'Tab. 6G - Roln i ochrona środ.'!G31+'Tab. 6D - Oświata'!G24+'Tab.6I - Planow. przestrz.'!G25+'Tab. 6B Polit społ i rozwój prz'!G22</f>
        <v>808384</v>
      </c>
      <c r="E34" s="2863">
        <f>+'Tab. 6A -Drogi'!H31+'Tab. 6G - Roln i ochrona środ.'!H31+'Tab. 6D - Oświata'!H24+'Tab.6I - Planow. przestrz.'!H25+'Tab. 6B Polit społ i rozwój prz'!H22</f>
        <v>273472</v>
      </c>
      <c r="F34" s="2863">
        <f>+'Tab. 6A -Drogi'!I31+'Tab. 6G - Roln i ochrona środ.'!I31+'Tab. 6D - Oświata'!I24+'Tab.6I - Planow. przestrz.'!I25+'Tab. 6B Polit społ i rozwój prz'!I22</f>
        <v>93187</v>
      </c>
      <c r="G34" s="2866">
        <f>+'Tab. 6A -Drogi'!J31+'Tab. 6G - Roln i ochrona środ.'!J31+'Tab. 6D - Oświata'!J24+'Tab.6I - Planow. przestrz.'!J25+'Tab. 6B Polit społ i rozwój prz'!J22</f>
        <v>0</v>
      </c>
      <c r="H34" s="2866">
        <f>+'Tab. 6A -Drogi'!K31+'Tab. 6G - Roln i ochrona środ.'!K31+'Tab. 6D - Oświata'!K24+'Tab.6I - Planow. przestrz.'!K25+'Tab. 6B Polit społ i rozwój prz'!K22</f>
        <v>0</v>
      </c>
      <c r="I34" s="2863">
        <f>+'Tab. 6A -Drogi'!L31+'Tab. 6G - Roln i ochrona środ.'!L31+'Tab. 6D - Oświata'!L24+'Tab.6I - Planow. przestrz.'!L25+'Tab. 6B Polit społ i rozwój prz'!L22</f>
        <v>0</v>
      </c>
      <c r="J34" s="1393">
        <f>B34+I34+C34+D34+E34+F34+G34+H34</f>
        <v>3012921</v>
      </c>
      <c r="K34" s="3607"/>
      <c r="L34" s="786">
        <f>J34-J25</f>
        <v>0</v>
      </c>
      <c r="M34" s="786" t="s">
        <v>356</v>
      </c>
      <c r="N34" s="2874"/>
    </row>
    <row r="35" spans="1:17" s="361" customFormat="1" ht="15.75" customHeight="1" thickBot="1">
      <c r="A35" s="802" t="s">
        <v>19</v>
      </c>
      <c r="B35" s="2877">
        <f>+'Tab. 6B Polit społ i rozwój prz'!E23+'Tab. 6A -Drogi'!E32+'Tab. 6E - Administracja'!E25+'Tab. 6G - Roln i ochrona środ.'!E29+'Tab. 6H - Kultura fiz. i turyst'!E23+'Tab.6I - Planow. przestrz.'!E24+'Tab. 6D - Oświata'!E23+'Tab. 6C - Ochrona zdrowia'!E20</f>
        <v>109551009</v>
      </c>
      <c r="C35" s="2877">
        <f>+'Tab. 6B Polit społ i rozwój prz'!F23+'Tab. 6A -Drogi'!F32+'Tab. 6E - Administracja'!F25+'Tab. 6G - Roln i ochrona środ.'!F29+'Tab. 6H - Kultura fiz. i turyst'!F23+'Tab.6I - Planow. przestrz.'!F24+'Tab. 6D - Oświata'!F23+'Tab. 6C - Ochrona zdrowia'!F20</f>
        <v>123519768</v>
      </c>
      <c r="D35" s="2877">
        <f>+'Tab. 6B Polit społ i rozwój prz'!G23+'Tab. 6A -Drogi'!G32+'Tab. 6E - Administracja'!G25+'Tab. 6G - Roln i ochrona środ.'!G29+'Tab. 6H - Kultura fiz. i turyst'!G23+'Tab.6I - Planow. przestrz.'!G24+'Tab. 6D - Oświata'!G23+'Tab. 6C - Ochrona zdrowia'!G20</f>
        <v>298696657</v>
      </c>
      <c r="E35" s="2877">
        <f>+'Tab. 6B Polit społ i rozwój prz'!H23+'Tab. 6A -Drogi'!H32+'Tab. 6E - Administracja'!H25+'Tab. 6G - Roln i ochrona środ.'!H29+'Tab. 6H - Kultura fiz. i turyst'!H23+'Tab.6I - Planow. przestrz.'!H24+'Tab. 6D - Oświata'!H23+'Tab. 6C - Ochrona zdrowia'!H20</f>
        <v>271370636</v>
      </c>
      <c r="F35" s="2877">
        <f>+'Tab. 6B Polit społ i rozwój prz'!I23+'Tab. 6A -Drogi'!I32+'Tab. 6E - Administracja'!I25+'Tab. 6G - Roln i ochrona środ.'!I29+'Tab. 6H - Kultura fiz. i turyst'!I23+'Tab.6I - Planow. przestrz.'!I24+'Tab. 6D - Oświata'!I23+'Tab. 6C - Ochrona zdrowia'!I20</f>
        <v>132705559</v>
      </c>
      <c r="G35" s="2877">
        <f>+'Tab. 6B Polit społ i rozwój prz'!J23+'Tab. 6A -Drogi'!J32+'Tab. 6E - Administracja'!J25+'Tab. 6G - Roln i ochrona środ.'!J29+'Tab. 6H - Kultura fiz. i turyst'!J23+'Tab.6I - Planow. przestrz.'!J24+'Tab. 6D - Oświata'!J23+'Tab. 6C - Ochrona zdrowia'!J20</f>
        <v>42787711</v>
      </c>
      <c r="H35" s="2877">
        <f>+'Tab. 6B Polit społ i rozwój prz'!K23+'Tab. 6A -Drogi'!K32+'Tab. 6E - Administracja'!K25+'Tab. 6G - Roln i ochrona środ.'!K29+'Tab. 6H - Kultura fiz. i turyst'!K23+'Tab.6I - Planow. przestrz.'!K24+'Tab. 6D - Oświata'!K23+'Tab. 6C - Ochrona zdrowia'!K20</f>
        <v>33224492</v>
      </c>
      <c r="I35" s="2877">
        <f>+'Tab. 6B Polit społ i rozwój prz'!L23+'Tab. 6A -Drogi'!L32+'Tab. 6E - Administracja'!L25+'Tab. 6G - Roln i ochrona środ.'!L29+'Tab. 6H - Kultura fiz. i turyst'!L23+'Tab.6I - Planow. przestrz.'!L24+'Tab. 6D - Oświata'!L23+'Tab. 6C - Ochrona zdrowia'!L20</f>
        <v>0</v>
      </c>
      <c r="J35" s="1397">
        <f>B35+I35+C35+D35+E35+F35+G35+H35+2029435+2998719+2055406+3812897+2520257-11253840</f>
        <v>1014018706</v>
      </c>
      <c r="K35" s="3608"/>
      <c r="L35" s="786">
        <f>J35-J26</f>
        <v>0</v>
      </c>
      <c r="M35" s="786"/>
      <c r="N35" s="2874"/>
    </row>
    <row r="36" spans="1:17" s="361" customFormat="1" ht="21" customHeight="1" thickBot="1">
      <c r="A36" s="773"/>
      <c r="B36" s="774"/>
      <c r="C36" s="774"/>
      <c r="D36" s="774"/>
      <c r="E36" s="774"/>
      <c r="F36" s="774"/>
      <c r="G36" s="774"/>
      <c r="H36" s="774"/>
      <c r="I36" s="774"/>
      <c r="J36" s="774"/>
      <c r="K36" s="789"/>
      <c r="L36" s="786"/>
      <c r="N36" s="2874"/>
    </row>
    <row r="37" spans="1:17" s="775" customFormat="1" ht="18.75" customHeight="1" thickBot="1">
      <c r="A37" s="790" t="s">
        <v>25</v>
      </c>
      <c r="B37" s="791">
        <f t="shared" ref="B37:J37" si="12">+B16-B23</f>
        <v>159420630.30000001</v>
      </c>
      <c r="C37" s="791">
        <f t="shared" si="12"/>
        <v>137186375</v>
      </c>
      <c r="D37" s="791">
        <f t="shared" si="12"/>
        <v>396974442</v>
      </c>
      <c r="E37" s="791">
        <f t="shared" si="12"/>
        <v>364710355</v>
      </c>
      <c r="F37" s="791">
        <f t="shared" si="12"/>
        <v>142915485</v>
      </c>
      <c r="G37" s="791">
        <f t="shared" si="12"/>
        <v>57643472</v>
      </c>
      <c r="H37" s="791">
        <f t="shared" si="12"/>
        <v>33631245</v>
      </c>
      <c r="I37" s="2658">
        <f>+I16-I23</f>
        <v>0</v>
      </c>
      <c r="J37" s="1398">
        <f t="shared" si="12"/>
        <v>1292482004.3</v>
      </c>
      <c r="K37" s="792">
        <f>+D37+E37+F37+G37+H37</f>
        <v>995874999</v>
      </c>
      <c r="L37" s="794">
        <f>B37+I37+C37+D37+E37+F37+G37+H37</f>
        <v>1292482004.3</v>
      </c>
      <c r="M37" s="794">
        <f>L37-J37</f>
        <v>0</v>
      </c>
      <c r="N37" s="2878"/>
    </row>
    <row r="38" spans="1:17" s="775" customFormat="1" ht="16.5" customHeight="1" thickBot="1">
      <c r="A38" s="790" t="s">
        <v>26</v>
      </c>
      <c r="B38" s="795">
        <f>+B27</f>
        <v>118950118</v>
      </c>
      <c r="C38" s="795">
        <f>+C27</f>
        <v>130926212</v>
      </c>
      <c r="D38" s="795">
        <f t="shared" ref="D38:H38" si="13">+D27</f>
        <v>313311898</v>
      </c>
      <c r="E38" s="795">
        <f t="shared" si="13"/>
        <v>279501204</v>
      </c>
      <c r="F38" s="795">
        <f t="shared" si="13"/>
        <v>134790974</v>
      </c>
      <c r="G38" s="795">
        <f t="shared" si="13"/>
        <v>43588777</v>
      </c>
      <c r="H38" s="795">
        <f t="shared" si="13"/>
        <v>33865078</v>
      </c>
      <c r="I38" s="2659">
        <f>+I27</f>
        <v>0</v>
      </c>
      <c r="J38" s="1399">
        <f>+J27</f>
        <v>1057097135</v>
      </c>
      <c r="K38" s="796" t="s">
        <v>21</v>
      </c>
      <c r="L38" s="794">
        <v>105067692</v>
      </c>
      <c r="M38" s="794" t="s">
        <v>232</v>
      </c>
      <c r="N38" s="2879"/>
    </row>
    <row r="39" spans="1:17" s="361" customFormat="1" ht="18.75" hidden="1" customHeight="1">
      <c r="A39" s="773"/>
      <c r="B39" s="774">
        <f>'Tab. 6A -Drogi'!E16+'Tab. 6E - Administracja'!E16+'Tab. 6G - Roln i ochrona środ.'!E15</f>
        <v>0</v>
      </c>
      <c r="C39" s="774"/>
      <c r="D39" s="774"/>
      <c r="E39" s="774"/>
      <c r="F39" s="774"/>
      <c r="G39" s="774"/>
      <c r="H39" s="774"/>
      <c r="I39" s="774"/>
      <c r="J39" s="789"/>
      <c r="K39" s="786"/>
      <c r="L39" s="786">
        <f>L38+L37</f>
        <v>1397549696.3</v>
      </c>
      <c r="M39" s="786">
        <f>J37-L39</f>
        <v>-105067692</v>
      </c>
      <c r="N39" s="2874"/>
    </row>
    <row r="40" spans="1:17" s="361" customFormat="1" ht="12.75" hidden="1" customHeight="1">
      <c r="A40" s="2880"/>
      <c r="B40" s="774">
        <f>'Tab. 6A -Drogi'!E32+'Tab. 6B Polit społ i rozwój prz'!E23+'Tab. 6E - Administracja'!E25+'Tab. 6H - Kultura fiz. i turyst'!E23+'Tab.6I - Planow. przestrz.'!E24+'Tab. 6G - Roln i ochrona środ.'!E29</f>
        <v>109551009</v>
      </c>
      <c r="C40" s="774">
        <f>'Tab. 6A -Drogi'!F32+'Tab. 6B Polit społ i rozwój prz'!F23+'Tab. 6E - Administracja'!F25+'Tab. 6H - Kultura fiz. i turyst'!F23+'Tab.6I - Planow. przestrz.'!F24+'Tab. 6G - Roln i ochrona środ.'!F29</f>
        <v>121835096</v>
      </c>
      <c r="D40" s="774">
        <f>'Tab. 6A -Drogi'!G32+'Tab. 6B Polit społ i rozwój prz'!G23+'Tab. 6E - Administracja'!G25+'Tab. 6H - Kultura fiz. i turyst'!G23+'Tab.6I - Planow. przestrz.'!G24+'Tab. 6G - Roln i ochrona środ.'!G29</f>
        <v>280972952</v>
      </c>
      <c r="E40" s="774">
        <f>'Tab. 6A -Drogi'!H32+'Tab. 6B Polit społ i rozwój prz'!H23+'Tab. 6E - Administracja'!H25+'Tab. 6H - Kultura fiz. i turyst'!H23+'Tab.6I - Planow. przestrz.'!H24+'Tab. 6G - Roln i ochrona środ.'!H29</f>
        <v>258711054</v>
      </c>
      <c r="F40" s="774">
        <f>'Tab. 6A -Drogi'!I32+'Tab. 6B Polit społ i rozwój prz'!I23+'Tab. 6E - Administracja'!I25+'Tab. 6H - Kultura fiz. i turyst'!I23+'Tab.6I - Planow. przestrz.'!I24+'Tab. 6G - Roln i ochrona środ.'!I29</f>
        <v>130779942</v>
      </c>
      <c r="G40" s="774">
        <f>'Tab. 6A -Drogi'!J32+'Tab. 6B Polit społ i rozwój prz'!J23+'Tab. 6E - Administracja'!J25+'Tab. 6H - Kultura fiz. i turyst'!J23+'Tab.6I - Planow. przestrz.'!J24+'Tab. 6G - Roln i ochrona środ.'!J29</f>
        <v>42787711</v>
      </c>
      <c r="H40" s="774">
        <f>'Tab. 6A -Drogi'!K32+'Tab. 6B Polit społ i rozwój prz'!K23+'Tab. 6E - Administracja'!K25+'Tab. 6H - Kultura fiz. i turyst'!K23+'Tab.6I - Planow. przestrz.'!K24+'Tab. 6G - Roln i ochrona środ.'!K29</f>
        <v>33224492</v>
      </c>
      <c r="I40" s="774"/>
      <c r="J40" s="774" t="e">
        <f>B40+#REF!+#REF!+#REF!+C40+D40+E40+F40+G40+H40</f>
        <v>#REF!</v>
      </c>
      <c r="K40" s="786"/>
      <c r="L40" s="786"/>
      <c r="N40" s="2874"/>
    </row>
    <row r="41" spans="1:17" s="361" customFormat="1" hidden="1">
      <c r="A41" s="2881"/>
      <c r="B41" s="774">
        <f>B35-B40</f>
        <v>0</v>
      </c>
      <c r="C41" s="774">
        <f t="shared" ref="C41:H41" si="14">C35-C40</f>
        <v>1684672</v>
      </c>
      <c r="D41" s="774">
        <f t="shared" si="14"/>
        <v>17723705</v>
      </c>
      <c r="E41" s="774">
        <f t="shared" si="14"/>
        <v>12659582</v>
      </c>
      <c r="F41" s="774">
        <f t="shared" si="14"/>
        <v>1925617</v>
      </c>
      <c r="G41" s="774">
        <f t="shared" si="14"/>
        <v>0</v>
      </c>
      <c r="H41" s="774">
        <f t="shared" si="14"/>
        <v>0</v>
      </c>
      <c r="I41" s="774"/>
      <c r="J41" s="774"/>
      <c r="K41" s="786"/>
      <c r="L41" s="786"/>
      <c r="N41" s="2874"/>
    </row>
    <row r="42" spans="1:17" s="361" customFormat="1">
      <c r="A42" s="797"/>
      <c r="B42" s="774"/>
      <c r="C42" s="774"/>
      <c r="D42" s="774"/>
      <c r="E42" s="774"/>
      <c r="F42" s="774"/>
      <c r="G42" s="774"/>
      <c r="H42" s="774"/>
      <c r="I42" s="774"/>
      <c r="J42" s="789"/>
      <c r="K42" s="786"/>
      <c r="L42" s="786"/>
      <c r="N42" s="2874"/>
    </row>
    <row r="43" spans="1:17" ht="31.5" customHeight="1" thickBot="1">
      <c r="A43" s="3626" t="s">
        <v>27</v>
      </c>
      <c r="B43" s="3626"/>
      <c r="C43" s="3626"/>
      <c r="D43" s="3626"/>
      <c r="E43" s="3626"/>
      <c r="F43" s="3626"/>
      <c r="G43" s="3626"/>
      <c r="H43" s="3626"/>
      <c r="I43" s="3626"/>
      <c r="J43" s="3626"/>
      <c r="K43" s="798"/>
      <c r="L43" s="1208"/>
      <c r="M43" s="746"/>
      <c r="N43" s="2855"/>
    </row>
    <row r="44" spans="1:17" s="746" customFormat="1" ht="34.5" customHeight="1">
      <c r="A44" s="752"/>
      <c r="B44" s="3624" t="s">
        <v>240</v>
      </c>
      <c r="C44" s="3635" t="s">
        <v>556</v>
      </c>
      <c r="D44" s="3609" t="s">
        <v>539</v>
      </c>
      <c r="E44" s="3610"/>
      <c r="F44" s="3610"/>
      <c r="G44" s="3610"/>
      <c r="H44" s="3611"/>
      <c r="I44" s="3631">
        <v>2024</v>
      </c>
      <c r="J44" s="3627" t="s">
        <v>3</v>
      </c>
      <c r="K44" s="3604" t="s">
        <v>536</v>
      </c>
      <c r="N44" s="2855"/>
    </row>
    <row r="45" spans="1:17" ht="19.5" customHeight="1">
      <c r="A45" s="754" t="s">
        <v>4</v>
      </c>
      <c r="B45" s="3625"/>
      <c r="C45" s="3636"/>
      <c r="D45" s="3612"/>
      <c r="E45" s="3613"/>
      <c r="F45" s="3613"/>
      <c r="G45" s="3613"/>
      <c r="H45" s="3614"/>
      <c r="I45" s="3631"/>
      <c r="J45" s="3628"/>
      <c r="K45" s="3605"/>
      <c r="L45" s="1208"/>
      <c r="M45" s="746"/>
      <c r="N45" s="2855"/>
    </row>
    <row r="46" spans="1:17" ht="24" customHeight="1" thickBot="1">
      <c r="A46" s="754"/>
      <c r="B46" s="755" t="s">
        <v>538</v>
      </c>
      <c r="C46" s="756" t="s">
        <v>5</v>
      </c>
      <c r="D46" s="756" t="s">
        <v>193</v>
      </c>
      <c r="E46" s="756" t="s">
        <v>194</v>
      </c>
      <c r="F46" s="756" t="s">
        <v>234</v>
      </c>
      <c r="G46" s="756" t="s">
        <v>235</v>
      </c>
      <c r="H46" s="2856" t="s">
        <v>233</v>
      </c>
      <c r="I46" s="3632"/>
      <c r="J46" s="3629"/>
      <c r="K46" s="3605"/>
      <c r="L46" s="1208"/>
      <c r="M46" s="746"/>
      <c r="N46" s="2855"/>
    </row>
    <row r="47" spans="1:17" ht="13.5" customHeight="1" thickBot="1">
      <c r="A47" s="758">
        <v>1</v>
      </c>
      <c r="B47" s="759">
        <v>2</v>
      </c>
      <c r="C47" s="759">
        <v>4</v>
      </c>
      <c r="D47" s="760">
        <v>5</v>
      </c>
      <c r="E47" s="761">
        <v>6</v>
      </c>
      <c r="F47" s="762">
        <v>7</v>
      </c>
      <c r="G47" s="759">
        <v>8</v>
      </c>
      <c r="H47" s="762">
        <v>9</v>
      </c>
      <c r="I47" s="2654"/>
      <c r="J47" s="1387">
        <v>10</v>
      </c>
      <c r="K47" s="763">
        <v>11</v>
      </c>
      <c r="L47" s="1208"/>
      <c r="M47" s="746"/>
      <c r="N47" s="2855"/>
    </row>
    <row r="48" spans="1:17" ht="18.75" customHeight="1">
      <c r="A48" s="764" t="s">
        <v>6</v>
      </c>
      <c r="B48" s="765">
        <f>+B49+B50</f>
        <v>576868407</v>
      </c>
      <c r="C48" s="765">
        <f t="shared" ref="C48:J48" si="15">+C49+C50</f>
        <v>210234239</v>
      </c>
      <c r="D48" s="765">
        <f t="shared" ref="D48:I48" si="16">+D49+D50</f>
        <v>256889915</v>
      </c>
      <c r="E48" s="765">
        <f t="shared" si="16"/>
        <v>244310952</v>
      </c>
      <c r="F48" s="765">
        <f t="shared" si="16"/>
        <v>128972023</v>
      </c>
      <c r="G48" s="765">
        <f t="shared" si="16"/>
        <v>33233283</v>
      </c>
      <c r="H48" s="765">
        <f t="shared" si="16"/>
        <v>10268912</v>
      </c>
      <c r="I48" s="765">
        <f t="shared" si="16"/>
        <v>0</v>
      </c>
      <c r="J48" s="1401">
        <f t="shared" si="15"/>
        <v>1494414056</v>
      </c>
      <c r="K48" s="766">
        <f>+K49+K50</f>
        <v>707311410</v>
      </c>
      <c r="L48" s="2550">
        <f>+K52-K48</f>
        <v>0</v>
      </c>
      <c r="M48" s="360">
        <f>+I48+C48+D48+E48+F48+G48+H48+B48+'Tab. 6C - Ochrona zdrowia'!O88+'Tab. 6C - Ochrona zdrowia'!O93</f>
        <v>1494414056</v>
      </c>
      <c r="N48" s="2858">
        <f>J48-M48</f>
        <v>0</v>
      </c>
      <c r="P48" s="2377">
        <v>653048060</v>
      </c>
      <c r="Q48" s="2377">
        <f t="shared" ref="Q48:Q55" si="17">K48-P48</f>
        <v>54263350</v>
      </c>
    </row>
    <row r="49" spans="1:17" s="767" customFormat="1" ht="15" customHeight="1">
      <c r="A49" s="768" t="s">
        <v>316</v>
      </c>
      <c r="B49" s="769">
        <f>'Tab. 6A -Drogi'!E527+'Tab. 6C - Ochrona zdrowia'!E48+'Tab. 6D - Oświata'!E104+'Tab. 6E - Administracja'!E242+'Tab. 6F - Kultura'!E8+'Tab. 6G - Roln i ochrona środ.'!E106+'Tab. 6H - Kultura fiz. i turyst'!E296+'Tab.6I - Planow. przestrz.'!E99+'Tab. 6D - Oświata'!E88+'Tab. 6B Polit społ i rozwój prz'!E314</f>
        <v>500939759</v>
      </c>
      <c r="C49" s="769">
        <f>'Tab. 6A -Drogi'!F527+'Tab. 6C - Ochrona zdrowia'!F48+'Tab. 6D - Oświata'!F104+'Tab. 6E - Administracja'!F242+'Tab. 6F - Kultura'!F8+'Tab. 6G - Roln i ochrona środ.'!F106+'Tab. 6H - Kultura fiz. i turyst'!F296+'Tab.6I - Planow. przestrz.'!F99+'Tab. 6D - Oświata'!F88+'Tab. 6B Polit społ i rozwój prz'!E314</f>
        <v>156601703</v>
      </c>
      <c r="D49" s="769">
        <f>'Tab. 6A -Drogi'!G527+'Tab. 6C - Ochrona zdrowia'!G48+'Tab. 6D - Oświata'!G104+'Tab. 6E - Administracja'!G242+'Tab. 6F - Kultura'!G8+'Tab. 6G - Roln i ochrona środ.'!G106+'Tab. 6H - Kultura fiz. i turyst'!G296+'Tab.6I - Planow. przestrz.'!G99+'Tab. 6D - Oświata'!G88+'Tab. 6B Polit społ i rozwój prz'!G314</f>
        <v>181218456</v>
      </c>
      <c r="E49" s="769">
        <f>'Tab. 6A -Drogi'!H527+'Tab. 6C - Ochrona zdrowia'!H48+'Tab. 6D - Oświata'!H104+'Tab. 6E - Administracja'!H242+'Tab. 6F - Kultura'!H8+'Tab. 6G - Roln i ochrona środ.'!H106+'Tab. 6H - Kultura fiz. i turyst'!H296+'Tab.6I - Planow. przestrz.'!H99+'Tab. 6D - Oświata'!H88+'Tab. 6B Polit społ i rozwój prz'!H314</f>
        <v>163850587</v>
      </c>
      <c r="F49" s="769">
        <f>'Tab. 6A -Drogi'!I527+'Tab. 6C - Ochrona zdrowia'!I48+'Tab. 6D - Oświata'!I104+'Tab. 6E - Administracja'!I242+'Tab. 6F - Kultura'!I8+'Tab. 6G - Roln i ochrona środ.'!I106+'Tab. 6H - Kultura fiz. i turyst'!I296+'Tab.6I - Planow. przestrz.'!I99+'Tab. 6D - Oświata'!I88+'Tab. 6B Polit społ i rozwój prz'!I314</f>
        <v>71683377</v>
      </c>
      <c r="G49" s="769">
        <f>'Tab. 6A -Drogi'!J527+'Tab. 6C - Ochrona zdrowia'!J48+'Tab. 6D - Oświata'!J104+'Tab. 6E - Administracja'!J242+'Tab. 6F - Kultura'!J8+'Tab. 6G - Roln i ochrona środ.'!J106+'Tab. 6H - Kultura fiz. i turyst'!J296+'Tab.6I - Planow. przestrz.'!J99+'Tab. 6D - Oświata'!J88+'Tab. 6B Polit społ i rozwój prz'!J314</f>
        <v>31761038</v>
      </c>
      <c r="H49" s="769">
        <f>'Tab. 6A -Drogi'!K527+'Tab. 6C - Ochrona zdrowia'!K48+'Tab. 6D - Oświata'!K104+'Tab. 6E - Administracja'!K242+'Tab. 6F - Kultura'!K8+'Tab. 6G - Roln i ochrona środ.'!K106+'Tab. 6H - Kultura fiz. i turyst'!K296+'Tab.6I - Planow. przestrz.'!K99+'Tab. 6D - Oświata'!K88+'Tab. 6B Polit społ i rozwój prz'!K314</f>
        <v>10268912</v>
      </c>
      <c r="I49" s="769">
        <f>'Tab. 6A -Drogi'!L527+'Tab. 6C - Ochrona zdrowia'!L48+'Tab. 6D - Oświata'!L104+'Tab. 6E - Administracja'!L242+'Tab. 6F - Kultura'!L8+'Tab. 6G - Roln i ochrona środ.'!L106+'Tab. 6H - Kultura fiz. i turyst'!L296+'Tab.6I - Planow. przestrz.'!L99+'Tab. 6D - Oświata'!L88</f>
        <v>0</v>
      </c>
      <c r="J49" s="1402">
        <f>'Tab. 6A -Drogi'!D527+'Tab. 6C - Ochrona zdrowia'!D48+'Tab. 6D - Oświata'!D104+'Tab. 6E - Administracja'!D242+'Tab. 6F - Kultura'!D8+'Tab. 6G - Roln i ochrona środ.'!D106+'Tab. 6H - Kultura fiz. i turyst'!D296+'Tab.6I - Planow. przestrz.'!D99+'Tab. 6D - Oświata'!D88+'Tab. 6B Polit społ i rozwój prz'!D314</f>
        <v>1149960157</v>
      </c>
      <c r="K49" s="928">
        <f>SUM(D49:H49)+'Tab. 6C - Ochrona zdrowia'!O88+'Tab. 6C - Ochrona zdrowia'!O93</f>
        <v>492418695</v>
      </c>
      <c r="L49" s="2655">
        <f>J49-B49-I49-C49-D49-E49-F49-G49-H49-L72</f>
        <v>0</v>
      </c>
      <c r="M49" s="360">
        <f>+I49+C49+D49+E49+F49+G49+H49+B49+'Tab. 6C - Ochrona zdrowia'!O88+'Tab. 6C - Ochrona zdrowia'!O93</f>
        <v>1149960157</v>
      </c>
      <c r="N49" s="2858">
        <f>J49-M49</f>
        <v>0</v>
      </c>
      <c r="P49" s="2377">
        <v>448434543</v>
      </c>
      <c r="Q49" s="2377">
        <f t="shared" si="17"/>
        <v>43984152</v>
      </c>
    </row>
    <row r="50" spans="1:17" ht="14.25" customHeight="1" thickBot="1">
      <c r="A50" s="799" t="s">
        <v>28</v>
      </c>
      <c r="B50" s="2882">
        <f>'Tab. 6A -Drogi'!E528+'Tab. 6C - Ochrona zdrowia'!E49+'Tab. 6D - Oświata'!E105+'Tab. 6E - Administracja'!E243+'Tab. 6F - Kultura'!E9+'Tab. 6G - Roln i ochrona środ.'!E107+'Tab. 6D - Oświata'!E89</f>
        <v>75928648</v>
      </c>
      <c r="C50" s="2882">
        <f>'Tab. 6A -Drogi'!F528+'Tab. 6C - Ochrona zdrowia'!F49+'Tab. 6D - Oświata'!F105+'Tab. 6E - Administracja'!F243+'Tab. 6F - Kultura'!F9+'Tab. 6G - Roln i ochrona środ.'!F107+'Tab. 6D - Oświata'!F93</f>
        <v>53632536</v>
      </c>
      <c r="D50" s="2882">
        <f>'Tab. 6A -Drogi'!G528+'Tab. 6C - Ochrona zdrowia'!G49+'Tab. 6D - Oświata'!G105+'Tab. 6E - Administracja'!G243+'Tab. 6F - Kultura'!G9+'Tab. 6G - Roln i ochrona środ.'!G107+'Tab. 6D - Oświata'!G93</f>
        <v>75671459</v>
      </c>
      <c r="E50" s="2882">
        <f>'Tab. 6A -Drogi'!H528+'Tab. 6C - Ochrona zdrowia'!H49+'Tab. 6D - Oświata'!H105+'Tab. 6E - Administracja'!H243+'Tab. 6F - Kultura'!H9+'Tab. 6G - Roln i ochrona środ.'!H107+'Tab. 6D - Oświata'!H93</f>
        <v>80460365</v>
      </c>
      <c r="F50" s="2882">
        <f>'Tab. 6A -Drogi'!I528+'Tab. 6C - Ochrona zdrowia'!I49+'Tab. 6D - Oświata'!I105+'Tab. 6E - Administracja'!I243+'Tab. 6F - Kultura'!I9+'Tab. 6G - Roln i ochrona środ.'!I107+'Tab. 6D - Oświata'!I89</f>
        <v>57288646</v>
      </c>
      <c r="G50" s="2882">
        <f>'Tab. 6A -Drogi'!J528+'Tab. 6C - Ochrona zdrowia'!J49+'Tab. 6D - Oświata'!J105+'Tab. 6E - Administracja'!J243+'Tab. 6F - Kultura'!J9+'Tab. 6G - Roln i ochrona środ.'!J107+'Tab. 6D - Oświata'!J89</f>
        <v>1472245</v>
      </c>
      <c r="H50" s="2882">
        <f>'Tab. 6A -Drogi'!K528+'Tab. 6C - Ochrona zdrowia'!K49+'Tab. 6D - Oświata'!K105+'Tab. 6E - Administracja'!K243+'Tab. 6F - Kultura'!K9+'Tab. 6G - Roln i ochrona środ.'!K107+'Tab. 6D - Oświata'!K89</f>
        <v>0</v>
      </c>
      <c r="I50" s="2882">
        <f>'Tab. 6A -Drogi'!L528+'Tab. 6C - Ochrona zdrowia'!L49+'Tab. 6D - Oświata'!L105+'Tab. 6E - Administracja'!L243+'Tab. 6F - Kultura'!L9+'Tab. 6G - Roln i ochrona środ.'!L107</f>
        <v>0</v>
      </c>
      <c r="J50" s="1403">
        <f>'Tab. 6A -Drogi'!D528+'Tab. 6C - Ochrona zdrowia'!D49+'Tab. 6D - Oświata'!D105+'Tab. 6E - Administracja'!D243+'Tab. 6F - Kultura'!D9+'Tab. 6G - Roln i ochrona środ.'!D107+'Tab. 6D - Oświata'!D89</f>
        <v>344453899</v>
      </c>
      <c r="K50" s="929">
        <f>SUM(D50:H50)</f>
        <v>214892715</v>
      </c>
      <c r="L50" s="2655">
        <f>J50-B50-I50-C50-D50-E50-F50-G50-H50</f>
        <v>0</v>
      </c>
      <c r="M50" s="360">
        <f>+I50+C50+D50+E50+F50+G50+H50+B50</f>
        <v>344453899</v>
      </c>
      <c r="N50" s="2858">
        <f>J50-M50</f>
        <v>0</v>
      </c>
      <c r="P50" s="2377">
        <v>204613517</v>
      </c>
      <c r="Q50" s="2377">
        <f t="shared" si="17"/>
        <v>10279198</v>
      </c>
    </row>
    <row r="51" spans="1:17" s="361" customFormat="1" ht="4.5" customHeight="1">
      <c r="A51" s="773"/>
      <c r="B51" s="774"/>
      <c r="C51" s="788"/>
      <c r="D51" s="774"/>
      <c r="E51" s="774"/>
      <c r="F51" s="774"/>
      <c r="G51" s="774"/>
      <c r="H51" s="774"/>
      <c r="I51" s="774"/>
      <c r="J51" s="789"/>
      <c r="K51" s="1408"/>
      <c r="L51" s="786"/>
      <c r="M51" s="360"/>
      <c r="N51" s="2858"/>
      <c r="P51" s="2377"/>
      <c r="Q51" s="2377">
        <f t="shared" si="17"/>
        <v>0</v>
      </c>
    </row>
    <row r="52" spans="1:17" s="784" customFormat="1" ht="18" customHeight="1">
      <c r="A52" s="2859" t="s">
        <v>9</v>
      </c>
      <c r="B52" s="2860">
        <f t="shared" ref="B52:J52" si="18">+B53+B60</f>
        <v>580558165.63999999</v>
      </c>
      <c r="C52" s="2860">
        <f t="shared" si="18"/>
        <v>214910812</v>
      </c>
      <c r="D52" s="2860">
        <f t="shared" si="18"/>
        <v>305803829</v>
      </c>
      <c r="E52" s="2860">
        <f t="shared" si="18"/>
        <v>300055476</v>
      </c>
      <c r="F52" s="2860">
        <f t="shared" si="18"/>
        <v>134284057</v>
      </c>
      <c r="G52" s="2860">
        <f t="shared" si="18"/>
        <v>35517834</v>
      </c>
      <c r="H52" s="2860">
        <f t="shared" si="18"/>
        <v>10268912</v>
      </c>
      <c r="I52" s="2860">
        <f t="shared" ref="I52" si="19">+I53+I60</f>
        <v>0</v>
      </c>
      <c r="J52" s="1391">
        <f t="shared" si="18"/>
        <v>1615035410.6400001</v>
      </c>
      <c r="K52" s="2861">
        <f>+K53</f>
        <v>707311410</v>
      </c>
      <c r="L52" s="794"/>
      <c r="M52" s="360">
        <f>+I52+C52+D52+E52+F52+G52+H52+B52+'Tab. 6C - Ochrona zdrowia'!O88+'Tab. 6C - Ochrona zdrowia'!O93</f>
        <v>1615035410.6399999</v>
      </c>
      <c r="N52" s="2858">
        <f t="shared" ref="N52:N61" si="20">J52-M52</f>
        <v>0</v>
      </c>
      <c r="P52" s="2377">
        <f>644729489+C61+C56</f>
        <v>649406062</v>
      </c>
      <c r="Q52" s="2377">
        <f>K52-P52</f>
        <v>57905348</v>
      </c>
    </row>
    <row r="53" spans="1:17" s="779" customFormat="1" ht="18" customHeight="1">
      <c r="A53" s="776" t="s">
        <v>10</v>
      </c>
      <c r="B53" s="800">
        <f t="shared" ref="B53:J53" si="21">SUM(B54:B59)</f>
        <v>580008615.63999999</v>
      </c>
      <c r="C53" s="800">
        <f t="shared" si="21"/>
        <v>214366366</v>
      </c>
      <c r="D53" s="800">
        <f>SUM(D54:D59)</f>
        <v>256935915</v>
      </c>
      <c r="E53" s="800">
        <f t="shared" si="21"/>
        <v>244324952</v>
      </c>
      <c r="F53" s="800">
        <f t="shared" si="21"/>
        <v>128972023</v>
      </c>
      <c r="G53" s="800">
        <f t="shared" si="21"/>
        <v>33233283</v>
      </c>
      <c r="H53" s="800">
        <f t="shared" si="21"/>
        <v>10268912</v>
      </c>
      <c r="I53" s="800">
        <f t="shared" ref="I53" si="22">SUM(I54:I59)</f>
        <v>0</v>
      </c>
      <c r="J53" s="1404">
        <f t="shared" si="21"/>
        <v>1501746391.6400001</v>
      </c>
      <c r="K53" s="1409">
        <f>SUM(K54:K59)</f>
        <v>707311410</v>
      </c>
      <c r="L53" s="786"/>
      <c r="M53" s="360">
        <f>+I53+C53+D53+E53+F53+G53+H53+B53+'Tab. 6C - Ochrona zdrowia'!O88+'Tab. 6C - Ochrona zdrowia'!O93</f>
        <v>1501746391.6399999</v>
      </c>
      <c r="N53" s="2858">
        <f t="shared" si="20"/>
        <v>0</v>
      </c>
      <c r="P53" s="2377">
        <f>651107242+C56</f>
        <v>655239369</v>
      </c>
      <c r="Q53" s="2377">
        <f>K53-P53</f>
        <v>52072041</v>
      </c>
    </row>
    <row r="54" spans="1:17" s="361" customFormat="1" ht="16.5" customHeight="1">
      <c r="A54" s="780" t="s">
        <v>29</v>
      </c>
      <c r="B54" s="363">
        <f>+'Tab. 6D - Oświata'!E110+'Tab. 6A -Drogi'!E531+'Tab. 6E - Administracja'!E246+'Tab. 6C - Ochrona zdrowia'!E52+'Tab.6I - Planow. przestrz.'!E103+'Tab. 6G - Roln i ochrona środ.'!E110+'Tab. 6H - Kultura fiz. i turyst'!E300+'Tab. 6D - Oświata'!E97+'Tab. 6B Polit społ i rozwój prz'!E318</f>
        <v>518668716</v>
      </c>
      <c r="C54" s="363">
        <f>+'Tab. 6D - Oświata'!F110+'Tab. 6A -Drogi'!F531+'Tab. 6E - Administracja'!F246+'Tab. 6C - Ochrona zdrowia'!F52+'Tab.6I - Planow. przestrz.'!F103+'Tab. 6G - Roln i ochrona środ.'!F110+'Tab. 6H - Kultura fiz. i turyst'!F300+'Tab. 6D - Oświata'!F97+'Tab. 6B Polit społ i rozwój prz'!F318</f>
        <v>151081088</v>
      </c>
      <c r="D54" s="363">
        <f>+'Tab. 6D - Oświata'!G110+'Tab. 6A -Drogi'!G531+'Tab. 6E - Administracja'!G246+'Tab. 6C - Ochrona zdrowia'!G52+'Tab.6I - Planow. przestrz.'!G103+'Tab. 6G - Roln i ochrona środ.'!G110+'Tab. 6H - Kultura fiz. i turyst'!G300+'Tab. 6D - Oświata'!G97+'Tab. 6B Polit społ i rozwój prz'!G318</f>
        <v>198872835</v>
      </c>
      <c r="E54" s="363">
        <f>+'Tab. 6D - Oświata'!H110+'Tab. 6A -Drogi'!H531+'Tab. 6E - Administracja'!H246+'Tab. 6C - Ochrona zdrowia'!H52+'Tab.6I - Planow. przestrz.'!H103+'Tab. 6G - Roln i ochrona środ.'!H110+'Tab. 6H - Kultura fiz. i turyst'!H300+'Tab. 6D - Oświata'!H97+'Tab. 6B Polit społ i rozwój prz'!H318</f>
        <v>193790826</v>
      </c>
      <c r="F54" s="363">
        <f>+'Tab. 6D - Oświata'!I110+'Tab. 6A -Drogi'!I531+'Tab. 6E - Administracja'!I246+'Tab. 6C - Ochrona zdrowia'!I52+'Tab.6I - Planow. przestrz.'!I103+'Tab. 6G - Roln i ochrona środ.'!I110+'Tab. 6H - Kultura fiz. i turyst'!I300+'Tab. 6D - Oświata'!I97+'Tab. 6B Polit społ i rozwój prz'!I318</f>
        <v>78252656</v>
      </c>
      <c r="G54" s="363">
        <f>+'Tab. 6D - Oświata'!J110+'Tab. 6A -Drogi'!J531+'Tab. 6E - Administracja'!J246+'Tab. 6C - Ochrona zdrowia'!J52+'Tab.6I - Planow. przestrz.'!J103+'Tab. 6G - Roln i ochrona środ.'!J110+'Tab. 6H - Kultura fiz. i turyst'!J300+'Tab. 6D - Oświata'!J97+'Tab. 6B Polit społ i rozwój prz'!J318</f>
        <v>31761038</v>
      </c>
      <c r="H54" s="363">
        <f>+'Tab. 6D - Oświata'!K110+'Tab. 6A -Drogi'!K531+'Tab. 6E - Administracja'!K246+'Tab. 6C - Ochrona zdrowia'!K52+'Tab.6I - Planow. przestrz.'!K103+'Tab. 6G - Roln i ochrona środ.'!K110+'Tab. 6H - Kultura fiz. i turyst'!K300+'Tab. 6D - Oświata'!K97+'Tab. 6B Polit społ i rozwój prz'!K318</f>
        <v>10268912</v>
      </c>
      <c r="I54" s="363">
        <f>+'Tab. 6D - Oświata'!L110+'Tab. 6A -Drogi'!L531+'Tab. 6E - Administracja'!L246+'Tab. 6C - Ochrona zdrowia'!L52+'Tab.6I - Planow. przestrz.'!L103+'Tab. 6G - Roln i ochrona środ.'!L110+'Tab. 6H - Kultura fiz. i turyst'!L300+'Tab. 6D - Oświata'!L97</f>
        <v>0</v>
      </c>
      <c r="J54" s="1393">
        <f>B54+I54+C54+D54+E54+F54+G54+H54+'Tab. 6C - Ochrona zdrowia'!O88+'Tab. 6C - Ochrona zdrowia'!O93</f>
        <v>1216332396</v>
      </c>
      <c r="K54" s="2660">
        <f>SUM(D54:H54)+'Tab. 6C - Ochrona zdrowia'!O88+'Tab. 6C - Ochrona zdrowia'!O93</f>
        <v>546582592</v>
      </c>
      <c r="L54" s="261"/>
      <c r="M54" s="360">
        <f>+I54+C54+D54+E54+F54+G54+H54+B54+'Tab. 6C - Ochrona zdrowia'!O88+'Tab. 6C - Ochrona zdrowia'!O93</f>
        <v>1216332396</v>
      </c>
      <c r="N54" s="2858">
        <f t="shared" si="20"/>
        <v>0</v>
      </c>
      <c r="P54" s="2377">
        <v>501569190</v>
      </c>
      <c r="Q54" s="2377">
        <f t="shared" si="17"/>
        <v>45013402</v>
      </c>
    </row>
    <row r="55" spans="1:17" s="361" customFormat="1" ht="15.75" customHeight="1">
      <c r="A55" s="2862" t="s">
        <v>15</v>
      </c>
      <c r="B55" s="363">
        <f>+'Tab. 6A -Drogi'!E534+'Tab. 6G - Roln i ochrona środ.'!E114+'Tab. 6H - Kultura fiz. i turyst'!E13</f>
        <v>10003578</v>
      </c>
      <c r="C55" s="363">
        <f>+'Tab. 6A -Drogi'!F534+'Tab. 6G - Roln i ochrona środ.'!F114+'Tab. 6H - Kultura fiz. i turyst'!F301</f>
        <v>16487247</v>
      </c>
      <c r="D55" s="363">
        <f>+'Tab. 6A -Drogi'!G534+'Tab. 6G - Roln i ochrona środ.'!G114+'Tab. 6H - Kultura fiz. i turyst'!G301</f>
        <v>26717700</v>
      </c>
      <c r="E55" s="363">
        <f>+'Tab. 6A -Drogi'!H534+'Tab. 6G - Roln i ochrona środ.'!H114+'Tab. 6H - Kultura fiz. i turyst'!H301</f>
        <v>9240676</v>
      </c>
      <c r="F55" s="362">
        <f>+'Tab. 6A -Drogi'!I534+'Tab. 6G - Roln i ochrona środ.'!I114+'Tab. 6H - Kultura fiz. i turyst'!I301</f>
        <v>0</v>
      </c>
      <c r="G55" s="362">
        <f>+'Tab. 6A -Drogi'!J534+'Tab. 6G - Roln i ochrona środ.'!J114+'Tab. 6H - Kultura fiz. i turyst'!J301</f>
        <v>0</v>
      </c>
      <c r="H55" s="362">
        <f>+'Tab. 6A -Drogi'!K534+'Tab. 6G - Roln i ochrona środ.'!K114+'Tab. 6H - Kultura fiz. i turyst'!K301</f>
        <v>0</v>
      </c>
      <c r="I55" s="363">
        <f>+'Tab. 6A -Drogi'!L534+'Tab. 6G - Roln i ochrona środ.'!L114+'Tab. 6H - Kultura fiz. i turyst'!L301</f>
        <v>0</v>
      </c>
      <c r="J55" s="1393">
        <f>B55+I55+C55+D55+E55+F55+G55+H55</f>
        <v>62449201</v>
      </c>
      <c r="K55" s="770">
        <f>SUM(D55:H55)</f>
        <v>35958376</v>
      </c>
      <c r="L55" s="261"/>
      <c r="M55" s="360">
        <f t="shared" ref="M55:M61" si="23">+I55+C55+D55+E55+F55+G55+H55+B55</f>
        <v>62449201</v>
      </c>
      <c r="N55" s="2858">
        <f t="shared" si="20"/>
        <v>0</v>
      </c>
      <c r="P55" s="2377">
        <v>35958376</v>
      </c>
      <c r="Q55" s="2377">
        <f t="shared" si="17"/>
        <v>0</v>
      </c>
    </row>
    <row r="56" spans="1:17" s="361" customFormat="1" ht="15.75" customHeight="1">
      <c r="A56" s="2862" t="s">
        <v>30</v>
      </c>
      <c r="B56" s="363">
        <f>+'Tab. 6F - Kultura'!E12+'Tab. 6C - Ochrona zdrowia'!E53</f>
        <v>3140208.6400000001</v>
      </c>
      <c r="C56" s="363">
        <f>+'Tab. 6F - Kultura'!F12+'Tab. 6C - Ochrona zdrowia'!F53</f>
        <v>4132127</v>
      </c>
      <c r="D56" s="363">
        <f>+'Tab. 6F - Kultura'!G12+'Tab. 6C - Ochrona zdrowia'!G53</f>
        <v>46000</v>
      </c>
      <c r="E56" s="362">
        <f>+'Tab. 6F - Kultura'!H12+'Tab. 6C - Ochrona zdrowia'!H53</f>
        <v>14000</v>
      </c>
      <c r="F56" s="362">
        <f>+'Tab. 6F - Kultura'!I12+'Tab. 6C - Ochrona zdrowia'!I53</f>
        <v>0</v>
      </c>
      <c r="G56" s="362">
        <f>+'Tab. 6F - Kultura'!J12+'Tab. 6C - Ochrona zdrowia'!J53</f>
        <v>0</v>
      </c>
      <c r="H56" s="362">
        <f>+'Tab. 6F - Kultura'!K12+'Tab. 6C - Ochrona zdrowia'!K53+'Tab. 6H - Kultura fiz. i turyst'!K13</f>
        <v>0</v>
      </c>
      <c r="I56" s="363">
        <f>+'Tab. 6F - Kultura'!L12+'Tab. 6C - Ochrona zdrowia'!L53</f>
        <v>0</v>
      </c>
      <c r="J56" s="1393">
        <f>B56+I56+C56+D56+E56+F56+G56+H56</f>
        <v>7332335.6400000006</v>
      </c>
      <c r="K56" s="1216" t="s">
        <v>52</v>
      </c>
      <c r="L56" s="786"/>
      <c r="M56" s="360">
        <f t="shared" si="23"/>
        <v>7332335.6400000006</v>
      </c>
      <c r="N56" s="2858">
        <f t="shared" si="20"/>
        <v>0</v>
      </c>
      <c r="P56" s="2377"/>
    </row>
    <row r="57" spans="1:17" s="361" customFormat="1" ht="15.75" customHeight="1">
      <c r="A57" s="780" t="s">
        <v>31</v>
      </c>
      <c r="B57" s="363">
        <f>+'Tab. 6F - Kultura'!E13+'Tab. 6C - Ochrona zdrowia'!E54+'Tab. 6D - Oświata'!E109+'Tab. 6H - Kultura fiz. i turyst'!E309+'Tab. 6D - Oświata'!E93</f>
        <v>16076191</v>
      </c>
      <c r="C57" s="363">
        <f>+'Tab. 6F - Kultura'!F13+'Tab. 6C - Ochrona zdrowia'!F54+'Tab. 6D - Oświata'!F109+'Tab. 6H - Kultura fiz. i turyst'!F309+'Tab. 6D - Oświata'!F93</f>
        <v>12121213</v>
      </c>
      <c r="D57" s="363">
        <f>+'Tab. 6F - Kultura'!G13+'Tab. 6C - Ochrona zdrowia'!G54+'Tab. 6D - Oświata'!G109+'Tab. 6H - Kultura fiz. i turyst'!G309+'Tab. 6D - Oświata'!G93</f>
        <v>29197927</v>
      </c>
      <c r="E57" s="363">
        <f>+'Tab. 6F - Kultura'!H13+'Tab. 6C - Ochrona zdrowia'!H54+'Tab. 6D - Oświata'!H109+'Tab. 6H - Kultura fiz. i turyst'!H309+'Tab. 6D - Oświata'!H93</f>
        <v>41279450</v>
      </c>
      <c r="F57" s="363">
        <f>+'Tab. 6F - Kultura'!I13+'Tab. 6C - Ochrona zdrowia'!I54+'Tab. 6D - Oświata'!I109+'Tab. 6H - Kultura fiz. i turyst'!I309+'Tab. 6D - Oświata'!I93</f>
        <v>50719367</v>
      </c>
      <c r="G57" s="363">
        <f>+'Tab. 6F - Kultura'!J13+'Tab. 6C - Ochrona zdrowia'!J54+'Tab. 6D - Oświata'!J109+'Tab. 6H - Kultura fiz. i turyst'!J309+'Tab. 6D - Oświata'!J93</f>
        <v>1472245</v>
      </c>
      <c r="H57" s="362">
        <f>+'Tab. 6F - Kultura'!K13+'Tab. 6C - Ochrona zdrowia'!K54+'Tab. 6D - Oświata'!K109+'Tab. 6H - Kultura fiz. i turyst'!K309+'Tab. 6D - Oświata'!K93</f>
        <v>0</v>
      </c>
      <c r="I57" s="363">
        <f>+'Tab. 6F - Kultura'!L13+'Tab. 6C - Ochrona zdrowia'!L54+'Tab. 6H - Kultura fiz. i turyst'!L309</f>
        <v>0</v>
      </c>
      <c r="J57" s="1393">
        <f>B57+I57+C57+D57+E57+F57+G57+H57</f>
        <v>150866393</v>
      </c>
      <c r="K57" s="2660">
        <f>SUM(D57:H57)</f>
        <v>122668989</v>
      </c>
      <c r="L57" s="261"/>
      <c r="M57" s="360">
        <f t="shared" si="23"/>
        <v>150866393</v>
      </c>
      <c r="N57" s="2858">
        <f t="shared" si="20"/>
        <v>0</v>
      </c>
      <c r="P57" s="2377">
        <v>115520494</v>
      </c>
      <c r="Q57" s="2377">
        <f t="shared" ref="Q57:Q59" si="24">K57-P57</f>
        <v>7148495</v>
      </c>
    </row>
    <row r="58" spans="1:17" s="361" customFormat="1" ht="15.75" customHeight="1">
      <c r="A58" s="2862" t="s">
        <v>14</v>
      </c>
      <c r="B58" s="363">
        <f>+'Tab. 6A -Drogi'!E533+'Tab. 6C - Ochrona zdrowia'!E57</f>
        <v>8693931</v>
      </c>
      <c r="C58" s="363">
        <f>+'Tab. 6A -Drogi'!F533+'Tab. 6C - Ochrona zdrowia'!F57</f>
        <v>4926954</v>
      </c>
      <c r="D58" s="363">
        <f>+'Tab. 6A -Drogi'!G533+'Tab. 6C - Ochrona zdrowia'!G57</f>
        <v>2101453</v>
      </c>
      <c r="E58" s="362">
        <f>+'Tab. 6A -Drogi'!H533+'Tab. 6C - Ochrona zdrowia'!H57</f>
        <v>0</v>
      </c>
      <c r="F58" s="362">
        <f>+'Tab. 6A -Drogi'!I533+'Tab. 6C - Ochrona zdrowia'!I57</f>
        <v>0</v>
      </c>
      <c r="G58" s="362">
        <f>+'Tab. 6A -Drogi'!J533+'Tab. 6C - Ochrona zdrowia'!J57</f>
        <v>0</v>
      </c>
      <c r="H58" s="362">
        <f>+'Tab. 6A -Drogi'!K533+'Tab. 6C - Ochrona zdrowia'!K57</f>
        <v>0</v>
      </c>
      <c r="I58" s="363">
        <f>+'Tab. 6A -Drogi'!L533+'Tab. 6C - Ochrona zdrowia'!L57</f>
        <v>0</v>
      </c>
      <c r="J58" s="1393">
        <f>B58+I58+C58+D58+E58+F58+G58+H58</f>
        <v>15722338</v>
      </c>
      <c r="K58" s="770">
        <f>SUM(D58:H58)</f>
        <v>2101453</v>
      </c>
      <c r="L58" s="261"/>
      <c r="M58" s="360">
        <f t="shared" si="23"/>
        <v>15722338</v>
      </c>
      <c r="N58" s="2858">
        <f t="shared" si="20"/>
        <v>0</v>
      </c>
      <c r="P58" s="2377">
        <v>0</v>
      </c>
      <c r="Q58" s="2377">
        <f t="shared" si="24"/>
        <v>2101453</v>
      </c>
    </row>
    <row r="59" spans="1:17" s="361" customFormat="1" ht="12.75" customHeight="1">
      <c r="A59" s="2862" t="s">
        <v>12</v>
      </c>
      <c r="B59" s="363">
        <f>+'Tab. 6A -Drogi'!E532+'Tab. 6C - Ochrona zdrowia'!E55</f>
        <v>23425991</v>
      </c>
      <c r="C59" s="363">
        <f>+'Tab. 6A -Drogi'!F532+'Tab. 6C - Ochrona zdrowia'!F55</f>
        <v>25617737</v>
      </c>
      <c r="D59" s="362">
        <f>+'Tab. 6A -Drogi'!G532+'Tab. 6C - Ochrona zdrowia'!G55</f>
        <v>0</v>
      </c>
      <c r="E59" s="362">
        <f>+'Tab. 6A -Drogi'!H532+'Tab. 6C - Ochrona zdrowia'!H55</f>
        <v>0</v>
      </c>
      <c r="F59" s="362">
        <f>+'Tab. 6A -Drogi'!I532+'Tab. 6C - Ochrona zdrowia'!I55</f>
        <v>0</v>
      </c>
      <c r="G59" s="362">
        <f>+'Tab. 6A -Drogi'!J532+'Tab. 6C - Ochrona zdrowia'!J55</f>
        <v>0</v>
      </c>
      <c r="H59" s="362">
        <f>+'Tab. 6A -Drogi'!K532+'Tab. 6C - Ochrona zdrowia'!K55</f>
        <v>0</v>
      </c>
      <c r="I59" s="363">
        <f>+'Tab. 6A -Drogi'!L532+'Tab. 6C - Ochrona zdrowia'!L55</f>
        <v>0</v>
      </c>
      <c r="J59" s="1393">
        <f>B59+I59+C59+D59+E59+F59+G59+H59</f>
        <v>49043728</v>
      </c>
      <c r="K59" s="770">
        <f>SUM(D59:H59)</f>
        <v>0</v>
      </c>
      <c r="L59" s="261"/>
      <c r="M59" s="360">
        <f t="shared" si="23"/>
        <v>49043728</v>
      </c>
      <c r="N59" s="2858">
        <f t="shared" si="20"/>
        <v>0</v>
      </c>
      <c r="P59" s="2377">
        <v>0</v>
      </c>
      <c r="Q59" s="2377">
        <f t="shared" si="24"/>
        <v>0</v>
      </c>
    </row>
    <row r="60" spans="1:17" s="361" customFormat="1" ht="18" customHeight="1">
      <c r="A60" s="359" t="s">
        <v>17</v>
      </c>
      <c r="B60" s="2873">
        <f t="shared" ref="B60:H60" si="25">SUM(B61:B61)</f>
        <v>549550</v>
      </c>
      <c r="C60" s="2867">
        <f t="shared" si="25"/>
        <v>544446</v>
      </c>
      <c r="D60" s="2867">
        <f t="shared" si="25"/>
        <v>48867914</v>
      </c>
      <c r="E60" s="2867">
        <f t="shared" si="25"/>
        <v>55730524</v>
      </c>
      <c r="F60" s="2867">
        <f t="shared" si="25"/>
        <v>5312034</v>
      </c>
      <c r="G60" s="2867">
        <f t="shared" si="25"/>
        <v>2284551</v>
      </c>
      <c r="H60" s="2883">
        <f t="shared" si="25"/>
        <v>0</v>
      </c>
      <c r="I60" s="2867">
        <f>SUM(I61:I61)</f>
        <v>0</v>
      </c>
      <c r="J60" s="1394">
        <f>+J61</f>
        <v>113289019</v>
      </c>
      <c r="K60" s="2884" t="s">
        <v>52</v>
      </c>
      <c r="L60" s="786"/>
      <c r="M60" s="360">
        <f t="shared" si="23"/>
        <v>113289019</v>
      </c>
      <c r="N60" s="2858">
        <f t="shared" si="20"/>
        <v>0</v>
      </c>
      <c r="P60" s="2377"/>
    </row>
    <row r="61" spans="1:17" s="361" customFormat="1" ht="16.5" customHeight="1">
      <c r="A61" s="2862" t="s">
        <v>33</v>
      </c>
      <c r="B61" s="363">
        <f>+'Tab. 6D - Oświata'!E112+'Tab. 6F - Kultura'!E16+'Tab. 6C - Ochrona zdrowia'!E59</f>
        <v>549550</v>
      </c>
      <c r="C61" s="363">
        <f>+'Tab. 6D - Oświata'!F112+'Tab. 6F - Kultura'!F16+'Tab. 6C - Ochrona zdrowia'!F59</f>
        <v>544446</v>
      </c>
      <c r="D61" s="363">
        <f>+'Tab. 6D - Oświata'!G112+'Tab. 6F - Kultura'!G16+'Tab. 6C - Ochrona zdrowia'!G59</f>
        <v>48867914</v>
      </c>
      <c r="E61" s="363">
        <f>+'Tab. 6D - Oświata'!H112+'Tab. 6F - Kultura'!H16+'Tab. 6C - Ochrona zdrowia'!H59</f>
        <v>55730524</v>
      </c>
      <c r="F61" s="363">
        <f>+'Tab. 6D - Oświata'!I112+'Tab. 6F - Kultura'!I16+'Tab. 6C - Ochrona zdrowia'!I59</f>
        <v>5312034</v>
      </c>
      <c r="G61" s="363">
        <f>+'Tab. 6D - Oświata'!J112+'Tab. 6F - Kultura'!J16+'Tab. 6C - Ochrona zdrowia'!J59</f>
        <v>2284551</v>
      </c>
      <c r="H61" s="362">
        <f>+'Tab. 6D - Oświata'!K112+'Tab. 6F - Kultura'!K16+'Tab. 6C - Ochrona zdrowia'!K59</f>
        <v>0</v>
      </c>
      <c r="I61" s="363">
        <f>+'Tab. 6F - Kultura'!L16+'Tab. 6C - Ochrona zdrowia'!L59</f>
        <v>0</v>
      </c>
      <c r="J61" s="1393">
        <f>B61+I61+C61+D61+E61+F61+G61+H61</f>
        <v>113289019</v>
      </c>
      <c r="K61" s="1217" t="s">
        <v>52</v>
      </c>
      <c r="L61" s="786"/>
      <c r="M61" s="360">
        <f t="shared" si="23"/>
        <v>113289019</v>
      </c>
      <c r="N61" s="2858">
        <f t="shared" si="20"/>
        <v>0</v>
      </c>
      <c r="P61" s="2377"/>
    </row>
    <row r="62" spans="1:17" s="775" customFormat="1" ht="18" customHeight="1">
      <c r="A62" s="2859" t="s">
        <v>20</v>
      </c>
      <c r="B62" s="2885">
        <f t="shared" ref="B62:J62" si="26">+B63+B68</f>
        <v>107114885</v>
      </c>
      <c r="C62" s="2885">
        <f t="shared" si="26"/>
        <v>63738928</v>
      </c>
      <c r="D62" s="2885">
        <f t="shared" si="26"/>
        <v>84851631</v>
      </c>
      <c r="E62" s="2885">
        <f t="shared" si="26"/>
        <v>107992114</v>
      </c>
      <c r="F62" s="2885">
        <f t="shared" si="26"/>
        <v>15600009</v>
      </c>
      <c r="G62" s="2885">
        <f t="shared" si="26"/>
        <v>3935280</v>
      </c>
      <c r="H62" s="2886">
        <f t="shared" si="26"/>
        <v>0</v>
      </c>
      <c r="I62" s="2887">
        <f>+I63+I68</f>
        <v>0</v>
      </c>
      <c r="J62" s="1405">
        <f t="shared" si="26"/>
        <v>383232847</v>
      </c>
      <c r="K62" s="3606" t="s">
        <v>21</v>
      </c>
      <c r="L62" s="794"/>
      <c r="N62" s="2879"/>
    </row>
    <row r="63" spans="1:17" s="361" customFormat="1" ht="15" customHeight="1">
      <c r="A63" s="359" t="s">
        <v>22</v>
      </c>
      <c r="B63" s="2873">
        <f t="shared" ref="B63:J63" si="27">SUM(B64:B67)</f>
        <v>106589985</v>
      </c>
      <c r="C63" s="2873">
        <f t="shared" si="27"/>
        <v>63372005</v>
      </c>
      <c r="D63" s="2873">
        <f t="shared" si="27"/>
        <v>44392922</v>
      </c>
      <c r="E63" s="2873">
        <f t="shared" si="27"/>
        <v>43650212</v>
      </c>
      <c r="F63" s="2873">
        <f t="shared" si="27"/>
        <v>10287975</v>
      </c>
      <c r="G63" s="2873">
        <f t="shared" si="27"/>
        <v>1650729</v>
      </c>
      <c r="H63" s="2888">
        <f t="shared" si="27"/>
        <v>0</v>
      </c>
      <c r="I63" s="2867">
        <f>SUM(I64:I67)</f>
        <v>0</v>
      </c>
      <c r="J63" s="1396">
        <f t="shared" si="27"/>
        <v>269943828</v>
      </c>
      <c r="K63" s="3607"/>
      <c r="L63" s="786" t="s">
        <v>220</v>
      </c>
      <c r="N63" s="2874"/>
    </row>
    <row r="64" spans="1:17" s="361" customFormat="1" ht="15.75" customHeight="1">
      <c r="A64" s="2862" t="s">
        <v>12</v>
      </c>
      <c r="B64" s="688">
        <f>+'Tab. 6C - Ochrona zdrowia'!E62+'Tab. 6A -Drogi'!E538</f>
        <v>23425991</v>
      </c>
      <c r="C64" s="363">
        <f>+'Tab. 6C - Ochrona zdrowia'!F62+'Tab. 6A -Drogi'!F538</f>
        <v>25617737</v>
      </c>
      <c r="D64" s="801">
        <f>+'Tab. 6C - Ochrona zdrowia'!G62+'Tab. 6A -Drogi'!G538</f>
        <v>0</v>
      </c>
      <c r="E64" s="801">
        <f>+'Tab. 6C - Ochrona zdrowia'!H62+'Tab. 6A -Drogi'!H538</f>
        <v>0</v>
      </c>
      <c r="F64" s="801">
        <f>+'Tab. 6C - Ochrona zdrowia'!I62+'Tab. 6A -Drogi'!I538</f>
        <v>0</v>
      </c>
      <c r="G64" s="801">
        <f>+'Tab. 6C - Ochrona zdrowia'!J62+'Tab. 6A -Drogi'!J538</f>
        <v>0</v>
      </c>
      <c r="H64" s="801">
        <f>+'Tab. 6C - Ochrona zdrowia'!K62+'Tab. 6A -Drogi'!K538</f>
        <v>0</v>
      </c>
      <c r="I64" s="207">
        <f>+'Tab. 6C - Ochrona zdrowia'!L62+'Tab. 6A -Drogi'!L538</f>
        <v>0</v>
      </c>
      <c r="J64" s="1393">
        <f>B64+I64+C64+D64+E64+F64+G64+H64</f>
        <v>49043728</v>
      </c>
      <c r="K64" s="3607"/>
      <c r="L64" s="786">
        <f>J64-J59</f>
        <v>0</v>
      </c>
      <c r="N64" s="2874"/>
    </row>
    <row r="65" spans="1:17" s="361" customFormat="1" ht="15" customHeight="1">
      <c r="A65" s="2862" t="s">
        <v>14</v>
      </c>
      <c r="B65" s="688">
        <f>+'Tab. 6A -Drogi'!E539+'Tab. 6C - Ochrona zdrowia'!E63</f>
        <v>8693931</v>
      </c>
      <c r="C65" s="207">
        <f>+'Tab. 6A -Drogi'!F539+'Tab. 6C - Ochrona zdrowia'!F63</f>
        <v>4926954</v>
      </c>
      <c r="D65" s="207">
        <f>+'Tab. 6A -Drogi'!G539+'Tab. 6C - Ochrona zdrowia'!G63</f>
        <v>2101453</v>
      </c>
      <c r="E65" s="801">
        <f>+'Tab. 6A -Drogi'!H539+'Tab. 6C - Ochrona zdrowia'!H63</f>
        <v>0</v>
      </c>
      <c r="F65" s="801">
        <f>+'Tab. 6A -Drogi'!I539+'Tab. 6C - Ochrona zdrowia'!I63</f>
        <v>0</v>
      </c>
      <c r="G65" s="801">
        <f>+'Tab. 6A -Drogi'!J539+'Tab. 6C - Ochrona zdrowia'!J63</f>
        <v>0</v>
      </c>
      <c r="H65" s="801">
        <f>+'Tab. 6A -Drogi'!K539+'Tab. 6C - Ochrona zdrowia'!K63</f>
        <v>0</v>
      </c>
      <c r="I65" s="207">
        <f>+'Tab. 6A -Drogi'!L539+'Tab. 6C - Ochrona zdrowia'!L63</f>
        <v>0</v>
      </c>
      <c r="J65" s="1393">
        <f>B65+I65+C65+D65+E65+F65+G65+H65</f>
        <v>15722338</v>
      </c>
      <c r="K65" s="3607"/>
      <c r="L65" s="786">
        <f>J65-J58</f>
        <v>0</v>
      </c>
      <c r="N65" s="2874"/>
    </row>
    <row r="66" spans="1:17" s="361" customFormat="1" ht="15" customHeight="1">
      <c r="A66" s="2862" t="s">
        <v>15</v>
      </c>
      <c r="B66" s="688">
        <f>+'Tab. 6A -Drogi'!E540+'Tab. 6G - Roln i ochrona środ.'!E120</f>
        <v>37191346</v>
      </c>
      <c r="C66" s="688">
        <f>+'Tab. 6A -Drogi'!F540+'Tab. 6G - Roln i ochrona środ.'!F120</f>
        <v>8419285</v>
      </c>
      <c r="D66" s="688">
        <f>+'Tab. 6A -Drogi'!G540+'Tab. 6G - Roln i ochrona środ.'!G120</f>
        <v>8419285</v>
      </c>
      <c r="E66" s="688">
        <f>+'Tab. 6A -Drogi'!H540+'Tab. 6G - Roln i ochrona środ.'!H120</f>
        <v>8419285</v>
      </c>
      <c r="F66" s="785">
        <f>+'Tab. 6A -Drogi'!I540+'Tab. 6G - Roln i ochrona środ.'!I120</f>
        <v>0</v>
      </c>
      <c r="G66" s="785">
        <f>+'Tab. 6A -Drogi'!J540+'Tab. 6G - Roln i ochrona środ.'!J120</f>
        <v>0</v>
      </c>
      <c r="H66" s="785">
        <f>+'Tab. 6A -Drogi'!K540+'Tab. 6G - Roln i ochrona środ.'!K120</f>
        <v>0</v>
      </c>
      <c r="I66" s="207">
        <f>+'Tab. 6A -Drogi'!L540+'Tab. 6G - Roln i ochrona środ.'!L120</f>
        <v>0</v>
      </c>
      <c r="J66" s="1393">
        <f>B66+I66+C66+D66+E66+F66+G66+H66</f>
        <v>62449201</v>
      </c>
      <c r="K66" s="3607"/>
      <c r="L66" s="786">
        <f>J66-J55</f>
        <v>0</v>
      </c>
      <c r="N66" s="2874"/>
    </row>
    <row r="67" spans="1:17" s="361" customFormat="1" ht="14.25" customHeight="1">
      <c r="A67" s="780" t="s">
        <v>198</v>
      </c>
      <c r="B67" s="689">
        <f>+'Tab. 6F - Kultura'!E19+'Tab. 6D - Oświata'!E116+'Tab. 6A -Drogi'!E537</f>
        <v>37278717</v>
      </c>
      <c r="C67" s="781">
        <f>+'Tab. 6F - Kultura'!F19+'Tab. 6D - Oświata'!F116+'Tab. 6A -Drogi'!F537</f>
        <v>24408029</v>
      </c>
      <c r="D67" s="781">
        <f>+'Tab. 6F - Kultura'!G19+'Tab. 6D - Oświata'!G116+'Tab. 6A -Drogi'!G537</f>
        <v>33872184</v>
      </c>
      <c r="E67" s="781">
        <f>+'Tab. 6F - Kultura'!H19+'Tab. 6D - Oświata'!H116+'Tab. 6A -Drogi'!H537</f>
        <v>35230927</v>
      </c>
      <c r="F67" s="781">
        <f>+'Tab. 6F - Kultura'!I19+'Tab. 6D - Oświata'!I116+'Tab. 6A -Drogi'!I537</f>
        <v>10287975</v>
      </c>
      <c r="G67" s="781">
        <f>+'Tab. 6F - Kultura'!J19+'Tab. 6D - Oświata'!J116+'Tab. 6A -Drogi'!J537</f>
        <v>1650729</v>
      </c>
      <c r="H67" s="782">
        <f>+'Tab. 6F - Kultura'!K19+'Tab. 6D - Oświata'!K116+'Tab. 6A -Drogi'!K537</f>
        <v>0</v>
      </c>
      <c r="I67" s="781">
        <f>+'Tab. 6F - Kultura'!L19+'Tab. 6A -Drogi'!L537</f>
        <v>0</v>
      </c>
      <c r="J67" s="1393">
        <f>B67+I67+C67+D67+E67+F67+G67+H67</f>
        <v>142728561</v>
      </c>
      <c r="K67" s="3607"/>
      <c r="L67" s="786"/>
      <c r="N67" s="2874"/>
    </row>
    <row r="68" spans="1:17" s="361" customFormat="1" ht="14.25" customHeight="1">
      <c r="A68" s="359" t="s">
        <v>17</v>
      </c>
      <c r="B68" s="2873">
        <f t="shared" ref="B68:H68" si="28">SUM(B69:B69)</f>
        <v>524900</v>
      </c>
      <c r="C68" s="2875">
        <f t="shared" si="28"/>
        <v>366923</v>
      </c>
      <c r="D68" s="2875">
        <f t="shared" si="28"/>
        <v>40458709</v>
      </c>
      <c r="E68" s="2875">
        <f t="shared" si="28"/>
        <v>64341902</v>
      </c>
      <c r="F68" s="2875">
        <f t="shared" si="28"/>
        <v>5312034</v>
      </c>
      <c r="G68" s="2875">
        <f t="shared" si="28"/>
        <v>2284551</v>
      </c>
      <c r="H68" s="2889">
        <f t="shared" si="28"/>
        <v>0</v>
      </c>
      <c r="I68" s="2876">
        <f>SUM(I69:I69)</f>
        <v>0</v>
      </c>
      <c r="J68" s="1406">
        <f>+J69</f>
        <v>113289019</v>
      </c>
      <c r="K68" s="3607"/>
      <c r="L68" s="786"/>
      <c r="N68" s="2874"/>
    </row>
    <row r="69" spans="1:17" s="361" customFormat="1" ht="15.75" customHeight="1" thickBot="1">
      <c r="A69" s="802" t="s">
        <v>33</v>
      </c>
      <c r="B69" s="1776">
        <f>+'Tab. 6D - Oświata'!E118+'Tab. 6F - Kultura'!E22+'Tab. 6C - Ochrona zdrowia'!E65</f>
        <v>524900</v>
      </c>
      <c r="C69" s="1776">
        <f>+'Tab. 6D - Oświata'!F118+'Tab. 6F - Kultura'!F22+'Tab. 6C - Ochrona zdrowia'!F65</f>
        <v>366923</v>
      </c>
      <c r="D69" s="1776">
        <f>+'Tab. 6D - Oświata'!G118+'Tab. 6F - Kultura'!G22+'Tab. 6C - Ochrona zdrowia'!G65</f>
        <v>40458709</v>
      </c>
      <c r="E69" s="1776">
        <f>+'Tab. 6D - Oświata'!H118+'Tab. 6F - Kultura'!H22+'Tab. 6C - Ochrona zdrowia'!H65</f>
        <v>64341902</v>
      </c>
      <c r="F69" s="1776">
        <f>+'Tab. 6D - Oświata'!I118+'Tab. 6F - Kultura'!I22+'Tab. 6C - Ochrona zdrowia'!I65</f>
        <v>5312034</v>
      </c>
      <c r="G69" s="1776">
        <f>+'Tab. 6D - Oświata'!J118+'Tab. 6F - Kultura'!J22+'Tab. 6C - Ochrona zdrowia'!J65</f>
        <v>2284551</v>
      </c>
      <c r="H69" s="2890">
        <f>+'Tab. 6D - Oświata'!K118+'Tab. 6F - Kultura'!K22+'Tab. 6C - Ochrona zdrowia'!K65</f>
        <v>0</v>
      </c>
      <c r="I69" s="1776">
        <f>+'Tab. 6F - Kultura'!L22+'Tab. 6C - Ochrona zdrowia'!L65</f>
        <v>0</v>
      </c>
      <c r="J69" s="1407">
        <f>B69+I69+C69+D69+E69+F69+G69+H69</f>
        <v>113289019</v>
      </c>
      <c r="K69" s="3608"/>
      <c r="L69" s="786"/>
      <c r="M69" s="786"/>
      <c r="N69" s="2891"/>
    </row>
    <row r="70" spans="1:17" s="361" customFormat="1" ht="9.75" customHeight="1" thickBot="1">
      <c r="A70" s="773"/>
      <c r="B70" s="774"/>
      <c r="C70" s="774"/>
      <c r="D70" s="774"/>
      <c r="E70" s="774"/>
      <c r="F70" s="788"/>
      <c r="G70" s="787"/>
      <c r="H70" s="787"/>
      <c r="I70" s="774"/>
      <c r="J70" s="789"/>
      <c r="K70" s="789"/>
      <c r="L70" s="786"/>
      <c r="N70" s="2892"/>
    </row>
    <row r="71" spans="1:17" s="775" customFormat="1" ht="18" customHeight="1" thickBot="1">
      <c r="A71" s="803" t="s">
        <v>25</v>
      </c>
      <c r="B71" s="804">
        <f>+B52-B60-B56</f>
        <v>576868407</v>
      </c>
      <c r="C71" s="804">
        <f t="shared" ref="C71:J71" si="29">+C52-C60-C56</f>
        <v>210234239</v>
      </c>
      <c r="D71" s="804">
        <f t="shared" si="29"/>
        <v>256889915</v>
      </c>
      <c r="E71" s="804">
        <f t="shared" si="29"/>
        <v>244310952</v>
      </c>
      <c r="F71" s="804">
        <f t="shared" si="29"/>
        <v>128972023</v>
      </c>
      <c r="G71" s="804">
        <f t="shared" si="29"/>
        <v>33233283</v>
      </c>
      <c r="H71" s="804">
        <f t="shared" si="29"/>
        <v>10268912</v>
      </c>
      <c r="I71" s="2661">
        <f>+I52-I60-I56</f>
        <v>0</v>
      </c>
      <c r="J71" s="804">
        <f t="shared" si="29"/>
        <v>1494414056</v>
      </c>
      <c r="K71" s="806">
        <f>+D71+E71+F71+G71+H71+'Tab. 6C - Ochrona zdrowia'!O88+'Tab. 6C - Ochrona zdrowia'!O93</f>
        <v>707311410</v>
      </c>
      <c r="L71" s="794">
        <f>+C71+D71+E71+F71+G71+H71+L72-K71</f>
        <v>210234239</v>
      </c>
      <c r="M71" s="794">
        <f>J54+J55+J57+J58+J59-J71</f>
        <v>0</v>
      </c>
      <c r="N71" s="2893"/>
      <c r="P71" s="2377">
        <v>653048060</v>
      </c>
      <c r="Q71" s="2377">
        <f t="shared" ref="Q71" si="30">K71-P71</f>
        <v>54263350</v>
      </c>
    </row>
    <row r="72" spans="1:17" s="775" customFormat="1" ht="18" customHeight="1" thickBot="1">
      <c r="A72" s="803" t="s">
        <v>26</v>
      </c>
      <c r="B72" s="807">
        <f t="shared" ref="B72:H72" si="31">+B62-B68</f>
        <v>106589985</v>
      </c>
      <c r="C72" s="808">
        <f t="shared" si="31"/>
        <v>63372005</v>
      </c>
      <c r="D72" s="808">
        <f t="shared" si="31"/>
        <v>44392922</v>
      </c>
      <c r="E72" s="808">
        <f t="shared" si="31"/>
        <v>43650212</v>
      </c>
      <c r="F72" s="808">
        <f t="shared" si="31"/>
        <v>10287975</v>
      </c>
      <c r="G72" s="807">
        <f t="shared" si="31"/>
        <v>1650729</v>
      </c>
      <c r="H72" s="807">
        <f t="shared" si="31"/>
        <v>0</v>
      </c>
      <c r="I72" s="2662">
        <f>+I62-I68</f>
        <v>0</v>
      </c>
      <c r="J72" s="805">
        <f>SUM(C72:H72)+B72</f>
        <v>269943828</v>
      </c>
      <c r="K72" s="809" t="s">
        <v>21</v>
      </c>
      <c r="L72" s="794">
        <f>+'Tab. 6C - Ochrona zdrowia'!O88+'Tab. 6C - Ochrona zdrowia'!O93</f>
        <v>33636325</v>
      </c>
      <c r="M72" s="775" t="s">
        <v>351</v>
      </c>
      <c r="N72" s="2893"/>
    </row>
    <row r="73" spans="1:17" s="812" customFormat="1" ht="15" customHeight="1" thickBot="1">
      <c r="A73" s="2894"/>
      <c r="B73" s="810"/>
      <c r="C73" s="810"/>
      <c r="D73" s="810"/>
      <c r="E73" s="810"/>
      <c r="F73" s="810"/>
      <c r="G73" s="810"/>
      <c r="H73" s="810"/>
      <c r="I73" s="2663"/>
      <c r="J73" s="810"/>
      <c r="K73" s="810"/>
      <c r="L73" s="823"/>
      <c r="N73" s="2895"/>
    </row>
    <row r="74" spans="1:17" s="812" customFormat="1" ht="18" customHeight="1" thickBot="1">
      <c r="A74" s="813" t="s">
        <v>34</v>
      </c>
      <c r="B74" s="814">
        <f>B75+B76</f>
        <v>736289037</v>
      </c>
      <c r="C74" s="814">
        <f t="shared" ref="C74" si="32">C75+C76</f>
        <v>347420614</v>
      </c>
      <c r="D74" s="814">
        <f t="shared" ref="D74:K74" si="33">D75+D76</f>
        <v>653864357</v>
      </c>
      <c r="E74" s="814">
        <f t="shared" si="33"/>
        <v>609021307</v>
      </c>
      <c r="F74" s="814">
        <f t="shared" si="33"/>
        <v>271887508</v>
      </c>
      <c r="G74" s="814">
        <f t="shared" si="33"/>
        <v>90876755</v>
      </c>
      <c r="H74" s="814">
        <f t="shared" si="33"/>
        <v>43900157</v>
      </c>
      <c r="I74" s="2664" t="e">
        <f>I75+I76</f>
        <v>#REF!</v>
      </c>
      <c r="J74" s="815">
        <f t="shared" si="33"/>
        <v>2786896060</v>
      </c>
      <c r="K74" s="816">
        <f t="shared" si="33"/>
        <v>1703186409</v>
      </c>
      <c r="L74" s="823"/>
      <c r="N74" s="2895"/>
      <c r="P74" s="2377">
        <v>1551877189</v>
      </c>
      <c r="Q74" s="2377">
        <f t="shared" ref="Q74:Q76" si="34">K74-P74</f>
        <v>151309220</v>
      </c>
    </row>
    <row r="75" spans="1:17" s="812" customFormat="1" ht="18" customHeight="1" thickTop="1" thickBot="1">
      <c r="A75" s="2284" t="s">
        <v>35</v>
      </c>
      <c r="B75" s="817">
        <f t="shared" ref="B75:K75" si="35">B13+B49</f>
        <v>592074436</v>
      </c>
      <c r="C75" s="817">
        <f t="shared" si="35"/>
        <v>215112400</v>
      </c>
      <c r="D75" s="817">
        <f>D13+D49</f>
        <v>271837952</v>
      </c>
      <c r="E75" s="817">
        <f t="shared" si="35"/>
        <v>226923743</v>
      </c>
      <c r="F75" s="817">
        <f t="shared" si="35"/>
        <v>115690896</v>
      </c>
      <c r="G75" s="817">
        <f t="shared" si="35"/>
        <v>70968756</v>
      </c>
      <c r="H75" s="817">
        <f t="shared" si="35"/>
        <v>43754116</v>
      </c>
      <c r="I75" s="2665" t="e">
        <f>I13+I49</f>
        <v>#REF!</v>
      </c>
      <c r="J75" s="818">
        <f t="shared" si="35"/>
        <v>1569998624</v>
      </c>
      <c r="K75" s="819">
        <f t="shared" si="35"/>
        <v>762811788</v>
      </c>
      <c r="L75" s="823"/>
      <c r="N75" s="2896"/>
      <c r="P75" s="2377">
        <v>711712603</v>
      </c>
      <c r="Q75" s="2377">
        <f t="shared" si="34"/>
        <v>51099185</v>
      </c>
    </row>
    <row r="76" spans="1:17" s="812" customFormat="1" ht="18" customHeight="1" thickBot="1">
      <c r="A76" s="2285" t="s">
        <v>36</v>
      </c>
      <c r="B76" s="817">
        <f t="shared" ref="B76:K76" si="36">B14+B50</f>
        <v>144214601</v>
      </c>
      <c r="C76" s="817">
        <f t="shared" si="36"/>
        <v>132308214</v>
      </c>
      <c r="D76" s="817">
        <f>D14+D50</f>
        <v>382026405</v>
      </c>
      <c r="E76" s="817">
        <f t="shared" si="36"/>
        <v>382097564</v>
      </c>
      <c r="F76" s="817">
        <f t="shared" si="36"/>
        <v>156196612</v>
      </c>
      <c r="G76" s="817">
        <f t="shared" si="36"/>
        <v>19907999</v>
      </c>
      <c r="H76" s="817">
        <f t="shared" si="36"/>
        <v>146041</v>
      </c>
      <c r="I76" s="2665">
        <f>I14+I50</f>
        <v>0</v>
      </c>
      <c r="J76" s="818">
        <f>J14+J50</f>
        <v>1216897436</v>
      </c>
      <c r="K76" s="819">
        <f t="shared" si="36"/>
        <v>940374621</v>
      </c>
      <c r="L76" s="823"/>
      <c r="N76" s="2897"/>
      <c r="P76" s="2377">
        <v>840164586</v>
      </c>
      <c r="Q76" s="2377">
        <f t="shared" si="34"/>
        <v>100210035</v>
      </c>
    </row>
    <row r="77" spans="1:17" s="812" customFormat="1" ht="18" customHeight="1" thickBot="1">
      <c r="A77" s="2287" t="s">
        <v>37</v>
      </c>
      <c r="B77" s="820">
        <f t="shared" ref="B77:J77" si="37">B38+B72</f>
        <v>225540103</v>
      </c>
      <c r="C77" s="820">
        <f t="shared" si="37"/>
        <v>194298217</v>
      </c>
      <c r="D77" s="820">
        <f>D38+D72</f>
        <v>357704820</v>
      </c>
      <c r="E77" s="820">
        <f t="shared" si="37"/>
        <v>323151416</v>
      </c>
      <c r="F77" s="820">
        <f t="shared" si="37"/>
        <v>145078949</v>
      </c>
      <c r="G77" s="820">
        <f t="shared" si="37"/>
        <v>45239506</v>
      </c>
      <c r="H77" s="820">
        <f t="shared" si="37"/>
        <v>33865078</v>
      </c>
      <c r="I77" s="2666">
        <f>I38+I72</f>
        <v>0</v>
      </c>
      <c r="J77" s="820">
        <f t="shared" si="37"/>
        <v>1327040963</v>
      </c>
      <c r="K77" s="821" t="s">
        <v>21</v>
      </c>
      <c r="L77" s="823">
        <f>'Tab. 6A -Drogi'!D22+'Tab. 6A -Drogi'!D535+'Tab. 6B Polit społ i rozwój prz'!D18+'Tab. 6C - Ochrona zdrowia'!D61+'Tab. 6D - Oświata'!D19+'Tab. 6E - Administracja'!D20+'Tab. 6E - Administracja'!D248+'Tab. 6F - Kultura'!D19+'Tab. 6G - Roln i ochrona środ.'!D21+'Tab. 6G - Roln i ochrona środ.'!D115+'Tab. 6H - Kultura fiz. i turyst'!D18+'Tab.6I - Planow. przestrz.'!D19+'Tab. 6C - Ochrona zdrowia'!D16</f>
        <v>1327040963</v>
      </c>
      <c r="M77" s="812" t="s">
        <v>221</v>
      </c>
      <c r="N77" s="2897"/>
    </row>
    <row r="78" spans="1:17" s="812" customFormat="1" ht="18.75" customHeight="1" thickTop="1">
      <c r="A78" s="2286" t="s">
        <v>38</v>
      </c>
      <c r="B78" s="817">
        <f>B84+B88</f>
        <v>177765493</v>
      </c>
      <c r="C78" s="817">
        <f t="shared" ref="C78:C79" si="38">C84+C88</f>
        <v>111634960</v>
      </c>
      <c r="D78" s="817">
        <f>D84+D88</f>
        <v>127332115</v>
      </c>
      <c r="E78" s="817">
        <f t="shared" ref="E78:H79" si="39">E84+E88</f>
        <v>99398258</v>
      </c>
      <c r="F78" s="817">
        <f t="shared" si="39"/>
        <v>45019917</v>
      </c>
      <c r="G78" s="817">
        <f t="shared" si="39"/>
        <v>37039506</v>
      </c>
      <c r="H78" s="817">
        <f t="shared" si="39"/>
        <v>33719037</v>
      </c>
      <c r="I78" s="2665">
        <f>I84+I88</f>
        <v>0</v>
      </c>
      <c r="J78" s="817">
        <f>J84+J88</f>
        <v>634072160</v>
      </c>
      <c r="K78" s="822" t="s">
        <v>21</v>
      </c>
      <c r="L78" s="823">
        <f>J77-L77</f>
        <v>0</v>
      </c>
      <c r="M78" s="823"/>
      <c r="N78" s="2898"/>
    </row>
    <row r="79" spans="1:17" s="812" customFormat="1" ht="16.5" customHeight="1" thickBot="1">
      <c r="A79" s="1921" t="s">
        <v>39</v>
      </c>
      <c r="B79" s="2899">
        <f>B85+B89</f>
        <v>47774610</v>
      </c>
      <c r="C79" s="2899">
        <f t="shared" si="38"/>
        <v>82663257</v>
      </c>
      <c r="D79" s="2899">
        <f>D85+D89</f>
        <v>230372705</v>
      </c>
      <c r="E79" s="2899">
        <f t="shared" si="39"/>
        <v>223753158</v>
      </c>
      <c r="F79" s="2899">
        <f t="shared" si="39"/>
        <v>100059032</v>
      </c>
      <c r="G79" s="2899">
        <f t="shared" si="39"/>
        <v>8200000</v>
      </c>
      <c r="H79" s="2899">
        <f t="shared" si="39"/>
        <v>146041</v>
      </c>
      <c r="I79" s="2900">
        <f>I85+I89</f>
        <v>0</v>
      </c>
      <c r="J79" s="2899">
        <f>J85+J89</f>
        <v>692968803</v>
      </c>
      <c r="K79" s="824" t="s">
        <v>21</v>
      </c>
      <c r="L79" s="823">
        <f>L77-J83-J87</f>
        <v>0</v>
      </c>
      <c r="N79" s="2901"/>
    </row>
    <row r="80" spans="1:17" s="812" customFormat="1" ht="18" hidden="1" customHeight="1" thickBot="1">
      <c r="A80" s="2902" t="s">
        <v>40</v>
      </c>
      <c r="B80" s="825">
        <f>B78+B79-B77</f>
        <v>0</v>
      </c>
      <c r="C80" s="825">
        <f t="shared" ref="C80:H80" si="40">C78+C79-C77</f>
        <v>0</v>
      </c>
      <c r="D80" s="825">
        <f>D78+D79-D77</f>
        <v>0</v>
      </c>
      <c r="E80" s="825">
        <f>E78+E79-E77</f>
        <v>0</v>
      </c>
      <c r="F80" s="825">
        <f t="shared" si="40"/>
        <v>0</v>
      </c>
      <c r="G80" s="825">
        <f t="shared" si="40"/>
        <v>0</v>
      </c>
      <c r="H80" s="825">
        <f t="shared" si="40"/>
        <v>0</v>
      </c>
      <c r="I80" s="2667">
        <f>I78+I79-I77</f>
        <v>0</v>
      </c>
      <c r="J80" s="825">
        <f>J78+J79-J77</f>
        <v>0</v>
      </c>
      <c r="K80" s="823"/>
      <c r="L80" s="823"/>
      <c r="M80" s="823"/>
      <c r="N80" s="2897"/>
    </row>
    <row r="81" spans="1:14" s="812" customFormat="1" ht="15.75" hidden="1" customHeight="1" thickBot="1">
      <c r="A81" s="2903"/>
      <c r="B81" s="825"/>
      <c r="C81" s="1810">
        <v>2018</v>
      </c>
      <c r="D81" s="1810">
        <v>2019</v>
      </c>
      <c r="E81" s="1810">
        <v>2020</v>
      </c>
      <c r="F81" s="1810">
        <v>2021</v>
      </c>
      <c r="G81" s="1810">
        <v>2022</v>
      </c>
      <c r="H81" s="1810">
        <v>2023</v>
      </c>
      <c r="I81" s="1810"/>
      <c r="J81" s="825"/>
      <c r="K81" s="823"/>
      <c r="L81" s="823"/>
      <c r="N81" s="2897"/>
    </row>
    <row r="82" spans="1:14" s="812" customFormat="1" ht="18" hidden="1" customHeight="1" thickBot="1">
      <c r="A82" s="2904" t="s">
        <v>41</v>
      </c>
      <c r="B82" s="826">
        <f t="shared" ref="B82:H82" si="41">B27-B83</f>
        <v>0</v>
      </c>
      <c r="C82" s="826">
        <f t="shared" si="41"/>
        <v>0</v>
      </c>
      <c r="D82" s="826">
        <f>D27-D83</f>
        <v>0</v>
      </c>
      <c r="E82" s="826">
        <f t="shared" si="41"/>
        <v>0</v>
      </c>
      <c r="F82" s="826">
        <f t="shared" si="41"/>
        <v>0</v>
      </c>
      <c r="G82" s="826">
        <f t="shared" si="41"/>
        <v>0</v>
      </c>
      <c r="H82" s="826">
        <f t="shared" si="41"/>
        <v>0</v>
      </c>
      <c r="I82" s="2668">
        <f>I27-I83</f>
        <v>0</v>
      </c>
      <c r="J82" s="826">
        <f>J27-J83</f>
        <v>0</v>
      </c>
      <c r="K82" s="823">
        <f>J83-K83</f>
        <v>0</v>
      </c>
      <c r="L82" s="823"/>
      <c r="M82" s="823">
        <f>L83+L87-L77</f>
        <v>0</v>
      </c>
      <c r="N82" s="2898"/>
    </row>
    <row r="83" spans="1:14" s="812" customFormat="1" ht="18" hidden="1" customHeight="1" thickBot="1">
      <c r="A83" s="1922" t="s">
        <v>42</v>
      </c>
      <c r="B83" s="827">
        <f t="shared" ref="B83:C83" si="42">B84+B85</f>
        <v>118950118</v>
      </c>
      <c r="C83" s="827">
        <f t="shared" si="42"/>
        <v>130926212</v>
      </c>
      <c r="D83" s="827">
        <f>D84+D85</f>
        <v>313311898</v>
      </c>
      <c r="E83" s="827">
        <f t="shared" ref="E83:M83" si="43">E84+E85</f>
        <v>279501204</v>
      </c>
      <c r="F83" s="827">
        <f t="shared" si="43"/>
        <v>134790974</v>
      </c>
      <c r="G83" s="827">
        <f t="shared" si="43"/>
        <v>43588777</v>
      </c>
      <c r="H83" s="827">
        <f t="shared" si="43"/>
        <v>33865078</v>
      </c>
      <c r="I83" s="2669">
        <f>I84+I85</f>
        <v>0</v>
      </c>
      <c r="J83" s="828">
        <f>J84+J85</f>
        <v>1057097135</v>
      </c>
      <c r="K83" s="823">
        <f>'Tab. 6A -Drogi'!D22+'Tab. 6B Polit społ i rozwój prz'!D18+'Tab. 6D - Oświata'!D19+'Tab. 6E - Administracja'!D20+'Tab. 6G - Roln i ochrona środ.'!D21+'Tab. 6H - Kultura fiz. i turyst'!D18+'Tab.6I - Planow. przestrz.'!D19+'Tab. 6C - Ochrona zdrowia'!D16</f>
        <v>1057097135</v>
      </c>
      <c r="L83" s="828">
        <f>L84+L85</f>
        <v>1057097135</v>
      </c>
      <c r="M83" s="2052">
        <f t="shared" si="43"/>
        <v>0</v>
      </c>
      <c r="N83" s="2905" t="s">
        <v>346</v>
      </c>
    </row>
    <row r="84" spans="1:14" s="812" customFormat="1" ht="20.25" hidden="1" customHeight="1">
      <c r="A84" s="1954" t="s">
        <v>38</v>
      </c>
      <c r="B84" s="829">
        <f>'Tab. 6A -Drogi'!E682+'Tab. 6B Polit społ i rozwój prz'!E327+'Tab. 6D - Oświata'!E146+'Tab. 6E - Administracja'!E273+'Tab. 6G - Roln i ochrona środ.'!E144+'Tab. 6H - Kultura fiz. i turyst'!E325+'Tab.6I - Planow. przestrz.'!E119</f>
        <v>73357508</v>
      </c>
      <c r="C84" s="829">
        <f>'Tab. 6A -Drogi'!F682+'Tab. 6B Polit społ i rozwój prz'!F327+'Tab. 6D - Oświata'!F146+'Tab. 6E - Administracja'!F273+'Tab. 6G - Roln i ochrona środ.'!F144+'Tab. 6H - Kultura fiz. i turyst'!F325+'Tab.6I - Planow. przestrz.'!F119+'Tab. 6C - Ochrona zdrowia'!F109</f>
        <v>50559306</v>
      </c>
      <c r="D84" s="829">
        <f>'Tab. 6A -Drogi'!G682+'Tab. 6B Polit społ i rozwój prz'!G327+'Tab. 6D - Oświata'!G146+'Tab. 6E - Administracja'!G273+'Tab. 6G - Roln i ochrona środ.'!G144+'Tab. 6H - Kultura fiz. i turyst'!G325+'Tab.6I - Planow. przestrz.'!G119+'Tab. 6C - Ochrona zdrowia'!G109</f>
        <v>82939193</v>
      </c>
      <c r="E84" s="829">
        <f>'Tab. 6A -Drogi'!H682+'Tab. 6B Polit społ i rozwój prz'!H327+'Tab. 6D - Oświata'!H146+'Tab. 6E - Administracja'!H273+'Tab. 6G - Roln i ochrona środ.'!H144+'Tab. 6H - Kultura fiz. i turyst'!H325+'Tab.6I - Planow. przestrz.'!H119+'Tab. 6C - Ochrona zdrowia'!H109</f>
        <v>55748046</v>
      </c>
      <c r="F84" s="829">
        <f>'Tab. 6A -Drogi'!I682+'Tab. 6B Polit społ i rozwój prz'!I327+'Tab. 6D - Oświata'!I146+'Tab. 6E - Administracja'!I273+'Tab. 6G - Roln i ochrona środ.'!I144+'Tab. 6H - Kultura fiz. i turyst'!I325+'Tab.6I - Planow. przestrz.'!I119+'Tab. 6C - Ochrona zdrowia'!I109</f>
        <v>34731942</v>
      </c>
      <c r="G84" s="829">
        <f>'Tab. 6A -Drogi'!J682+'Tab. 6B Polit społ i rozwój prz'!J327+'Tab. 6D - Oświata'!J146+'Tab. 6E - Administracja'!J273+'Tab. 6G - Roln i ochrona środ.'!J144+'Tab. 6H - Kultura fiz. i turyst'!J325+'Tab.6I - Planow. przestrz.'!J119</f>
        <v>35388777</v>
      </c>
      <c r="H84" s="829">
        <f>'Tab. 6A -Drogi'!K682+'Tab. 6B Polit społ i rozwój prz'!K327+'Tab. 6D - Oświata'!K146+'Tab. 6E - Administracja'!K273+'Tab. 6G - Roln i ochrona środ.'!K144+'Tab. 6H - Kultura fiz. i turyst'!K325+'Tab.6I - Planow. przestrz.'!K119</f>
        <v>33719037</v>
      </c>
      <c r="I84" s="2670">
        <f>'Tab. 6A -Drogi'!L682+'Tab. 6B Polit społ i rozwój prz'!L327+'Tab. 6D - Oświata'!L146+'Tab. 6E - Administracja'!L273+'Tab. 6G - Roln i ochrona środ.'!L144+'Tab. 6H - Kultura fiz. i turyst'!L325+'Tab.6I - Planow. przestrz.'!L119</f>
        <v>0</v>
      </c>
      <c r="J84" s="830">
        <f>B84+I84+C84+D84+E84+F84+G84+H84+2029435+2998719+2055406+3812897+2520257-11253840</f>
        <v>368606683</v>
      </c>
      <c r="L84" s="970">
        <f>'Tab. 6A -Drogi'!D682+'Tab. 6B Polit społ i rozwój prz'!D327+'Tab. 6D - Oświata'!D146+'Tab. 6E - Administracja'!D273+'Tab. 6G - Roln i ochrona środ.'!D144+'Tab. 6H - Kultura fiz. i turyst'!D325+'Tab.6I - Planow. przestrz.'!D119+'Tab. 6C - Ochrona zdrowia'!D109</f>
        <v>368606683</v>
      </c>
      <c r="M84" s="970">
        <f>J84-L84</f>
        <v>0</v>
      </c>
      <c r="N84" s="2906"/>
    </row>
    <row r="85" spans="1:14" s="812" customFormat="1" ht="18" hidden="1" customHeight="1" thickBot="1">
      <c r="A85" s="1950" t="s">
        <v>39</v>
      </c>
      <c r="B85" s="829">
        <f>'Tab. 6A -Drogi'!E683+'Tab. 6B Polit społ i rozwój prz'!E328+'Tab. 6D - Oświata'!E147+'Tab. 6E - Administracja'!E274+'Tab. 6G - Roln i ochrona środ.'!E145+'Tab. 6H - Kultura fiz. i turyst'!E326+'Tab.6I - Planow. przestrz.'!E120</f>
        <v>45592610</v>
      </c>
      <c r="C85" s="829">
        <f>'Tab. 6A -Drogi'!F683+'Tab. 6B Polit społ i rozwój prz'!F328+'Tab. 6D - Oświata'!F147+'Tab. 6E - Administracja'!F274+'Tab. 6G - Roln i ochrona środ.'!F145+'Tab. 6H - Kultura fiz. i turyst'!F326+'Tab.6I - Planow. przestrz.'!F120+'Tab. 6C - Ochrona zdrowia'!F110</f>
        <v>80366906</v>
      </c>
      <c r="D85" s="829">
        <f>'Tab. 6A -Drogi'!G683+'Tab. 6B Polit społ i rozwój prz'!G328+'Tab. 6D - Oświata'!G147+'Tab. 6E - Administracja'!G274+'Tab. 6G - Roln i ochrona środ.'!G145+'Tab. 6H - Kultura fiz. i turyst'!G326+'Tab.6I - Planow. przestrz.'!G120+'Tab. 6C - Ochrona zdrowia'!G110</f>
        <v>230372705</v>
      </c>
      <c r="E85" s="829">
        <f>'Tab. 6A -Drogi'!H683+'Tab. 6B Polit społ i rozwój prz'!H328+'Tab. 6D - Oświata'!H147+'Tab. 6E - Administracja'!H274+'Tab. 6G - Roln i ochrona środ.'!H145+'Tab. 6H - Kultura fiz. i turyst'!H326+'Tab.6I - Planow. przestrz.'!H120+'Tab. 6C - Ochrona zdrowia'!H110</f>
        <v>223753158</v>
      </c>
      <c r="F85" s="829">
        <f>'Tab. 6A -Drogi'!I683+'Tab. 6B Polit społ i rozwój prz'!I328+'Tab. 6D - Oświata'!I147+'Tab. 6E - Administracja'!I274+'Tab. 6G - Roln i ochrona środ.'!I145+'Tab. 6H - Kultura fiz. i turyst'!I326+'Tab.6I - Planow. przestrz.'!I120+'Tab. 6C - Ochrona zdrowia'!I110</f>
        <v>100059032</v>
      </c>
      <c r="G85" s="829">
        <f>'Tab. 6A -Drogi'!J683+'Tab. 6B Polit społ i rozwój prz'!J328+'Tab. 6D - Oświata'!J147+'Tab. 6E - Administracja'!J274+'Tab. 6G - Roln i ochrona środ.'!J145+'Tab. 6H - Kultura fiz. i turyst'!J326+'Tab.6I - Planow. przestrz.'!J120</f>
        <v>8200000</v>
      </c>
      <c r="H85" s="829">
        <f>'Tab. 6A -Drogi'!K683+'Tab. 6B Polit społ i rozwój prz'!K328+'Tab. 6D - Oświata'!K147+'Tab. 6E - Administracja'!K274+'Tab. 6G - Roln i ochrona środ.'!K145+'Tab. 6H - Kultura fiz. i turyst'!K326+'Tab.6I - Planow. przestrz.'!K120</f>
        <v>146041</v>
      </c>
      <c r="I85" s="2670">
        <f>'Tab. 6A -Drogi'!L683+'Tab. 6B Polit społ i rozwój prz'!L328+'Tab. 6D - Oświata'!L147+'Tab. 6E - Administracja'!L274+'Tab. 6G - Roln i ochrona środ.'!L145+'Tab. 6H - Kultura fiz. i turyst'!L326+'Tab.6I - Planow. przestrz.'!L120</f>
        <v>0</v>
      </c>
      <c r="J85" s="830">
        <f>B85+I85+C85+D85+E85+F85+G85+H85+11590+299481-61071-200000-50000</f>
        <v>688490452</v>
      </c>
      <c r="K85" s="823"/>
      <c r="L85" s="970">
        <f>'Tab. 6A -Drogi'!D683+'Tab. 6B Polit społ i rozwój prz'!D328+'Tab. 6E - Administracja'!D274+'Tab. 6G - Roln i ochrona środ.'!D145+'Tab. 6H - Kultura fiz. i turyst'!D326+'Tab.6I - Planow. przestrz.'!D120+'Tab. 6C - Ochrona zdrowia'!D110</f>
        <v>688490452</v>
      </c>
      <c r="M85" s="2016">
        <f>J85-L85</f>
        <v>0</v>
      </c>
      <c r="N85" s="2907"/>
    </row>
    <row r="86" spans="1:14" s="812" customFormat="1" ht="24" hidden="1" customHeight="1" thickBot="1">
      <c r="A86" s="2904" t="s">
        <v>43</v>
      </c>
      <c r="B86" s="2006">
        <f t="shared" ref="B86:J86" si="44">B72-B87</f>
        <v>0</v>
      </c>
      <c r="C86" s="2006">
        <f t="shared" si="44"/>
        <v>0</v>
      </c>
      <c r="D86" s="2006">
        <f>D72-D87</f>
        <v>0</v>
      </c>
      <c r="E86" s="2006">
        <f>E72-E87</f>
        <v>0</v>
      </c>
      <c r="F86" s="2006">
        <f t="shared" si="44"/>
        <v>0</v>
      </c>
      <c r="G86" s="2006">
        <f t="shared" si="44"/>
        <v>0</v>
      </c>
      <c r="H86" s="2006">
        <f t="shared" si="44"/>
        <v>0</v>
      </c>
      <c r="I86" s="2671">
        <f>I72-I87</f>
        <v>0</v>
      </c>
      <c r="J86" s="2006">
        <f t="shared" si="44"/>
        <v>0</v>
      </c>
      <c r="K86" s="2015"/>
      <c r="L86" s="2016"/>
      <c r="M86" s="2040"/>
      <c r="N86" s="2908"/>
    </row>
    <row r="87" spans="1:14" s="812" customFormat="1" ht="20.25" hidden="1" customHeight="1" thickBot="1">
      <c r="A87" s="1922" t="s">
        <v>42</v>
      </c>
      <c r="B87" s="2003">
        <f>B88+B89</f>
        <v>106589985</v>
      </c>
      <c r="C87" s="2003">
        <f t="shared" ref="C87:J87" si="45">C88+C89</f>
        <v>63372005</v>
      </c>
      <c r="D87" s="2003">
        <f t="shared" si="45"/>
        <v>44392922</v>
      </c>
      <c r="E87" s="2003">
        <f t="shared" si="45"/>
        <v>43650212</v>
      </c>
      <c r="F87" s="2003">
        <f t="shared" si="45"/>
        <v>10287975</v>
      </c>
      <c r="G87" s="2003">
        <f>G88+G89</f>
        <v>1650729</v>
      </c>
      <c r="H87" s="2003">
        <f>H88+H89</f>
        <v>0</v>
      </c>
      <c r="I87" s="2672">
        <f>I88+I89</f>
        <v>0</v>
      </c>
      <c r="J87" s="2012">
        <f t="shared" si="45"/>
        <v>269943828</v>
      </c>
      <c r="K87" s="1924"/>
      <c r="L87" s="2012">
        <f t="shared" ref="L87:M87" si="46">L88+L89</f>
        <v>269943828</v>
      </c>
      <c r="M87" s="2012">
        <f t="shared" si="46"/>
        <v>0</v>
      </c>
      <c r="N87" s="2909" t="s">
        <v>346</v>
      </c>
    </row>
    <row r="88" spans="1:14" s="812" customFormat="1" ht="19.5" hidden="1" customHeight="1">
      <c r="A88" s="1961" t="s">
        <v>38</v>
      </c>
      <c r="B88" s="1962">
        <f>'Tab. 6A -Drogi'!E689+'Tab. 6F - Kultura'!E19</f>
        <v>104407985</v>
      </c>
      <c r="C88" s="1962">
        <f>'Tab. 6A -Drogi'!F689+'Tab. 6F - Kultura'!F19</f>
        <v>61075654</v>
      </c>
      <c r="D88" s="1962">
        <f>'Tab. 6A -Drogi'!G689+'Tab. 6F - Kultura'!G19</f>
        <v>44392922</v>
      </c>
      <c r="E88" s="1962">
        <f>'Tab. 6A -Drogi'!H689+'Tab. 6F - Kultura'!H19</f>
        <v>43650212</v>
      </c>
      <c r="F88" s="1962">
        <f>'Tab. 6A -Drogi'!I689+'Tab. 6F - Kultura'!I19</f>
        <v>10287975</v>
      </c>
      <c r="G88" s="1962">
        <f>'Tab. 6A -Drogi'!J689+'Tab. 6F - Kultura'!J19</f>
        <v>1650729</v>
      </c>
      <c r="H88" s="1962">
        <f>'Tab. 6A -Drogi'!K689+'Tab. 6F - Kultura'!K19</f>
        <v>0</v>
      </c>
      <c r="I88" s="2673">
        <f>'Tab. 6A -Drogi'!L689+'Tab. 6F - Kultura'!L19</f>
        <v>0</v>
      </c>
      <c r="J88" s="1963">
        <f>B88+I88+C88+D88+E88+F88+G88+H88</f>
        <v>265465477</v>
      </c>
      <c r="K88" s="823"/>
      <c r="L88" s="970">
        <f>'Tab. 6A -Drogi'!D546+'Tab. 6A -Drogi'!D609+'Tab. 6A -Drogi'!D654+'Tab. 6F - Kultura'!D19+'Tab. 6A -Drogi'!D582</f>
        <v>265465477</v>
      </c>
      <c r="M88" s="970">
        <f>J88-L88</f>
        <v>0</v>
      </c>
      <c r="N88" s="2910"/>
    </row>
    <row r="89" spans="1:14" s="812" customFormat="1" ht="19.5" hidden="1" customHeight="1">
      <c r="A89" s="2911" t="s">
        <v>39</v>
      </c>
      <c r="B89" s="1992">
        <f>'Tab. 6A -Drogi'!E690+'Tab. 6C - Ochrona zdrowia'!E61+'Tab. 6G - Roln i ochrona środ.'!E126</f>
        <v>2182000</v>
      </c>
      <c r="C89" s="1992">
        <f>'Tab. 6A -Drogi'!F690+'Tab. 6C - Ochrona zdrowia'!F61+'Tab. 6G - Roln i ochrona środ.'!F126</f>
        <v>2296351</v>
      </c>
      <c r="D89" s="1992">
        <f>'Tab. 6A -Drogi'!G690+'Tab. 6C - Ochrona zdrowia'!G61+'Tab. 6G - Roln i ochrona środ.'!G126</f>
        <v>0</v>
      </c>
      <c r="E89" s="1992">
        <f>'Tab. 6A -Drogi'!H690+'Tab. 6C - Ochrona zdrowia'!H61+'Tab. 6G - Roln i ochrona środ.'!H126</f>
        <v>0</v>
      </c>
      <c r="F89" s="1992">
        <f>'Tab. 6A -Drogi'!I690+'Tab. 6C - Ochrona zdrowia'!I61+'Tab. 6G - Roln i ochrona środ.'!I126</f>
        <v>0</v>
      </c>
      <c r="G89" s="1992">
        <f>'Tab. 6A -Drogi'!J690+'Tab. 6C - Ochrona zdrowia'!J61+'Tab. 6G - Roln i ochrona środ.'!J126</f>
        <v>0</v>
      </c>
      <c r="H89" s="1992">
        <f>'Tab. 6A -Drogi'!K690+'Tab. 6C - Ochrona zdrowia'!K61+'Tab. 6G - Roln i ochrona środ.'!K126</f>
        <v>0</v>
      </c>
      <c r="I89" s="2674">
        <f>'Tab. 6A -Drogi'!L690+'Tab. 6C - Ochrona zdrowia'!L61+'Tab. 6G - Roln i ochrona środ.'!L126</f>
        <v>0</v>
      </c>
      <c r="J89" s="1993">
        <f>B89+I89+C89+D89+E89+F89+G89+H89</f>
        <v>4478351</v>
      </c>
      <c r="K89" s="823"/>
      <c r="L89" s="970">
        <f>'Tab. 6A -Drogi'!D690+'Tab. 6C - Ochrona zdrowia'!D61+'Tab. 6G - Roln i ochrona środ.'!D126</f>
        <v>4478351</v>
      </c>
      <c r="M89" s="970">
        <f>J89-L89</f>
        <v>0</v>
      </c>
      <c r="N89" s="2912"/>
    </row>
    <row r="90" spans="1:14" s="812" customFormat="1" ht="18" hidden="1" customHeight="1">
      <c r="A90" s="2913"/>
      <c r="B90" s="825">
        <f>B87+B83-B77</f>
        <v>0</v>
      </c>
      <c r="C90" s="825">
        <f t="shared" ref="C90:H90" si="47">C87+C83-C77</f>
        <v>0</v>
      </c>
      <c r="D90" s="825">
        <f t="shared" si="47"/>
        <v>0</v>
      </c>
      <c r="E90" s="825">
        <f t="shared" si="47"/>
        <v>0</v>
      </c>
      <c r="F90" s="825">
        <f t="shared" si="47"/>
        <v>0</v>
      </c>
      <c r="G90" s="825">
        <f t="shared" si="47"/>
        <v>0</v>
      </c>
      <c r="H90" s="825">
        <f t="shared" si="47"/>
        <v>0</v>
      </c>
      <c r="I90" s="2667">
        <f>I87+I83-I77</f>
        <v>0</v>
      </c>
      <c r="J90" s="825">
        <f>J87+J83-J77</f>
        <v>0</v>
      </c>
      <c r="K90" s="823"/>
      <c r="L90" s="823"/>
      <c r="N90" s="2914"/>
    </row>
    <row r="91" spans="1:14" s="812" customFormat="1" ht="18" hidden="1" customHeight="1">
      <c r="A91" s="2913"/>
      <c r="B91" s="825"/>
      <c r="C91" s="825"/>
      <c r="D91" s="825"/>
      <c r="E91" s="825"/>
      <c r="F91" s="825"/>
      <c r="G91" s="825"/>
      <c r="H91" s="825"/>
      <c r="I91" s="2667"/>
      <c r="J91" s="825"/>
      <c r="K91" s="823"/>
      <c r="L91" s="823"/>
      <c r="N91" s="2914"/>
    </row>
    <row r="92" spans="1:14" s="812" customFormat="1" ht="18" hidden="1" customHeight="1" thickBot="1">
      <c r="A92" s="2915"/>
      <c r="B92" s="810">
        <f t="shared" ref="B92:J92" si="48">+B71-B48</f>
        <v>0</v>
      </c>
      <c r="C92" s="810">
        <f t="shared" si="48"/>
        <v>0</v>
      </c>
      <c r="D92" s="810">
        <f t="shared" si="48"/>
        <v>0</v>
      </c>
      <c r="E92" s="810">
        <f t="shared" si="48"/>
        <v>0</v>
      </c>
      <c r="F92" s="810">
        <f t="shared" si="48"/>
        <v>0</v>
      </c>
      <c r="G92" s="810">
        <f t="shared" si="48"/>
        <v>0</v>
      </c>
      <c r="H92" s="810">
        <f t="shared" si="48"/>
        <v>0</v>
      </c>
      <c r="I92" s="2663">
        <f>+I71-I48</f>
        <v>0</v>
      </c>
      <c r="J92" s="810">
        <f t="shared" si="48"/>
        <v>0</v>
      </c>
      <c r="K92" s="810"/>
      <c r="L92" s="823"/>
      <c r="N92" s="2916"/>
    </row>
    <row r="93" spans="1:14" s="812" customFormat="1" ht="18" hidden="1" customHeight="1" thickBot="1">
      <c r="A93" s="2917"/>
      <c r="B93" s="810">
        <f t="shared" ref="B93:J93" si="49">B12+B48</f>
        <v>736289037</v>
      </c>
      <c r="C93" s="2620">
        <f t="shared" si="49"/>
        <v>347420614</v>
      </c>
      <c r="D93" s="2637">
        <f t="shared" si="49"/>
        <v>653864357</v>
      </c>
      <c r="E93" s="810">
        <f t="shared" si="49"/>
        <v>609021307</v>
      </c>
      <c r="F93" s="810">
        <f t="shared" si="49"/>
        <v>271887508</v>
      </c>
      <c r="G93" s="810">
        <f t="shared" si="49"/>
        <v>90876755</v>
      </c>
      <c r="H93" s="810">
        <f t="shared" si="49"/>
        <v>43900157</v>
      </c>
      <c r="I93" s="2663" t="e">
        <f>I12+I48</f>
        <v>#REF!</v>
      </c>
      <c r="J93" s="810">
        <f t="shared" si="49"/>
        <v>2786896060</v>
      </c>
      <c r="K93" s="810"/>
      <c r="L93" s="823"/>
      <c r="N93" s="2918"/>
    </row>
    <row r="94" spans="1:14" s="812" customFormat="1" ht="16.5" hidden="1" customHeight="1" thickBot="1">
      <c r="A94" s="2917"/>
      <c r="B94" s="1683" t="s">
        <v>538</v>
      </c>
      <c r="C94" s="2621" t="s">
        <v>5</v>
      </c>
      <c r="D94" s="2638" t="s">
        <v>193</v>
      </c>
      <c r="E94" s="2613" t="s">
        <v>194</v>
      </c>
      <c r="F94" s="1684" t="s">
        <v>234</v>
      </c>
      <c r="G94" s="1684" t="s">
        <v>235</v>
      </c>
      <c r="H94" s="1684" t="s">
        <v>233</v>
      </c>
      <c r="I94" s="2675"/>
      <c r="J94" s="1685" t="s">
        <v>44</v>
      </c>
      <c r="K94" s="1685" t="s">
        <v>542</v>
      </c>
      <c r="L94" s="823"/>
      <c r="N94" s="2918"/>
    </row>
    <row r="95" spans="1:14" s="812" customFormat="1" ht="18" hidden="1" customHeight="1">
      <c r="A95" s="2917"/>
      <c r="B95" s="810"/>
      <c r="C95" s="2612"/>
      <c r="D95" s="1535"/>
      <c r="E95" s="810"/>
      <c r="F95" s="810"/>
      <c r="G95" s="810"/>
      <c r="H95" s="810"/>
      <c r="I95" s="2663"/>
      <c r="J95" s="810"/>
      <c r="K95" s="831"/>
      <c r="L95" s="823"/>
      <c r="N95" s="2918"/>
    </row>
    <row r="96" spans="1:14" s="812" customFormat="1" ht="18" hidden="1" customHeight="1">
      <c r="A96" s="2917"/>
      <c r="B96" s="810"/>
      <c r="C96" s="2612"/>
      <c r="D96" s="1535"/>
      <c r="E96" s="810"/>
      <c r="F96" s="810"/>
      <c r="G96" s="810"/>
      <c r="H96" s="810"/>
      <c r="I96" s="2663"/>
      <c r="J96" s="810"/>
      <c r="K96" s="831"/>
      <c r="L96" s="823"/>
      <c r="N96" s="2918"/>
    </row>
    <row r="97" spans="1:14" s="361" customFormat="1" ht="12.75" hidden="1" customHeight="1">
      <c r="A97" s="2919"/>
      <c r="B97" s="774"/>
      <c r="C97" s="2622">
        <f>+C13+C49</f>
        <v>215112400</v>
      </c>
      <c r="D97" s="1400"/>
      <c r="E97" s="774"/>
      <c r="F97" s="774"/>
      <c r="G97" s="774"/>
      <c r="H97" s="774"/>
      <c r="I97" s="774" t="e">
        <f>+I13+I49</f>
        <v>#REF!</v>
      </c>
      <c r="J97" s="774"/>
      <c r="L97" s="786"/>
      <c r="N97" s="2920"/>
    </row>
    <row r="98" spans="1:14" s="361" customFormat="1" ht="28.5" hidden="1" customHeight="1">
      <c r="A98" s="2921"/>
      <c r="B98" s="833"/>
      <c r="C98" s="2623">
        <f>+C14+C50</f>
        <v>132308214</v>
      </c>
      <c r="D98" s="1536"/>
      <c r="E98" s="833"/>
      <c r="F98" s="833"/>
      <c r="G98" s="833"/>
      <c r="H98" s="833"/>
      <c r="I98" s="833">
        <f>+I14+I50</f>
        <v>0</v>
      </c>
      <c r="J98" s="832"/>
      <c r="K98" s="832"/>
      <c r="L98" s="786"/>
      <c r="N98" s="2920"/>
    </row>
    <row r="99" spans="1:14" s="361" customFormat="1" ht="8.25" hidden="1" customHeight="1" thickBot="1">
      <c r="A99" s="2919"/>
      <c r="B99" s="774"/>
      <c r="C99" s="2622"/>
      <c r="D99" s="1400"/>
      <c r="E99" s="774"/>
      <c r="F99" s="774"/>
      <c r="G99" s="774"/>
      <c r="H99" s="774"/>
      <c r="I99" s="774"/>
      <c r="J99" s="774"/>
      <c r="L99" s="786"/>
      <c r="N99" s="2920"/>
    </row>
    <row r="100" spans="1:14" s="361" customFormat="1" ht="12.75" hidden="1" customHeight="1">
      <c r="A100" s="2922"/>
      <c r="B100" s="834"/>
      <c r="C100" s="2624">
        <f>+C101+C102</f>
        <v>347420614</v>
      </c>
      <c r="D100" s="1537"/>
      <c r="E100" s="835"/>
      <c r="F100" s="835"/>
      <c r="G100" s="835"/>
      <c r="H100" s="835"/>
      <c r="I100" s="835" t="e">
        <f>+I101+I102</f>
        <v>#REF!</v>
      </c>
      <c r="J100" s="834">
        <f t="shared" ref="J100" si="50">+J101+J102</f>
        <v>2786896060</v>
      </c>
      <c r="K100" s="836"/>
      <c r="L100" s="786"/>
      <c r="N100" s="2923"/>
    </row>
    <row r="101" spans="1:14" s="361" customFormat="1" ht="12.75" hidden="1" customHeight="1">
      <c r="A101" s="773"/>
      <c r="B101" s="837"/>
      <c r="C101" s="2625">
        <f>+C13+C49</f>
        <v>215112400</v>
      </c>
      <c r="D101" s="1538"/>
      <c r="E101" s="838"/>
      <c r="F101" s="838"/>
      <c r="G101" s="838"/>
      <c r="H101" s="838"/>
      <c r="I101" s="838" t="e">
        <f>+I13+I49</f>
        <v>#REF!</v>
      </c>
      <c r="J101" s="837">
        <f>+J13+J49</f>
        <v>1569998624</v>
      </c>
      <c r="K101" s="839"/>
      <c r="L101" s="786"/>
      <c r="N101" s="2874"/>
    </row>
    <row r="102" spans="1:14" s="361" customFormat="1" ht="12.75" hidden="1" customHeight="1" thickBot="1">
      <c r="A102" s="773"/>
      <c r="B102" s="840"/>
      <c r="C102" s="2626">
        <f>+C14+C50</f>
        <v>132308214</v>
      </c>
      <c r="D102" s="1539"/>
      <c r="E102" s="841"/>
      <c r="F102" s="841"/>
      <c r="G102" s="841"/>
      <c r="H102" s="841"/>
      <c r="I102" s="841">
        <f>+I14+I50</f>
        <v>0</v>
      </c>
      <c r="J102" s="840">
        <f>+J14+J50</f>
        <v>1216897436</v>
      </c>
      <c r="K102" s="842"/>
      <c r="L102" s="786"/>
      <c r="N102" s="2874"/>
    </row>
    <row r="103" spans="1:14" s="361" customFormat="1" ht="21.75" hidden="1" customHeight="1">
      <c r="A103" s="2924" t="s">
        <v>45</v>
      </c>
      <c r="B103" s="843"/>
      <c r="C103" s="2627">
        <f>+C71+C37</f>
        <v>347420614</v>
      </c>
      <c r="D103" s="1540"/>
      <c r="E103" s="843"/>
      <c r="F103" s="843"/>
      <c r="G103" s="843"/>
      <c r="H103" s="843"/>
      <c r="I103" s="843">
        <f>+I71+I37</f>
        <v>0</v>
      </c>
      <c r="J103" s="843">
        <f>+J71+J37</f>
        <v>2786896060.3000002</v>
      </c>
      <c r="K103" s="844"/>
      <c r="L103" s="786"/>
      <c r="N103" s="2874"/>
    </row>
    <row r="104" spans="1:14" s="361" customFormat="1" ht="9.75" hidden="1" customHeight="1">
      <c r="A104" s="2924"/>
      <c r="B104" s="833"/>
      <c r="C104" s="2623">
        <f t="shared" ref="C104:J104" si="51">+C103-C100</f>
        <v>0</v>
      </c>
      <c r="D104" s="1536"/>
      <c r="E104" s="833"/>
      <c r="F104" s="833"/>
      <c r="G104" s="833"/>
      <c r="H104" s="833"/>
      <c r="I104" s="833" t="e">
        <f>+I103-I100</f>
        <v>#REF!</v>
      </c>
      <c r="J104" s="833">
        <f t="shared" si="51"/>
        <v>0.30000019073486328</v>
      </c>
      <c r="K104" s="774"/>
      <c r="L104" s="786"/>
      <c r="N104" s="2874"/>
    </row>
    <row r="105" spans="1:14" s="361" customFormat="1" ht="15.75" hidden="1" customHeight="1" thickBot="1">
      <c r="A105" s="2924" t="s">
        <v>46</v>
      </c>
      <c r="B105" s="843"/>
      <c r="C105" s="2627">
        <f>+C72+C38</f>
        <v>194298217</v>
      </c>
      <c r="D105" s="1540"/>
      <c r="E105" s="843"/>
      <c r="F105" s="843"/>
      <c r="G105" s="843"/>
      <c r="H105" s="843"/>
      <c r="I105" s="843">
        <f>+I72+I38</f>
        <v>0</v>
      </c>
      <c r="J105" s="843">
        <f>+J72+J38</f>
        <v>1327040963</v>
      </c>
      <c r="K105" s="774"/>
      <c r="L105" s="786"/>
      <c r="N105" s="2874"/>
    </row>
    <row r="106" spans="1:14" ht="1.5" hidden="1" customHeight="1">
      <c r="A106" s="3615" t="s">
        <v>600</v>
      </c>
      <c r="B106" s="2588"/>
      <c r="C106" s="2588"/>
      <c r="D106" s="1541"/>
      <c r="E106" s="846"/>
      <c r="F106" s="845"/>
      <c r="G106" s="845"/>
      <c r="H106" s="845"/>
      <c r="I106" s="847"/>
      <c r="J106" s="845"/>
      <c r="K106" s="847"/>
      <c r="L106" s="1208"/>
      <c r="M106" s="746"/>
      <c r="N106" s="2855"/>
    </row>
    <row r="107" spans="1:14" s="767" customFormat="1" ht="27.75" hidden="1" customHeight="1" thickBot="1">
      <c r="A107" s="3616"/>
      <c r="B107" s="2589">
        <f t="shared" ref="B107:K107" si="52">+B71+B37</f>
        <v>736289037.29999995</v>
      </c>
      <c r="C107" s="2589">
        <f t="shared" si="52"/>
        <v>347420614</v>
      </c>
      <c r="D107" s="1542">
        <f t="shared" si="52"/>
        <v>653864357</v>
      </c>
      <c r="E107" s="849">
        <f t="shared" si="52"/>
        <v>609021307</v>
      </c>
      <c r="F107" s="848">
        <f t="shared" si="52"/>
        <v>271887508</v>
      </c>
      <c r="G107" s="848">
        <f t="shared" si="52"/>
        <v>90876755</v>
      </c>
      <c r="H107" s="848">
        <f t="shared" si="52"/>
        <v>43900157</v>
      </c>
      <c r="I107" s="2676">
        <f>+I71+I37</f>
        <v>0</v>
      </c>
      <c r="J107" s="848">
        <f t="shared" si="52"/>
        <v>2786896060.3000002</v>
      </c>
      <c r="K107" s="850">
        <f t="shared" si="52"/>
        <v>1703186409</v>
      </c>
      <c r="L107" s="2544"/>
      <c r="M107" s="1686"/>
      <c r="N107" s="2925"/>
    </row>
    <row r="108" spans="1:14" hidden="1">
      <c r="A108" s="1" t="s">
        <v>47</v>
      </c>
      <c r="B108" s="2590">
        <f>+B18+B54</f>
        <v>540184134.29999995</v>
      </c>
      <c r="C108" s="2590">
        <f t="shared" ref="C108:J108" si="53">+C18+C54</f>
        <v>168716335</v>
      </c>
      <c r="D108" s="2639">
        <f t="shared" si="53"/>
        <v>266188382</v>
      </c>
      <c r="E108" s="2614">
        <f t="shared" si="53"/>
        <v>265471070</v>
      </c>
      <c r="F108" s="2">
        <f t="shared" si="53"/>
        <v>113799472</v>
      </c>
      <c r="G108" s="2">
        <f t="shared" si="53"/>
        <v>49600384</v>
      </c>
      <c r="H108" s="2">
        <f t="shared" si="53"/>
        <v>14121163</v>
      </c>
      <c r="I108" s="2">
        <f>+I18+I54</f>
        <v>0</v>
      </c>
      <c r="J108" s="2">
        <f t="shared" si="53"/>
        <v>1451717265.3</v>
      </c>
      <c r="K108" s="2">
        <f>+K18+K54</f>
        <v>742816796</v>
      </c>
      <c r="L108" s="1208"/>
      <c r="M108" s="746"/>
      <c r="N108" s="2855"/>
    </row>
    <row r="109" spans="1:14" hidden="1">
      <c r="A109" s="1" t="s">
        <v>48</v>
      </c>
      <c r="B109" s="2591">
        <f>+B57</f>
        <v>16076191</v>
      </c>
      <c r="C109" s="2591">
        <f t="shared" ref="C109" si="54">+C57</f>
        <v>12121213</v>
      </c>
      <c r="D109" s="2275">
        <f t="shared" ref="D109:K109" si="55">+D57</f>
        <v>29197927</v>
      </c>
      <c r="E109" s="1531">
        <f t="shared" si="55"/>
        <v>41279450</v>
      </c>
      <c r="F109" s="1687">
        <f>+F57</f>
        <v>50719367</v>
      </c>
      <c r="G109" s="1687">
        <f t="shared" si="55"/>
        <v>1472245</v>
      </c>
      <c r="H109" s="1687">
        <f t="shared" si="55"/>
        <v>0</v>
      </c>
      <c r="I109" s="2596">
        <f>+I57</f>
        <v>0</v>
      </c>
      <c r="J109" s="1687">
        <f t="shared" si="55"/>
        <v>150866393</v>
      </c>
      <c r="K109" s="1688">
        <f t="shared" si="55"/>
        <v>122668989</v>
      </c>
      <c r="L109" s="1208"/>
      <c r="M109" s="746"/>
      <c r="N109" s="2855"/>
    </row>
    <row r="110" spans="1:14" ht="13.5" hidden="1" thickBot="1">
      <c r="A110" s="2274" t="s">
        <v>12</v>
      </c>
      <c r="B110" s="2591">
        <f t="shared" ref="B110:K110" si="56">+B19+B59</f>
        <v>28301112</v>
      </c>
      <c r="C110" s="2591">
        <f t="shared" si="56"/>
        <v>28396589</v>
      </c>
      <c r="D110" s="2275">
        <f t="shared" si="56"/>
        <v>5227356</v>
      </c>
      <c r="E110" s="1531">
        <f t="shared" si="56"/>
        <v>3331360</v>
      </c>
      <c r="F110" s="1687">
        <f t="shared" si="56"/>
        <v>1075392</v>
      </c>
      <c r="G110" s="1687">
        <f t="shared" si="56"/>
        <v>801066</v>
      </c>
      <c r="H110" s="1687">
        <f t="shared" si="56"/>
        <v>640586</v>
      </c>
      <c r="I110" s="2596">
        <f>+I19+I59</f>
        <v>0</v>
      </c>
      <c r="J110" s="1687">
        <f t="shared" si="56"/>
        <v>67773461</v>
      </c>
      <c r="K110" s="1688">
        <f t="shared" si="56"/>
        <v>11075760</v>
      </c>
      <c r="L110" s="456"/>
      <c r="M110" s="903"/>
      <c r="N110" s="2926"/>
    </row>
    <row r="111" spans="1:14" hidden="1">
      <c r="A111" s="1" t="s">
        <v>14</v>
      </c>
      <c r="B111" s="2592">
        <f t="shared" ref="B111:K111" si="57">+B20+B58</f>
        <v>12722293</v>
      </c>
      <c r="C111" s="2592">
        <f t="shared" si="57"/>
        <v>7697830</v>
      </c>
      <c r="D111" s="1661">
        <f t="shared" si="57"/>
        <v>7062116</v>
      </c>
      <c r="E111" s="1662">
        <f t="shared" si="57"/>
        <v>0</v>
      </c>
      <c r="F111" s="1660">
        <f t="shared" si="57"/>
        <v>0</v>
      </c>
      <c r="G111" s="1660">
        <f t="shared" si="57"/>
        <v>0</v>
      </c>
      <c r="H111" s="1660">
        <f t="shared" si="57"/>
        <v>0</v>
      </c>
      <c r="I111" s="2677">
        <f>+I20+I58</f>
        <v>0</v>
      </c>
      <c r="J111" s="1660">
        <f t="shared" si="57"/>
        <v>27482239</v>
      </c>
      <c r="K111" s="2273">
        <f t="shared" si="57"/>
        <v>7062116</v>
      </c>
      <c r="L111" s="1208"/>
      <c r="M111" s="746"/>
      <c r="N111" s="2855"/>
    </row>
    <row r="112" spans="1:14" hidden="1">
      <c r="A112" s="2274" t="s">
        <v>49</v>
      </c>
      <c r="B112" s="2591">
        <f t="shared" ref="B112:K112" si="58">+B21+B55</f>
        <v>10003578</v>
      </c>
      <c r="C112" s="2591">
        <f t="shared" si="58"/>
        <v>16807247</v>
      </c>
      <c r="D112" s="2275">
        <f t="shared" si="58"/>
        <v>26717700</v>
      </c>
      <c r="E112" s="1531">
        <f t="shared" si="58"/>
        <v>9240676</v>
      </c>
      <c r="F112" s="1687">
        <f t="shared" si="58"/>
        <v>0</v>
      </c>
      <c r="G112" s="1687">
        <f t="shared" si="58"/>
        <v>0</v>
      </c>
      <c r="H112" s="1687">
        <f t="shared" si="58"/>
        <v>0</v>
      </c>
      <c r="I112" s="2596">
        <f>+I21+I55</f>
        <v>0</v>
      </c>
      <c r="J112" s="2927">
        <f t="shared" si="58"/>
        <v>62769201</v>
      </c>
      <c r="K112" s="1688">
        <f t="shared" si="58"/>
        <v>35958376</v>
      </c>
      <c r="L112" s="1208"/>
      <c r="M112" s="746"/>
      <c r="N112" s="2855"/>
    </row>
    <row r="113" spans="1:14" hidden="1">
      <c r="A113" s="2274" t="s">
        <v>18</v>
      </c>
      <c r="B113" s="2591">
        <f t="shared" ref="B113:K113" si="59">+B25</f>
        <v>1601732</v>
      </c>
      <c r="C113" s="2591">
        <f t="shared" si="59"/>
        <v>850456</v>
      </c>
      <c r="D113" s="2275">
        <f t="shared" si="59"/>
        <v>333166</v>
      </c>
      <c r="E113" s="1531">
        <f t="shared" si="59"/>
        <v>227567</v>
      </c>
      <c r="F113" s="1687">
        <f t="shared" si="59"/>
        <v>0</v>
      </c>
      <c r="G113" s="1687">
        <f t="shared" si="59"/>
        <v>0</v>
      </c>
      <c r="H113" s="1687">
        <f t="shared" si="59"/>
        <v>0</v>
      </c>
      <c r="I113" s="2596">
        <f>+I25</f>
        <v>0</v>
      </c>
      <c r="J113" s="2927">
        <f t="shared" si="59"/>
        <v>3012921</v>
      </c>
      <c r="K113" s="1688">
        <f t="shared" si="59"/>
        <v>560733</v>
      </c>
      <c r="L113" s="1208"/>
      <c r="M113" s="746"/>
      <c r="N113" s="2855"/>
    </row>
    <row r="114" spans="1:14" hidden="1">
      <c r="A114" s="2274" t="s">
        <v>16</v>
      </c>
      <c r="B114" s="2591">
        <f t="shared" ref="B114:K114" si="60">+B22</f>
        <v>0</v>
      </c>
      <c r="C114" s="2591">
        <f t="shared" si="60"/>
        <v>198197</v>
      </c>
      <c r="D114" s="2275">
        <f t="shared" si="60"/>
        <v>3650871</v>
      </c>
      <c r="E114" s="1531">
        <f t="shared" si="60"/>
        <v>4520725</v>
      </c>
      <c r="F114" s="1687">
        <f t="shared" si="60"/>
        <v>886081</v>
      </c>
      <c r="G114" s="1687">
        <f t="shared" si="60"/>
        <v>0</v>
      </c>
      <c r="H114" s="1687">
        <f t="shared" si="60"/>
        <v>0</v>
      </c>
      <c r="I114" s="2596">
        <f>+I22</f>
        <v>0</v>
      </c>
      <c r="J114" s="1687">
        <f t="shared" si="60"/>
        <v>9255874</v>
      </c>
      <c r="K114" s="1688">
        <f t="shared" si="60"/>
        <v>9057677</v>
      </c>
      <c r="L114" s="1208"/>
      <c r="M114" s="746"/>
      <c r="N114" s="2855"/>
    </row>
    <row r="115" spans="1:14" ht="13.5" hidden="1" thickBot="1">
      <c r="A115" s="851" t="s">
        <v>19</v>
      </c>
      <c r="B115" s="2593">
        <f t="shared" ref="B115:K115" si="61">+B26</f>
        <v>127399997</v>
      </c>
      <c r="C115" s="2593">
        <f t="shared" si="61"/>
        <v>112632747</v>
      </c>
      <c r="D115" s="1543">
        <f t="shared" si="61"/>
        <v>315486839</v>
      </c>
      <c r="E115" s="2615">
        <f t="shared" si="61"/>
        <v>284950459</v>
      </c>
      <c r="F115" s="2928">
        <f t="shared" si="61"/>
        <v>105407196</v>
      </c>
      <c r="G115" s="2928">
        <f t="shared" si="61"/>
        <v>39003060</v>
      </c>
      <c r="H115" s="2928">
        <f t="shared" si="61"/>
        <v>29138408</v>
      </c>
      <c r="I115" s="2597">
        <f>+I26</f>
        <v>0</v>
      </c>
      <c r="J115" s="2928">
        <f t="shared" si="61"/>
        <v>1014018706</v>
      </c>
      <c r="K115" s="2928">
        <f t="shared" si="61"/>
        <v>773985962</v>
      </c>
      <c r="L115" s="1208"/>
      <c r="M115" s="746"/>
      <c r="N115" s="2855"/>
    </row>
    <row r="116" spans="1:14" s="767" customFormat="1" ht="18" hidden="1" customHeight="1">
      <c r="A116" s="2929"/>
      <c r="B116" s="2594">
        <f t="shared" ref="B116:K116" si="62">SUM(B108:B115)</f>
        <v>736289037.29999995</v>
      </c>
      <c r="C116" s="2594">
        <f t="shared" si="62"/>
        <v>347420614</v>
      </c>
      <c r="D116" s="1544">
        <f t="shared" si="62"/>
        <v>653864357</v>
      </c>
      <c r="E116" s="852">
        <f t="shared" si="62"/>
        <v>609021307</v>
      </c>
      <c r="F116" s="852">
        <f t="shared" si="62"/>
        <v>271887508</v>
      </c>
      <c r="G116" s="852">
        <f t="shared" si="62"/>
        <v>90876755</v>
      </c>
      <c r="H116" s="852">
        <f t="shared" si="62"/>
        <v>43900157</v>
      </c>
      <c r="I116" s="2678">
        <f>SUM(I108:I115)</f>
        <v>0</v>
      </c>
      <c r="J116" s="852">
        <f t="shared" si="62"/>
        <v>2786896060.3000002</v>
      </c>
      <c r="K116" s="852">
        <f t="shared" si="62"/>
        <v>1703186409</v>
      </c>
      <c r="L116" s="2544"/>
      <c r="M116" s="1686"/>
      <c r="N116" s="2925"/>
    </row>
    <row r="117" spans="1:14" ht="18" hidden="1" customHeight="1" thickBot="1">
      <c r="A117" s="2930"/>
      <c r="B117" s="853">
        <f t="shared" ref="B117:J117" si="63">+B116-B74</f>
        <v>0.29999995231628418</v>
      </c>
      <c r="C117" s="2628">
        <f t="shared" si="63"/>
        <v>0</v>
      </c>
      <c r="D117" s="2237">
        <f t="shared" si="63"/>
        <v>0</v>
      </c>
      <c r="E117" s="853">
        <f t="shared" si="63"/>
        <v>0</v>
      </c>
      <c r="F117" s="853">
        <f t="shared" si="63"/>
        <v>0</v>
      </c>
      <c r="G117" s="853">
        <f t="shared" si="63"/>
        <v>0</v>
      </c>
      <c r="H117" s="853">
        <f t="shared" si="63"/>
        <v>0</v>
      </c>
      <c r="I117" s="872" t="e">
        <f>+I116-I74</f>
        <v>#REF!</v>
      </c>
      <c r="J117" s="853">
        <f t="shared" si="63"/>
        <v>0.30000019073486328</v>
      </c>
      <c r="K117" s="853"/>
      <c r="L117" s="1208"/>
      <c r="M117" s="746"/>
      <c r="N117" s="2855"/>
    </row>
    <row r="118" spans="1:14" ht="30" hidden="1" customHeight="1" thickBot="1">
      <c r="A118" s="2931" t="s">
        <v>601</v>
      </c>
      <c r="B118" s="2595">
        <f t="shared" ref="B118:J118" si="64">+B72+B38</f>
        <v>225540103</v>
      </c>
      <c r="C118" s="2595">
        <f t="shared" si="64"/>
        <v>194298217</v>
      </c>
      <c r="D118" s="1545">
        <f t="shared" si="64"/>
        <v>357704820</v>
      </c>
      <c r="E118" s="855">
        <f t="shared" si="64"/>
        <v>323151416</v>
      </c>
      <c r="F118" s="854">
        <f t="shared" si="64"/>
        <v>145078949</v>
      </c>
      <c r="G118" s="854">
        <f t="shared" si="64"/>
        <v>45239506</v>
      </c>
      <c r="H118" s="854">
        <f t="shared" si="64"/>
        <v>33865078</v>
      </c>
      <c r="I118" s="2679">
        <f>+I72+I38</f>
        <v>0</v>
      </c>
      <c r="J118" s="854">
        <f t="shared" si="64"/>
        <v>1327040963</v>
      </c>
      <c r="K118" s="856" t="s">
        <v>21</v>
      </c>
      <c r="L118" s="1208"/>
      <c r="M118" s="746"/>
      <c r="N118" s="2855"/>
    </row>
    <row r="119" spans="1:14" ht="14.25" hidden="1" customHeight="1">
      <c r="A119" s="2274" t="s">
        <v>12</v>
      </c>
      <c r="B119" s="2596">
        <f t="shared" ref="B119:K119" si="65">+B64+B29</f>
        <v>28253383</v>
      </c>
      <c r="C119" s="2591">
        <f t="shared" si="65"/>
        <v>28440585</v>
      </c>
      <c r="D119" s="2275">
        <f t="shared" si="65"/>
        <v>5195323</v>
      </c>
      <c r="E119" s="1531">
        <f t="shared" si="65"/>
        <v>3336371</v>
      </c>
      <c r="F119" s="1687">
        <f t="shared" si="65"/>
        <v>1106147</v>
      </c>
      <c r="G119" s="1687">
        <f t="shared" si="65"/>
        <v>801066</v>
      </c>
      <c r="H119" s="1687">
        <f t="shared" si="65"/>
        <v>640586</v>
      </c>
      <c r="I119" s="2596">
        <f>+I64+I29</f>
        <v>0</v>
      </c>
      <c r="J119" s="857">
        <f t="shared" si="65"/>
        <v>67773461</v>
      </c>
      <c r="K119" s="1687">
        <f t="shared" si="65"/>
        <v>0</v>
      </c>
      <c r="L119" s="1208"/>
      <c r="M119" s="746"/>
      <c r="N119" s="2855"/>
    </row>
    <row r="120" spans="1:14" ht="14.25" hidden="1" customHeight="1">
      <c r="A120" s="2274" t="s">
        <v>14</v>
      </c>
      <c r="B120" s="2596">
        <f t="shared" ref="B120:K120" si="66">+B30+B65</f>
        <v>12322999</v>
      </c>
      <c r="C120" s="2591">
        <f t="shared" si="66"/>
        <v>8097124</v>
      </c>
      <c r="D120" s="2275">
        <f t="shared" si="66"/>
        <v>7062116</v>
      </c>
      <c r="E120" s="1531">
        <f t="shared" si="66"/>
        <v>0</v>
      </c>
      <c r="F120" s="1687">
        <f t="shared" si="66"/>
        <v>0</v>
      </c>
      <c r="G120" s="1687">
        <f t="shared" si="66"/>
        <v>0</v>
      </c>
      <c r="H120" s="1687">
        <f t="shared" si="66"/>
        <v>0</v>
      </c>
      <c r="I120" s="2596">
        <f>+I30+I65</f>
        <v>0</v>
      </c>
      <c r="J120" s="857">
        <f t="shared" si="66"/>
        <v>27482239</v>
      </c>
      <c r="K120" s="1687">
        <f t="shared" si="66"/>
        <v>0</v>
      </c>
      <c r="L120" s="1208"/>
      <c r="M120" s="746"/>
      <c r="N120" s="2855"/>
    </row>
    <row r="121" spans="1:14" ht="14.25" hidden="1" customHeight="1">
      <c r="A121" s="2274" t="s">
        <v>49</v>
      </c>
      <c r="B121" s="2596">
        <f t="shared" ref="B121:K121" si="67">+B31+B66</f>
        <v>37191346</v>
      </c>
      <c r="C121" s="2591">
        <f t="shared" si="67"/>
        <v>8739285</v>
      </c>
      <c r="D121" s="2275">
        <f t="shared" si="67"/>
        <v>8419285</v>
      </c>
      <c r="E121" s="1531">
        <f t="shared" si="67"/>
        <v>8419285</v>
      </c>
      <c r="F121" s="1687">
        <f t="shared" si="67"/>
        <v>0</v>
      </c>
      <c r="G121" s="1687">
        <f t="shared" si="67"/>
        <v>0</v>
      </c>
      <c r="H121" s="1687">
        <f t="shared" si="67"/>
        <v>0</v>
      </c>
      <c r="I121" s="2596">
        <f>+I31+I66</f>
        <v>0</v>
      </c>
      <c r="J121" s="857">
        <f t="shared" si="67"/>
        <v>62769201</v>
      </c>
      <c r="K121" s="1687">
        <f t="shared" si="67"/>
        <v>0</v>
      </c>
      <c r="L121" s="1208"/>
      <c r="M121" s="746"/>
      <c r="N121" s="2855"/>
    </row>
    <row r="122" spans="1:14" ht="14.25" hidden="1" customHeight="1">
      <c r="A122" s="1" t="s">
        <v>11</v>
      </c>
      <c r="B122" s="2596">
        <f t="shared" ref="B122:K122" si="68">+B67</f>
        <v>37278717</v>
      </c>
      <c r="C122" s="2591">
        <f t="shared" si="68"/>
        <v>24408029</v>
      </c>
      <c r="D122" s="2275">
        <f t="shared" si="68"/>
        <v>33872184</v>
      </c>
      <c r="E122" s="1531">
        <f t="shared" si="68"/>
        <v>35230927</v>
      </c>
      <c r="F122" s="1687">
        <f t="shared" si="68"/>
        <v>10287975</v>
      </c>
      <c r="G122" s="1687">
        <f t="shared" si="68"/>
        <v>1650729</v>
      </c>
      <c r="H122" s="1687">
        <f t="shared" si="68"/>
        <v>0</v>
      </c>
      <c r="I122" s="2596">
        <f>+I67</f>
        <v>0</v>
      </c>
      <c r="J122" s="857">
        <f t="shared" si="68"/>
        <v>142728561</v>
      </c>
      <c r="K122" s="1687">
        <f t="shared" si="68"/>
        <v>0</v>
      </c>
      <c r="L122" s="1208"/>
      <c r="M122" s="746"/>
      <c r="N122" s="2855"/>
    </row>
    <row r="123" spans="1:14" ht="14.25" hidden="1" customHeight="1">
      <c r="A123" s="2274" t="s">
        <v>16</v>
      </c>
      <c r="B123" s="2596">
        <f>+B32</f>
        <v>0</v>
      </c>
      <c r="C123" s="2591">
        <f t="shared" ref="C123:K123" si="69">+C32</f>
        <v>198197</v>
      </c>
      <c r="D123" s="2275">
        <f t="shared" si="69"/>
        <v>3650871</v>
      </c>
      <c r="E123" s="1531">
        <f t="shared" si="69"/>
        <v>4520725</v>
      </c>
      <c r="F123" s="1531">
        <f t="shared" si="69"/>
        <v>886081</v>
      </c>
      <c r="G123" s="1531">
        <f t="shared" si="69"/>
        <v>0</v>
      </c>
      <c r="H123" s="1531">
        <f t="shared" si="69"/>
        <v>0</v>
      </c>
      <c r="I123" s="1531">
        <f>+I32</f>
        <v>0</v>
      </c>
      <c r="J123" s="1531">
        <f t="shared" si="69"/>
        <v>9255874</v>
      </c>
      <c r="K123" s="1531">
        <f t="shared" si="69"/>
        <v>0</v>
      </c>
      <c r="L123" s="1208"/>
      <c r="M123" s="746"/>
      <c r="N123" s="2855"/>
    </row>
    <row r="124" spans="1:14" ht="14.25" hidden="1" customHeight="1">
      <c r="A124" s="2274" t="s">
        <v>18</v>
      </c>
      <c r="B124" s="2596">
        <f t="shared" ref="B124:K124" si="70">+B34</f>
        <v>942649</v>
      </c>
      <c r="C124" s="2591">
        <f t="shared" si="70"/>
        <v>895229</v>
      </c>
      <c r="D124" s="2275">
        <f t="shared" si="70"/>
        <v>808384</v>
      </c>
      <c r="E124" s="1531">
        <f t="shared" si="70"/>
        <v>273472</v>
      </c>
      <c r="F124" s="1687">
        <f t="shared" si="70"/>
        <v>93187</v>
      </c>
      <c r="G124" s="1687">
        <f t="shared" si="70"/>
        <v>0</v>
      </c>
      <c r="H124" s="1687">
        <f t="shared" si="70"/>
        <v>0</v>
      </c>
      <c r="I124" s="2596">
        <f>+I34</f>
        <v>0</v>
      </c>
      <c r="J124" s="857">
        <f t="shared" si="70"/>
        <v>3012921</v>
      </c>
      <c r="K124" s="1687">
        <f t="shared" si="70"/>
        <v>0</v>
      </c>
      <c r="L124" s="1208"/>
      <c r="M124" s="746"/>
      <c r="N124" s="2855"/>
    </row>
    <row r="125" spans="1:14" ht="14.25" hidden="1" customHeight="1" thickBot="1">
      <c r="A125" s="851" t="s">
        <v>19</v>
      </c>
      <c r="B125" s="2597">
        <f t="shared" ref="B125:K125" si="71">+B35</f>
        <v>109551009</v>
      </c>
      <c r="C125" s="2629">
        <f t="shared" si="71"/>
        <v>123519768</v>
      </c>
      <c r="D125" s="1546">
        <f t="shared" si="71"/>
        <v>298696657</v>
      </c>
      <c r="E125" s="2616">
        <f t="shared" si="71"/>
        <v>271370636</v>
      </c>
      <c r="F125" s="2932">
        <f t="shared" si="71"/>
        <v>132705559</v>
      </c>
      <c r="G125" s="2932">
        <f t="shared" si="71"/>
        <v>42787711</v>
      </c>
      <c r="H125" s="2932">
        <f t="shared" si="71"/>
        <v>33224492</v>
      </c>
      <c r="I125" s="2597">
        <f>+I35</f>
        <v>0</v>
      </c>
      <c r="J125" s="858">
        <f t="shared" si="71"/>
        <v>1014018706</v>
      </c>
      <c r="K125" s="2932">
        <f t="shared" si="71"/>
        <v>0</v>
      </c>
      <c r="L125" s="1208"/>
      <c r="M125" s="746"/>
      <c r="N125" s="2855"/>
    </row>
    <row r="126" spans="1:14" ht="14.25" hidden="1" customHeight="1">
      <c r="A126" s="2933"/>
      <c r="B126" s="859">
        <f t="shared" ref="B126:K126" si="72">SUM(B119:B125)</f>
        <v>225540103</v>
      </c>
      <c r="C126" s="2630">
        <f t="shared" si="72"/>
        <v>194298217</v>
      </c>
      <c r="D126" s="1547">
        <f t="shared" si="72"/>
        <v>357704820</v>
      </c>
      <c r="E126" s="859">
        <f t="shared" si="72"/>
        <v>323151416</v>
      </c>
      <c r="F126" s="859">
        <f t="shared" si="72"/>
        <v>145078949</v>
      </c>
      <c r="G126" s="859">
        <f t="shared" si="72"/>
        <v>45239506</v>
      </c>
      <c r="H126" s="859">
        <f t="shared" si="72"/>
        <v>33865078</v>
      </c>
      <c r="I126" s="2680">
        <f>SUM(I119:I125)</f>
        <v>0</v>
      </c>
      <c r="J126" s="859">
        <f t="shared" si="72"/>
        <v>1327040963</v>
      </c>
      <c r="K126" s="859">
        <f t="shared" si="72"/>
        <v>0</v>
      </c>
      <c r="L126" s="1208"/>
      <c r="M126" s="746"/>
      <c r="N126" s="2855"/>
    </row>
    <row r="127" spans="1:14" ht="14.25" hidden="1" customHeight="1">
      <c r="A127" s="2934"/>
      <c r="B127" s="860">
        <f t="shared" ref="B127:J127" si="73">+B126-B77</f>
        <v>0</v>
      </c>
      <c r="C127" s="2631">
        <f t="shared" si="73"/>
        <v>0</v>
      </c>
      <c r="D127" s="1548">
        <f t="shared" si="73"/>
        <v>0</v>
      </c>
      <c r="E127" s="860">
        <f t="shared" si="73"/>
        <v>0</v>
      </c>
      <c r="F127" s="860">
        <f t="shared" si="73"/>
        <v>0</v>
      </c>
      <c r="G127" s="860">
        <f t="shared" si="73"/>
        <v>0</v>
      </c>
      <c r="H127" s="860">
        <f t="shared" si="73"/>
        <v>0</v>
      </c>
      <c r="I127" s="2681">
        <f>+I126-I77</f>
        <v>0</v>
      </c>
      <c r="J127" s="860">
        <f t="shared" si="73"/>
        <v>0</v>
      </c>
      <c r="K127" s="859"/>
      <c r="L127" s="1208"/>
      <c r="M127" s="746"/>
      <c r="N127" s="2855"/>
    </row>
    <row r="128" spans="1:14" ht="13.5" hidden="1" thickBot="1">
      <c r="A128" s="2935"/>
      <c r="B128" s="861" t="s">
        <v>538</v>
      </c>
      <c r="C128" s="2632" t="s">
        <v>5</v>
      </c>
      <c r="D128" s="2638" t="s">
        <v>193</v>
      </c>
      <c r="E128" s="2613" t="s">
        <v>194</v>
      </c>
      <c r="F128" s="1684" t="s">
        <v>234</v>
      </c>
      <c r="G128" s="1684" t="s">
        <v>235</v>
      </c>
      <c r="H128" s="1684" t="s">
        <v>233</v>
      </c>
      <c r="I128" s="2675"/>
      <c r="J128" s="1685" t="s">
        <v>44</v>
      </c>
      <c r="K128" s="2936" t="s">
        <v>542</v>
      </c>
      <c r="L128" s="1208"/>
      <c r="M128" s="746"/>
      <c r="N128" s="2855"/>
    </row>
    <row r="129" spans="1:14" ht="3" hidden="1" customHeight="1">
      <c r="A129" s="3617" t="s">
        <v>602</v>
      </c>
      <c r="B129" s="863"/>
      <c r="C129" s="2633"/>
      <c r="D129" s="1549"/>
      <c r="E129" s="864"/>
      <c r="F129" s="862"/>
      <c r="G129" s="862"/>
      <c r="H129" s="862"/>
      <c r="I129" s="863"/>
      <c r="J129" s="862"/>
      <c r="K129" s="865"/>
      <c r="L129" s="1208"/>
      <c r="M129" s="746"/>
      <c r="N129" s="2855"/>
    </row>
    <row r="130" spans="1:14" ht="27" hidden="1" customHeight="1" thickBot="1">
      <c r="A130" s="3618"/>
      <c r="B130" s="2598">
        <f t="shared" ref="B130:K130" si="74">SUM(B131:B138)</f>
        <v>736289037.29999995</v>
      </c>
      <c r="C130" s="2598">
        <f t="shared" si="74"/>
        <v>347472561</v>
      </c>
      <c r="D130" s="1550">
        <f t="shared" si="74"/>
        <v>650352545</v>
      </c>
      <c r="E130" s="867">
        <f t="shared" si="74"/>
        <v>596747158</v>
      </c>
      <c r="F130" s="866">
        <f t="shared" si="74"/>
        <v>271005269</v>
      </c>
      <c r="G130" s="866">
        <f t="shared" si="74"/>
        <v>90865044</v>
      </c>
      <c r="H130" s="866">
        <f t="shared" si="74"/>
        <v>43900157</v>
      </c>
      <c r="I130" s="2682">
        <f>SUM(I131:I138)</f>
        <v>0</v>
      </c>
      <c r="J130" s="866">
        <f t="shared" si="74"/>
        <v>2770268096.3000002</v>
      </c>
      <c r="K130" s="868">
        <f t="shared" si="74"/>
        <v>1686506498</v>
      </c>
      <c r="L130" s="1208"/>
      <c r="M130" s="746"/>
      <c r="N130" s="2855"/>
    </row>
    <row r="131" spans="1:14" hidden="1">
      <c r="A131" s="869" t="s">
        <v>47</v>
      </c>
      <c r="B131" s="2599">
        <v>540184134.29999995</v>
      </c>
      <c r="C131" s="2599">
        <v>168716555</v>
      </c>
      <c r="D131" s="2640">
        <v>266880699</v>
      </c>
      <c r="E131" s="1532">
        <v>262212473</v>
      </c>
      <c r="F131" s="2937">
        <v>113026991</v>
      </c>
      <c r="G131" s="2937">
        <v>49598627</v>
      </c>
      <c r="H131" s="2937">
        <v>14121163</v>
      </c>
      <c r="I131" s="2938">
        <v>0</v>
      </c>
      <c r="J131" s="2937">
        <v>1448376967.3</v>
      </c>
      <c r="K131" s="2599">
        <v>739476278</v>
      </c>
      <c r="L131" s="1208"/>
      <c r="M131" s="753"/>
      <c r="N131" s="2939"/>
    </row>
    <row r="132" spans="1:14" hidden="1">
      <c r="A132" s="869" t="s">
        <v>48</v>
      </c>
      <c r="B132" s="2599">
        <v>16076191</v>
      </c>
      <c r="C132" s="2599">
        <v>12121213</v>
      </c>
      <c r="D132" s="2640">
        <v>29197927</v>
      </c>
      <c r="E132" s="1532">
        <v>41279450</v>
      </c>
      <c r="F132" s="2937">
        <v>50719367</v>
      </c>
      <c r="G132" s="2937">
        <v>1472245</v>
      </c>
      <c r="H132" s="2937">
        <v>0</v>
      </c>
      <c r="I132" s="2938">
        <v>0</v>
      </c>
      <c r="J132" s="2937">
        <v>150866393</v>
      </c>
      <c r="K132" s="2599">
        <v>122668989</v>
      </c>
      <c r="L132" s="1208"/>
      <c r="M132" s="753"/>
      <c r="N132" s="2939"/>
    </row>
    <row r="133" spans="1:14" hidden="1">
      <c r="A133" s="2277" t="s">
        <v>12</v>
      </c>
      <c r="B133" s="2599">
        <v>28301112</v>
      </c>
      <c r="C133" s="2599">
        <v>28409518</v>
      </c>
      <c r="D133" s="2640">
        <v>5217687</v>
      </c>
      <c r="E133" s="1532">
        <v>3328100</v>
      </c>
      <c r="F133" s="2937">
        <v>1075392</v>
      </c>
      <c r="G133" s="2937">
        <v>801066</v>
      </c>
      <c r="H133" s="2937">
        <v>640586</v>
      </c>
      <c r="I133" s="2938">
        <v>0</v>
      </c>
      <c r="J133" s="2937">
        <v>67773461</v>
      </c>
      <c r="K133" s="2599">
        <v>11062831</v>
      </c>
      <c r="L133" s="1208"/>
      <c r="M133" s="753"/>
      <c r="N133" s="2939"/>
    </row>
    <row r="134" spans="1:14" hidden="1">
      <c r="A134" s="2277" t="s">
        <v>14</v>
      </c>
      <c r="B134" s="2599">
        <v>12722293</v>
      </c>
      <c r="C134" s="2599">
        <v>7697830</v>
      </c>
      <c r="D134" s="2640">
        <v>5543450</v>
      </c>
      <c r="E134" s="1532">
        <v>0</v>
      </c>
      <c r="F134" s="2937">
        <v>0</v>
      </c>
      <c r="G134" s="2937">
        <v>0</v>
      </c>
      <c r="H134" s="2937">
        <v>0</v>
      </c>
      <c r="I134" s="2938">
        <v>0</v>
      </c>
      <c r="J134" s="2937">
        <v>25963573</v>
      </c>
      <c r="K134" s="2599">
        <v>5543450</v>
      </c>
      <c r="L134" s="1208"/>
      <c r="M134" s="753"/>
      <c r="N134" s="2939"/>
    </row>
    <row r="135" spans="1:14" hidden="1">
      <c r="A135" s="2277" t="s">
        <v>49</v>
      </c>
      <c r="B135" s="2599">
        <v>10003578</v>
      </c>
      <c r="C135" s="2599">
        <v>16807247</v>
      </c>
      <c r="D135" s="2640">
        <v>26258486</v>
      </c>
      <c r="E135" s="1532">
        <v>9699890</v>
      </c>
      <c r="F135" s="2937">
        <v>0</v>
      </c>
      <c r="G135" s="2937">
        <v>0</v>
      </c>
      <c r="H135" s="2937">
        <v>0</v>
      </c>
      <c r="I135" s="2938">
        <v>0</v>
      </c>
      <c r="J135" s="2937">
        <v>62769201</v>
      </c>
      <c r="K135" s="2599">
        <v>35958376</v>
      </c>
      <c r="L135" s="1208"/>
      <c r="M135" s="753"/>
      <c r="N135" s="2939"/>
    </row>
    <row r="136" spans="1:14" hidden="1">
      <c r="A136" s="2277" t="s">
        <v>18</v>
      </c>
      <c r="B136" s="2599">
        <v>1601732</v>
      </c>
      <c r="C136" s="2599">
        <v>889254</v>
      </c>
      <c r="D136" s="2640">
        <v>304163</v>
      </c>
      <c r="E136" s="1532">
        <v>217772</v>
      </c>
      <c r="F136" s="2937">
        <v>0</v>
      </c>
      <c r="G136" s="2937">
        <v>0</v>
      </c>
      <c r="H136" s="2937">
        <v>0</v>
      </c>
      <c r="I136" s="2938">
        <v>0</v>
      </c>
      <c r="J136" s="2937">
        <v>3012921</v>
      </c>
      <c r="K136" s="2599">
        <v>521935</v>
      </c>
      <c r="L136" s="1208"/>
      <c r="M136" s="753"/>
      <c r="N136" s="2939"/>
    </row>
    <row r="137" spans="1:14" hidden="1">
      <c r="A137" s="2277" t="s">
        <v>16</v>
      </c>
      <c r="B137" s="2599">
        <v>0</v>
      </c>
      <c r="C137" s="2599">
        <v>198197</v>
      </c>
      <c r="D137" s="2640">
        <v>3650871</v>
      </c>
      <c r="E137" s="1532">
        <v>4520725</v>
      </c>
      <c r="F137" s="2937">
        <v>886081</v>
      </c>
      <c r="G137" s="2937">
        <v>0</v>
      </c>
      <c r="H137" s="2937">
        <v>0</v>
      </c>
      <c r="I137" s="2938">
        <v>0</v>
      </c>
      <c r="J137" s="2937">
        <v>9255874</v>
      </c>
      <c r="K137" s="2599">
        <v>9057677</v>
      </c>
      <c r="L137" s="1208"/>
      <c r="M137" s="753"/>
      <c r="N137" s="2939"/>
    </row>
    <row r="138" spans="1:14" ht="13.5" hidden="1" thickBot="1">
      <c r="A138" s="495" t="s">
        <v>19</v>
      </c>
      <c r="B138" s="870">
        <v>127399997</v>
      </c>
      <c r="C138" s="870">
        <v>112632747</v>
      </c>
      <c r="D138" s="1551">
        <v>313299262</v>
      </c>
      <c r="E138" s="2617">
        <v>275488748</v>
      </c>
      <c r="F138" s="2940">
        <v>105297438</v>
      </c>
      <c r="G138" s="2940">
        <v>38993106</v>
      </c>
      <c r="H138" s="2940">
        <v>29138408</v>
      </c>
      <c r="I138" s="2683">
        <v>0</v>
      </c>
      <c r="J138" s="2940">
        <v>1002249706</v>
      </c>
      <c r="K138" s="870">
        <v>762216962</v>
      </c>
      <c r="L138" s="1208"/>
      <c r="M138" s="753"/>
      <c r="N138" s="2939"/>
    </row>
    <row r="139" spans="1:14" hidden="1">
      <c r="A139" s="2941"/>
      <c r="B139" s="2600">
        <f t="shared" ref="B139:K139" si="75">SUM(B131:B138)</f>
        <v>736289037.29999995</v>
      </c>
      <c r="C139" s="2600">
        <f t="shared" si="75"/>
        <v>347472561</v>
      </c>
      <c r="D139" s="1552">
        <f t="shared" si="75"/>
        <v>650352545</v>
      </c>
      <c r="E139" s="871">
        <f t="shared" si="75"/>
        <v>596747158</v>
      </c>
      <c r="F139" s="871">
        <f t="shared" si="75"/>
        <v>271005269</v>
      </c>
      <c r="G139" s="871">
        <f t="shared" si="75"/>
        <v>90865044</v>
      </c>
      <c r="H139" s="871">
        <f t="shared" si="75"/>
        <v>43900157</v>
      </c>
      <c r="I139" s="871">
        <f>SUM(I131:I138)</f>
        <v>0</v>
      </c>
      <c r="J139" s="871">
        <f t="shared" si="75"/>
        <v>2770268096.3000002</v>
      </c>
      <c r="K139" s="871">
        <f t="shared" si="75"/>
        <v>1686506498</v>
      </c>
      <c r="L139" s="1208"/>
      <c r="M139" s="746"/>
      <c r="N139" s="2855"/>
    </row>
    <row r="140" spans="1:14" hidden="1">
      <c r="A140" s="2942" t="s">
        <v>40</v>
      </c>
      <c r="B140" s="2601">
        <f>+B139-B130</f>
        <v>0</v>
      </c>
      <c r="C140" s="2601">
        <f>+C139-C130</f>
        <v>0</v>
      </c>
      <c r="D140" s="1553">
        <f>+D139-D130</f>
        <v>0</v>
      </c>
      <c r="E140" s="872">
        <f>+E139-E130</f>
        <v>0</v>
      </c>
      <c r="F140" s="872"/>
      <c r="G140" s="872"/>
      <c r="H140" s="872"/>
      <c r="I140" s="872">
        <f>+I139-I130</f>
        <v>0</v>
      </c>
      <c r="J140" s="872">
        <f>+J139-J130</f>
        <v>0</v>
      </c>
      <c r="K140" s="872">
        <f>+K139-K130</f>
        <v>0</v>
      </c>
      <c r="L140" s="1208"/>
      <c r="M140" s="746"/>
      <c r="N140" s="2855"/>
    </row>
    <row r="141" spans="1:14" ht="3.75" hidden="1" customHeight="1" thickBot="1">
      <c r="A141" s="2930"/>
      <c r="B141" s="873"/>
      <c r="C141" s="2634"/>
      <c r="D141" s="1554"/>
      <c r="E141" s="873"/>
      <c r="F141" s="873"/>
      <c r="G141" s="873"/>
      <c r="H141" s="873"/>
      <c r="I141" s="873"/>
      <c r="J141" s="873"/>
      <c r="K141" s="1208"/>
      <c r="L141" s="1208"/>
      <c r="M141" s="746"/>
      <c r="N141" s="2855"/>
    </row>
    <row r="142" spans="1:14" ht="32.25" hidden="1" customHeight="1" thickBot="1">
      <c r="A142" s="2943" t="s">
        <v>558</v>
      </c>
      <c r="B142" s="2602">
        <f t="shared" ref="B142:J142" si="76">SUM(B143:B149)</f>
        <v>225540103</v>
      </c>
      <c r="C142" s="2602">
        <f t="shared" si="76"/>
        <v>194318156</v>
      </c>
      <c r="D142" s="1555">
        <f t="shared" si="76"/>
        <v>354108646</v>
      </c>
      <c r="E142" s="875">
        <f t="shared" si="76"/>
        <v>313672181</v>
      </c>
      <c r="F142" s="874">
        <f t="shared" si="76"/>
        <v>144948172</v>
      </c>
      <c r="G142" s="874">
        <f t="shared" si="76"/>
        <v>45138087</v>
      </c>
      <c r="H142" s="874">
        <f t="shared" si="76"/>
        <v>33865078</v>
      </c>
      <c r="I142" s="2684">
        <f>SUM(I143:I149)</f>
        <v>0</v>
      </c>
      <c r="J142" s="874">
        <f t="shared" si="76"/>
        <v>1313753297</v>
      </c>
      <c r="K142" s="876"/>
      <c r="L142" s="1208"/>
      <c r="M142" s="746"/>
      <c r="N142" s="2855"/>
    </row>
    <row r="143" spans="1:14" hidden="1">
      <c r="A143" s="2277" t="s">
        <v>12</v>
      </c>
      <c r="B143" s="2599">
        <v>28253383</v>
      </c>
      <c r="C143" s="2599">
        <v>28445569</v>
      </c>
      <c r="D143" s="2640">
        <v>5200053</v>
      </c>
      <c r="E143" s="1532">
        <v>3328623</v>
      </c>
      <c r="F143" s="2937">
        <v>1104181</v>
      </c>
      <c r="G143" s="2937">
        <v>801066</v>
      </c>
      <c r="H143" s="2937">
        <v>640586</v>
      </c>
      <c r="I143" s="2938">
        <v>0</v>
      </c>
      <c r="J143" s="2937">
        <v>67773461</v>
      </c>
      <c r="K143" s="877"/>
      <c r="L143" s="1208"/>
      <c r="M143" s="746"/>
      <c r="N143" s="2855"/>
    </row>
    <row r="144" spans="1:14" ht="14.25" hidden="1" customHeight="1">
      <c r="A144" s="2277" t="s">
        <v>14</v>
      </c>
      <c r="B144" s="2599">
        <v>12322999</v>
      </c>
      <c r="C144" s="2599">
        <v>8097124</v>
      </c>
      <c r="D144" s="2640">
        <v>5543450</v>
      </c>
      <c r="E144" s="1532">
        <v>0</v>
      </c>
      <c r="F144" s="2937">
        <v>0</v>
      </c>
      <c r="G144" s="2937">
        <v>0</v>
      </c>
      <c r="H144" s="2937">
        <v>0</v>
      </c>
      <c r="I144" s="2938">
        <v>0</v>
      </c>
      <c r="J144" s="2937">
        <v>25963573</v>
      </c>
      <c r="K144" s="877"/>
      <c r="L144" s="1208"/>
      <c r="M144" s="746"/>
      <c r="N144" s="2855"/>
    </row>
    <row r="145" spans="1:14" ht="14.25" hidden="1" customHeight="1">
      <c r="A145" s="2277" t="s">
        <v>49</v>
      </c>
      <c r="B145" s="2599">
        <v>37191346</v>
      </c>
      <c r="C145" s="2599">
        <v>8739285</v>
      </c>
      <c r="D145" s="2640">
        <v>8419285</v>
      </c>
      <c r="E145" s="1532">
        <v>8419285</v>
      </c>
      <c r="F145" s="2937">
        <v>0</v>
      </c>
      <c r="G145" s="2937">
        <v>0</v>
      </c>
      <c r="H145" s="2937">
        <v>0</v>
      </c>
      <c r="I145" s="2938">
        <v>0</v>
      </c>
      <c r="J145" s="2937">
        <v>62769201</v>
      </c>
      <c r="K145" s="877"/>
      <c r="L145" s="1208"/>
      <c r="M145" s="746"/>
      <c r="N145" s="2855"/>
    </row>
    <row r="146" spans="1:14" hidden="1">
      <c r="A146" s="869" t="s">
        <v>11</v>
      </c>
      <c r="B146" s="2599">
        <v>37278717</v>
      </c>
      <c r="C146" s="2599">
        <v>24408029</v>
      </c>
      <c r="D146" s="2640">
        <v>33872184</v>
      </c>
      <c r="E146" s="1532">
        <v>35230927</v>
      </c>
      <c r="F146" s="2937">
        <v>10287975</v>
      </c>
      <c r="G146" s="2937">
        <v>1650729</v>
      </c>
      <c r="H146" s="2937">
        <v>0</v>
      </c>
      <c r="I146" s="2938">
        <v>0</v>
      </c>
      <c r="J146" s="2937">
        <v>142728561</v>
      </c>
      <c r="K146" s="877"/>
      <c r="L146" s="1208"/>
      <c r="M146" s="746"/>
      <c r="N146" s="2855"/>
    </row>
    <row r="147" spans="1:14" hidden="1">
      <c r="A147" s="2277" t="s">
        <v>16</v>
      </c>
      <c r="B147" s="2599">
        <v>0</v>
      </c>
      <c r="C147" s="2599">
        <v>198197</v>
      </c>
      <c r="D147" s="2640">
        <v>3650871</v>
      </c>
      <c r="E147" s="1532">
        <v>4520725</v>
      </c>
      <c r="F147" s="2937">
        <v>886081</v>
      </c>
      <c r="G147" s="2937">
        <v>0</v>
      </c>
      <c r="H147" s="2937">
        <v>0</v>
      </c>
      <c r="I147" s="2938">
        <v>0</v>
      </c>
      <c r="J147" s="2937">
        <v>9255874</v>
      </c>
      <c r="K147" s="877"/>
      <c r="L147" s="1208"/>
      <c r="M147" s="746"/>
      <c r="N147" s="2855"/>
    </row>
    <row r="148" spans="1:14" ht="13.5" hidden="1" customHeight="1">
      <c r="A148" s="2277" t="s">
        <v>18</v>
      </c>
      <c r="B148" s="2599">
        <v>942649</v>
      </c>
      <c r="C148" s="2599">
        <v>910184</v>
      </c>
      <c r="D148" s="2640">
        <v>822581</v>
      </c>
      <c r="E148" s="1532">
        <v>250234</v>
      </c>
      <c r="F148" s="2937">
        <v>87273</v>
      </c>
      <c r="G148" s="2937">
        <v>0</v>
      </c>
      <c r="H148" s="2937">
        <v>0</v>
      </c>
      <c r="I148" s="2938">
        <v>0</v>
      </c>
      <c r="J148" s="2937">
        <v>3012921</v>
      </c>
      <c r="K148" s="877"/>
      <c r="L148" s="1208"/>
      <c r="M148" s="746"/>
      <c r="N148" s="2855"/>
    </row>
    <row r="149" spans="1:14" ht="13.5" hidden="1" thickBot="1">
      <c r="A149" s="2276" t="s">
        <v>19</v>
      </c>
      <c r="B149" s="870">
        <v>109551009</v>
      </c>
      <c r="C149" s="870">
        <v>123519768</v>
      </c>
      <c r="D149" s="1551">
        <v>296600222</v>
      </c>
      <c r="E149" s="2617">
        <v>261922387</v>
      </c>
      <c r="F149" s="2940">
        <v>132582662</v>
      </c>
      <c r="G149" s="2940">
        <v>42686292</v>
      </c>
      <c r="H149" s="2940">
        <v>33224492</v>
      </c>
      <c r="I149" s="2683">
        <v>0</v>
      </c>
      <c r="J149" s="2940">
        <v>1002249706</v>
      </c>
      <c r="K149" s="877"/>
      <c r="L149" s="1208"/>
      <c r="M149" s="746"/>
      <c r="N149" s="2855"/>
    </row>
    <row r="150" spans="1:14" ht="13.5" hidden="1" thickBot="1">
      <c r="A150" s="2944"/>
      <c r="B150" s="2603">
        <f t="shared" ref="B150:J150" si="77">SUM(B143:B149)</f>
        <v>225540103</v>
      </c>
      <c r="C150" s="2635">
        <f t="shared" si="77"/>
        <v>194318156</v>
      </c>
      <c r="D150" s="1556">
        <f t="shared" si="77"/>
        <v>354108646</v>
      </c>
      <c r="E150" s="1533">
        <f t="shared" si="77"/>
        <v>313672181</v>
      </c>
      <c r="F150" s="1220">
        <f t="shared" si="77"/>
        <v>144948172</v>
      </c>
      <c r="G150" s="1220">
        <f t="shared" si="77"/>
        <v>45138087</v>
      </c>
      <c r="H150" s="1220">
        <f t="shared" si="77"/>
        <v>33865078</v>
      </c>
      <c r="I150" s="2685">
        <f>SUM(I143:I149)</f>
        <v>0</v>
      </c>
      <c r="J150" s="878">
        <f t="shared" si="77"/>
        <v>1313753297</v>
      </c>
      <c r="K150" s="879"/>
      <c r="L150" s="1208"/>
      <c r="M150" s="746"/>
      <c r="N150" s="2855"/>
    </row>
    <row r="151" spans="1:14" ht="17.25" hidden="1" customHeight="1" thickBot="1">
      <c r="A151" s="2945"/>
      <c r="B151" s="861" t="s">
        <v>538</v>
      </c>
      <c r="C151" s="2632" t="s">
        <v>5</v>
      </c>
      <c r="D151" s="2638" t="s">
        <v>193</v>
      </c>
      <c r="E151" s="2613" t="s">
        <v>194</v>
      </c>
      <c r="F151" s="1684" t="s">
        <v>234</v>
      </c>
      <c r="G151" s="1684" t="s">
        <v>235</v>
      </c>
      <c r="H151" s="1684" t="s">
        <v>233</v>
      </c>
      <c r="I151" s="2675"/>
      <c r="J151" s="1685" t="s">
        <v>44</v>
      </c>
      <c r="K151" s="1208"/>
      <c r="L151" s="1208"/>
      <c r="M151" s="746"/>
      <c r="N151" s="2855"/>
    </row>
    <row r="152" spans="1:14" ht="11.25" hidden="1" customHeight="1" thickBot="1">
      <c r="A152" s="2946"/>
      <c r="B152" s="881"/>
      <c r="C152" s="2636"/>
      <c r="D152" s="1557"/>
      <c r="E152" s="882"/>
      <c r="F152" s="880"/>
      <c r="G152" s="880"/>
      <c r="H152" s="880"/>
      <c r="I152" s="881"/>
      <c r="J152" s="880"/>
      <c r="K152" s="883"/>
      <c r="L152" s="1208"/>
      <c r="M152" s="746"/>
      <c r="N152" s="2855"/>
    </row>
    <row r="153" spans="1:14" ht="18" hidden="1" customHeight="1" thickBot="1">
      <c r="A153" s="2582" t="s">
        <v>50</v>
      </c>
      <c r="B153" s="2604">
        <f t="shared" ref="B153:J153" si="78">+B107-B130</f>
        <v>0</v>
      </c>
      <c r="C153" s="2604">
        <f t="shared" si="78"/>
        <v>-51947</v>
      </c>
      <c r="D153" s="2641">
        <f t="shared" si="78"/>
        <v>3511812</v>
      </c>
      <c r="E153" s="2618">
        <f t="shared" si="78"/>
        <v>12274149</v>
      </c>
      <c r="F153" s="2580">
        <f t="shared" si="78"/>
        <v>882239</v>
      </c>
      <c r="G153" s="2580">
        <f t="shared" si="78"/>
        <v>11711</v>
      </c>
      <c r="H153" s="2580">
        <f t="shared" si="78"/>
        <v>0</v>
      </c>
      <c r="I153" s="2580">
        <f t="shared" ref="I153" si="79">+I107-I130</f>
        <v>0</v>
      </c>
      <c r="J153" s="2581">
        <f t="shared" si="78"/>
        <v>16627964</v>
      </c>
      <c r="K153" s="884"/>
      <c r="L153" s="1208"/>
      <c r="M153" s="746"/>
      <c r="N153" s="2855"/>
    </row>
    <row r="154" spans="1:14" hidden="1">
      <c r="A154" s="2947" t="s">
        <v>11</v>
      </c>
      <c r="B154" s="2605">
        <f t="shared" ref="B154:J154" si="80">+B108-B131</f>
        <v>0</v>
      </c>
      <c r="C154" s="2605">
        <f t="shared" si="80"/>
        <v>-220</v>
      </c>
      <c r="D154" s="2269">
        <f t="shared" si="80"/>
        <v>-692317</v>
      </c>
      <c r="E154" s="2270">
        <f t="shared" si="80"/>
        <v>3258597</v>
      </c>
      <c r="F154" s="2268">
        <f t="shared" si="80"/>
        <v>772481</v>
      </c>
      <c r="G154" s="2268">
        <f t="shared" si="80"/>
        <v>1757</v>
      </c>
      <c r="H154" s="2268">
        <f t="shared" si="80"/>
        <v>0</v>
      </c>
      <c r="I154" s="2268">
        <f t="shared" ref="I154" si="81">+I108-I131</f>
        <v>0</v>
      </c>
      <c r="J154" s="2268">
        <f t="shared" si="80"/>
        <v>3340298</v>
      </c>
      <c r="K154" s="885"/>
      <c r="L154" s="1208"/>
      <c r="M154" s="746"/>
      <c r="N154" s="2855"/>
    </row>
    <row r="155" spans="1:14" hidden="1">
      <c r="A155" s="2948" t="s">
        <v>48</v>
      </c>
      <c r="B155" s="2606">
        <f t="shared" ref="B155:J155" si="82">+B109-B132</f>
        <v>0</v>
      </c>
      <c r="C155" s="2606">
        <f t="shared" si="82"/>
        <v>0</v>
      </c>
      <c r="D155" s="2642">
        <f t="shared" si="82"/>
        <v>0</v>
      </c>
      <c r="E155" s="1534">
        <f t="shared" si="82"/>
        <v>0</v>
      </c>
      <c r="F155" s="2949">
        <f t="shared" si="82"/>
        <v>0</v>
      </c>
      <c r="G155" s="2949">
        <f t="shared" si="82"/>
        <v>0</v>
      </c>
      <c r="H155" s="2949">
        <f t="shared" si="82"/>
        <v>0</v>
      </c>
      <c r="I155" s="2949">
        <f t="shared" ref="I155" si="83">+I109-I132</f>
        <v>0</v>
      </c>
      <c r="J155" s="2949">
        <f t="shared" si="82"/>
        <v>0</v>
      </c>
      <c r="K155" s="885"/>
      <c r="L155" s="1208"/>
      <c r="M155" s="746"/>
      <c r="N155" s="2855"/>
    </row>
    <row r="156" spans="1:14" hidden="1">
      <c r="A156" s="2948" t="s">
        <v>12</v>
      </c>
      <c r="B156" s="2606">
        <f t="shared" ref="B156:J156" si="84">+B110-B133</f>
        <v>0</v>
      </c>
      <c r="C156" s="2606">
        <f t="shared" si="84"/>
        <v>-12929</v>
      </c>
      <c r="D156" s="2642">
        <f t="shared" si="84"/>
        <v>9669</v>
      </c>
      <c r="E156" s="1534">
        <f t="shared" si="84"/>
        <v>3260</v>
      </c>
      <c r="F156" s="2949">
        <f t="shared" si="84"/>
        <v>0</v>
      </c>
      <c r="G156" s="2949">
        <f t="shared" si="84"/>
        <v>0</v>
      </c>
      <c r="H156" s="2949">
        <f t="shared" si="84"/>
        <v>0</v>
      </c>
      <c r="I156" s="2949">
        <f t="shared" ref="I156" si="85">+I110-I133</f>
        <v>0</v>
      </c>
      <c r="J156" s="2950">
        <f t="shared" si="84"/>
        <v>0</v>
      </c>
      <c r="K156" s="885"/>
      <c r="L156" s="1208"/>
      <c r="M156" s="746"/>
      <c r="N156" s="2855"/>
    </row>
    <row r="157" spans="1:14" hidden="1">
      <c r="A157" s="2948" t="s">
        <v>14</v>
      </c>
      <c r="B157" s="2605">
        <f t="shared" ref="B157:J157" si="86">+B111-B134</f>
        <v>0</v>
      </c>
      <c r="C157" s="2606">
        <f t="shared" si="86"/>
        <v>0</v>
      </c>
      <c r="D157" s="2642">
        <f t="shared" si="86"/>
        <v>1518666</v>
      </c>
      <c r="E157" s="1534">
        <f t="shared" si="86"/>
        <v>0</v>
      </c>
      <c r="F157" s="2949">
        <f t="shared" si="86"/>
        <v>0</v>
      </c>
      <c r="G157" s="2949">
        <f t="shared" si="86"/>
        <v>0</v>
      </c>
      <c r="H157" s="2949">
        <f t="shared" si="86"/>
        <v>0</v>
      </c>
      <c r="I157" s="2949">
        <f t="shared" ref="I157" si="87">+I111-I134</f>
        <v>0</v>
      </c>
      <c r="J157" s="2950">
        <f t="shared" si="86"/>
        <v>1518666</v>
      </c>
      <c r="K157" s="885"/>
      <c r="L157" s="1208"/>
      <c r="M157" s="746"/>
      <c r="N157" s="2855"/>
    </row>
    <row r="158" spans="1:14" hidden="1">
      <c r="A158" s="2948" t="s">
        <v>49</v>
      </c>
      <c r="B158" s="2606">
        <f t="shared" ref="B158:J158" si="88">+B112-B135</f>
        <v>0</v>
      </c>
      <c r="C158" s="2606">
        <f t="shared" si="88"/>
        <v>0</v>
      </c>
      <c r="D158" s="2642">
        <f t="shared" si="88"/>
        <v>459214</v>
      </c>
      <c r="E158" s="1534">
        <f t="shared" si="88"/>
        <v>-459214</v>
      </c>
      <c r="F158" s="2949">
        <f t="shared" si="88"/>
        <v>0</v>
      </c>
      <c r="G158" s="2949">
        <f t="shared" si="88"/>
        <v>0</v>
      </c>
      <c r="H158" s="2949">
        <f t="shared" si="88"/>
        <v>0</v>
      </c>
      <c r="I158" s="2949">
        <f t="shared" ref="I158" si="89">+I112-I135</f>
        <v>0</v>
      </c>
      <c r="J158" s="2949">
        <f t="shared" si="88"/>
        <v>0</v>
      </c>
      <c r="K158" s="885"/>
      <c r="L158" s="1208"/>
      <c r="M158" s="746"/>
      <c r="N158" s="2855"/>
    </row>
    <row r="159" spans="1:14" hidden="1">
      <c r="A159" s="2948" t="s">
        <v>18</v>
      </c>
      <c r="B159" s="2606">
        <f t="shared" ref="B159:J159" si="90">+B113-B136</f>
        <v>0</v>
      </c>
      <c r="C159" s="2606">
        <f t="shared" si="90"/>
        <v>-38798</v>
      </c>
      <c r="D159" s="2642">
        <f t="shared" si="90"/>
        <v>29003</v>
      </c>
      <c r="E159" s="1534">
        <f t="shared" si="90"/>
        <v>9795</v>
      </c>
      <c r="F159" s="2949">
        <f t="shared" si="90"/>
        <v>0</v>
      </c>
      <c r="G159" s="2949">
        <f t="shared" si="90"/>
        <v>0</v>
      </c>
      <c r="H159" s="2949">
        <f t="shared" si="90"/>
        <v>0</v>
      </c>
      <c r="I159" s="2949">
        <f t="shared" ref="I159" si="91">+I113-I136</f>
        <v>0</v>
      </c>
      <c r="J159" s="2950">
        <f t="shared" si="90"/>
        <v>0</v>
      </c>
      <c r="K159" s="885"/>
      <c r="L159" s="1208"/>
      <c r="M159" s="746"/>
      <c r="N159" s="2855"/>
    </row>
    <row r="160" spans="1:14" hidden="1">
      <c r="A160" s="2948" t="s">
        <v>16</v>
      </c>
      <c r="B160" s="2606">
        <f t="shared" ref="B160:J160" si="92">+B114-B137</f>
        <v>0</v>
      </c>
      <c r="C160" s="2606">
        <f t="shared" si="92"/>
        <v>0</v>
      </c>
      <c r="D160" s="2642">
        <f t="shared" si="92"/>
        <v>0</v>
      </c>
      <c r="E160" s="1534">
        <f t="shared" si="92"/>
        <v>0</v>
      </c>
      <c r="F160" s="2949">
        <f t="shared" si="92"/>
        <v>0</v>
      </c>
      <c r="G160" s="2949">
        <f t="shared" si="92"/>
        <v>0</v>
      </c>
      <c r="H160" s="2949">
        <f t="shared" si="92"/>
        <v>0</v>
      </c>
      <c r="I160" s="2949">
        <f t="shared" ref="I160" si="93">+I114-I137</f>
        <v>0</v>
      </c>
      <c r="J160" s="2950">
        <f t="shared" si="92"/>
        <v>0</v>
      </c>
      <c r="K160" s="885"/>
      <c r="L160" s="1208"/>
      <c r="M160" s="746"/>
      <c r="N160" s="2855"/>
    </row>
    <row r="161" spans="1:16" ht="13.5" hidden="1" thickBot="1">
      <c r="A161" s="2948" t="s">
        <v>19</v>
      </c>
      <c r="B161" s="2607">
        <f t="shared" ref="B161:J161" si="94">+B115-B138</f>
        <v>0</v>
      </c>
      <c r="C161" s="2607">
        <f t="shared" si="94"/>
        <v>0</v>
      </c>
      <c r="D161" s="1558">
        <f t="shared" si="94"/>
        <v>2187577</v>
      </c>
      <c r="E161" s="2619">
        <f t="shared" si="94"/>
        <v>9461711</v>
      </c>
      <c r="F161" s="2951">
        <f t="shared" si="94"/>
        <v>109758</v>
      </c>
      <c r="G161" s="2951">
        <f t="shared" si="94"/>
        <v>9954</v>
      </c>
      <c r="H161" s="2951">
        <f t="shared" si="94"/>
        <v>0</v>
      </c>
      <c r="I161" s="2951">
        <f t="shared" ref="I161" si="95">+I115-I138</f>
        <v>0</v>
      </c>
      <c r="J161" s="2950">
        <f t="shared" si="94"/>
        <v>11769000</v>
      </c>
      <c r="K161" s="885">
        <f>+J161-J171</f>
        <v>0</v>
      </c>
      <c r="L161" s="1208"/>
      <c r="M161" s="746"/>
      <c r="N161" s="2855"/>
      <c r="P161" s="757">
        <f>+J161-J171</f>
        <v>0</v>
      </c>
    </row>
    <row r="162" spans="1:16" ht="15" hidden="1" customHeight="1" thickBot="1">
      <c r="A162" s="2952"/>
      <c r="B162" s="2608">
        <f t="shared" ref="B162:J162" si="96">SUM(B154:B161)</f>
        <v>0</v>
      </c>
      <c r="C162" s="2608">
        <f t="shared" si="96"/>
        <v>-51947</v>
      </c>
      <c r="D162" s="1559">
        <f>SUM(D154:D161)</f>
        <v>3511812</v>
      </c>
      <c r="E162" s="888">
        <f t="shared" si="96"/>
        <v>12274149</v>
      </c>
      <c r="F162" s="887">
        <f t="shared" si="96"/>
        <v>882239</v>
      </c>
      <c r="G162" s="887">
        <f t="shared" si="96"/>
        <v>11711</v>
      </c>
      <c r="H162" s="887">
        <f t="shared" si="96"/>
        <v>0</v>
      </c>
      <c r="I162" s="887">
        <f t="shared" ref="I162" si="97">SUM(I154:I161)</f>
        <v>0</v>
      </c>
      <c r="J162" s="887">
        <f t="shared" si="96"/>
        <v>16627964</v>
      </c>
      <c r="K162" s="889"/>
      <c r="L162" s="1208"/>
      <c r="M162" s="746"/>
      <c r="N162" s="2855"/>
    </row>
    <row r="163" spans="1:16" ht="14.25" hidden="1" customHeight="1" thickBot="1">
      <c r="A163" s="2953" t="s">
        <v>40</v>
      </c>
      <c r="B163" s="2609">
        <f t="shared" ref="B163:J163" si="98">+B107-B130</f>
        <v>0</v>
      </c>
      <c r="C163" s="2609">
        <f t="shared" si="98"/>
        <v>-51947</v>
      </c>
      <c r="D163" s="1560">
        <f>+D107-D130</f>
        <v>3511812</v>
      </c>
      <c r="E163" s="890">
        <f>+E107-E130</f>
        <v>12274149</v>
      </c>
      <c r="F163" s="890">
        <f t="shared" si="98"/>
        <v>882239</v>
      </c>
      <c r="G163" s="890">
        <f t="shared" si="98"/>
        <v>11711</v>
      </c>
      <c r="H163" s="890">
        <f t="shared" si="98"/>
        <v>0</v>
      </c>
      <c r="I163" s="890">
        <f t="shared" ref="I163" si="99">+I107-I130</f>
        <v>0</v>
      </c>
      <c r="J163" s="890">
        <f t="shared" si="98"/>
        <v>16627964</v>
      </c>
      <c r="K163" s="890"/>
      <c r="L163" s="1208"/>
      <c r="M163" s="746"/>
      <c r="N163" s="2855"/>
    </row>
    <row r="164" spans="1:16" ht="16.5" hidden="1" customHeight="1" thickBot="1">
      <c r="A164" s="2583" t="s">
        <v>51</v>
      </c>
      <c r="B164" s="2610">
        <f t="shared" ref="B164:H171" si="100">+B118-B142</f>
        <v>0</v>
      </c>
      <c r="C164" s="2610">
        <f t="shared" si="100"/>
        <v>-19939</v>
      </c>
      <c r="D164" s="1561">
        <f>+D118-D142</f>
        <v>3596174</v>
      </c>
      <c r="E164" s="892">
        <f t="shared" si="100"/>
        <v>9479235</v>
      </c>
      <c r="F164" s="891">
        <f t="shared" si="100"/>
        <v>130777</v>
      </c>
      <c r="G164" s="891">
        <f t="shared" si="100"/>
        <v>101419</v>
      </c>
      <c r="H164" s="891">
        <f t="shared" si="100"/>
        <v>0</v>
      </c>
      <c r="I164" s="891">
        <f t="shared" ref="I164" si="101">+I118-I142</f>
        <v>0</v>
      </c>
      <c r="J164" s="2584">
        <f>SUM(J165:J171)</f>
        <v>13287666</v>
      </c>
      <c r="K164" s="893"/>
      <c r="L164" s="1208"/>
      <c r="M164" s="746"/>
      <c r="N164" s="2855"/>
    </row>
    <row r="165" spans="1:16" hidden="1">
      <c r="A165" s="2947" t="s">
        <v>12</v>
      </c>
      <c r="B165" s="2605">
        <f t="shared" si="100"/>
        <v>0</v>
      </c>
      <c r="C165" s="2605">
        <f t="shared" si="100"/>
        <v>-4984</v>
      </c>
      <c r="D165" s="2269">
        <f t="shared" si="100"/>
        <v>-4730</v>
      </c>
      <c r="E165" s="2270">
        <f t="shared" si="100"/>
        <v>7748</v>
      </c>
      <c r="F165" s="2268">
        <f t="shared" si="100"/>
        <v>1966</v>
      </c>
      <c r="G165" s="2268">
        <f t="shared" si="100"/>
        <v>0</v>
      </c>
      <c r="H165" s="2268">
        <f t="shared" si="100"/>
        <v>0</v>
      </c>
      <c r="I165" s="2268">
        <f t="shared" ref="I165" si="102">+I119-I143</f>
        <v>0</v>
      </c>
      <c r="J165" s="2281">
        <f t="shared" ref="J165:J171" si="103">+J119-J143</f>
        <v>0</v>
      </c>
      <c r="K165" s="894"/>
      <c r="L165" s="1208"/>
      <c r="M165" s="746"/>
      <c r="N165" s="2855"/>
    </row>
    <row r="166" spans="1:16" ht="13.5" hidden="1" thickBot="1">
      <c r="A166" s="2948" t="s">
        <v>14</v>
      </c>
      <c r="B166" s="2606">
        <f t="shared" si="100"/>
        <v>0</v>
      </c>
      <c r="C166" s="2606">
        <f t="shared" si="100"/>
        <v>0</v>
      </c>
      <c r="D166" s="2642">
        <f t="shared" si="100"/>
        <v>1518666</v>
      </c>
      <c r="E166" s="1534">
        <f t="shared" si="100"/>
        <v>0</v>
      </c>
      <c r="F166" s="2949">
        <f t="shared" si="100"/>
        <v>0</v>
      </c>
      <c r="G166" s="2949">
        <f t="shared" si="100"/>
        <v>0</v>
      </c>
      <c r="H166" s="2949">
        <f t="shared" si="100"/>
        <v>0</v>
      </c>
      <c r="I166" s="2949">
        <f t="shared" ref="I166" si="104">+I120-I144</f>
        <v>0</v>
      </c>
      <c r="J166" s="2954">
        <f t="shared" si="103"/>
        <v>1518666</v>
      </c>
      <c r="K166" s="894"/>
      <c r="L166" s="1208"/>
      <c r="M166" s="903"/>
      <c r="N166" s="2926"/>
    </row>
    <row r="167" spans="1:16" ht="13.5" hidden="1" thickBot="1">
      <c r="A167" s="2948" t="s">
        <v>53</v>
      </c>
      <c r="B167" s="2606">
        <f t="shared" si="100"/>
        <v>0</v>
      </c>
      <c r="C167" s="2606">
        <f t="shared" si="100"/>
        <v>0</v>
      </c>
      <c r="D167" s="2642">
        <f t="shared" si="100"/>
        <v>0</v>
      </c>
      <c r="E167" s="1534">
        <f t="shared" si="100"/>
        <v>0</v>
      </c>
      <c r="F167" s="2949">
        <f t="shared" si="100"/>
        <v>0</v>
      </c>
      <c r="G167" s="2949">
        <f t="shared" si="100"/>
        <v>0</v>
      </c>
      <c r="H167" s="2949">
        <f t="shared" si="100"/>
        <v>0</v>
      </c>
      <c r="I167" s="2949">
        <f t="shared" ref="I167" si="105">+I121-I145</f>
        <v>0</v>
      </c>
      <c r="J167" s="2955">
        <f t="shared" si="103"/>
        <v>0</v>
      </c>
      <c r="K167" s="894"/>
      <c r="L167" s="1208"/>
      <c r="M167" s="1877"/>
      <c r="N167" s="2956"/>
    </row>
    <row r="168" spans="1:16" ht="13.5" hidden="1" thickBot="1">
      <c r="A168" s="2948" t="s">
        <v>11</v>
      </c>
      <c r="B168" s="2606">
        <f t="shared" si="100"/>
        <v>0</v>
      </c>
      <c r="C168" s="2606">
        <f t="shared" si="100"/>
        <v>0</v>
      </c>
      <c r="D168" s="2642">
        <f t="shared" si="100"/>
        <v>0</v>
      </c>
      <c r="E168" s="1534">
        <f t="shared" si="100"/>
        <v>0</v>
      </c>
      <c r="F168" s="2949">
        <f t="shared" si="100"/>
        <v>0</v>
      </c>
      <c r="G168" s="2949">
        <f t="shared" si="100"/>
        <v>0</v>
      </c>
      <c r="H168" s="2949">
        <f t="shared" si="100"/>
        <v>0</v>
      </c>
      <c r="I168" s="2949">
        <f t="shared" ref="I168" si="106">+I122-I146</f>
        <v>0</v>
      </c>
      <c r="J168" s="2955">
        <f t="shared" si="103"/>
        <v>0</v>
      </c>
      <c r="K168" s="894"/>
      <c r="L168" s="1208"/>
      <c r="M168" s="1877"/>
      <c r="N168" s="2956"/>
    </row>
    <row r="169" spans="1:16" ht="13.5" hidden="1" thickBot="1">
      <c r="A169" s="2948" t="s">
        <v>16</v>
      </c>
      <c r="B169" s="2606">
        <f t="shared" si="100"/>
        <v>0</v>
      </c>
      <c r="C169" s="2605">
        <f t="shared" si="100"/>
        <v>0</v>
      </c>
      <c r="D169" s="2269">
        <f t="shared" si="100"/>
        <v>0</v>
      </c>
      <c r="E169" s="2270">
        <f t="shared" si="100"/>
        <v>0</v>
      </c>
      <c r="F169" s="2268">
        <f t="shared" si="100"/>
        <v>0</v>
      </c>
      <c r="G169" s="2268">
        <f t="shared" si="100"/>
        <v>0</v>
      </c>
      <c r="H169" s="2268">
        <f t="shared" si="100"/>
        <v>0</v>
      </c>
      <c r="I169" s="2268">
        <f t="shared" ref="I169" si="107">+I123-I147</f>
        <v>0</v>
      </c>
      <c r="J169" s="2281">
        <f t="shared" si="103"/>
        <v>0</v>
      </c>
      <c r="K169" s="1910"/>
      <c r="L169" s="1208"/>
      <c r="M169" s="901"/>
      <c r="N169" s="2956"/>
    </row>
    <row r="170" spans="1:16" ht="13.5" hidden="1" customHeight="1" thickBot="1">
      <c r="A170" s="2948" t="s">
        <v>18</v>
      </c>
      <c r="B170" s="2606">
        <f t="shared" si="100"/>
        <v>0</v>
      </c>
      <c r="C170" s="2606">
        <f t="shared" si="100"/>
        <v>-14955</v>
      </c>
      <c r="D170" s="2642">
        <f t="shared" si="100"/>
        <v>-14197</v>
      </c>
      <c r="E170" s="1534">
        <f t="shared" si="100"/>
        <v>23238</v>
      </c>
      <c r="F170" s="2949">
        <f t="shared" si="100"/>
        <v>5914</v>
      </c>
      <c r="G170" s="2949">
        <f t="shared" si="100"/>
        <v>0</v>
      </c>
      <c r="H170" s="2949">
        <f t="shared" si="100"/>
        <v>0</v>
      </c>
      <c r="I170" s="2949">
        <f t="shared" ref="I170" si="108">+I124-I148</f>
        <v>0</v>
      </c>
      <c r="J170" s="2954">
        <f t="shared" si="103"/>
        <v>0</v>
      </c>
      <c r="K170" s="894"/>
      <c r="L170" s="1208"/>
      <c r="M170" s="746"/>
      <c r="N170" s="2956"/>
    </row>
    <row r="171" spans="1:16" ht="13.5" hidden="1" thickBot="1">
      <c r="A171" s="886" t="s">
        <v>19</v>
      </c>
      <c r="B171" s="2607">
        <f t="shared" si="100"/>
        <v>0</v>
      </c>
      <c r="C171" s="2607">
        <f t="shared" si="100"/>
        <v>0</v>
      </c>
      <c r="D171" s="1558">
        <f t="shared" si="100"/>
        <v>2096435</v>
      </c>
      <c r="E171" s="2619">
        <f t="shared" si="100"/>
        <v>9448249</v>
      </c>
      <c r="F171" s="2951">
        <f t="shared" si="100"/>
        <v>122897</v>
      </c>
      <c r="G171" s="2951">
        <f t="shared" si="100"/>
        <v>101419</v>
      </c>
      <c r="H171" s="2951">
        <f t="shared" si="100"/>
        <v>0</v>
      </c>
      <c r="I171" s="2951">
        <f t="shared" ref="I171" si="109">+I125-I149</f>
        <v>0</v>
      </c>
      <c r="J171" s="2954">
        <f t="shared" si="103"/>
        <v>11769000</v>
      </c>
      <c r="K171" s="894"/>
      <c r="L171" s="1208"/>
      <c r="M171" s="746"/>
      <c r="N171" s="2956"/>
    </row>
    <row r="172" spans="1:16" ht="13.5" hidden="1" thickBot="1">
      <c r="A172" s="2957"/>
      <c r="B172" s="2611">
        <f t="shared" ref="B172:J172" si="110">SUM(B165:B171)</f>
        <v>0</v>
      </c>
      <c r="C172" s="2611">
        <f t="shared" si="110"/>
        <v>-19939</v>
      </c>
      <c r="D172" s="1562">
        <f t="shared" si="110"/>
        <v>3596174</v>
      </c>
      <c r="E172" s="895">
        <f t="shared" si="110"/>
        <v>9479235</v>
      </c>
      <c r="F172" s="895">
        <f t="shared" si="110"/>
        <v>130777</v>
      </c>
      <c r="G172" s="895">
        <f t="shared" si="110"/>
        <v>101419</v>
      </c>
      <c r="H172" s="895">
        <f t="shared" si="110"/>
        <v>0</v>
      </c>
      <c r="I172" s="895">
        <f t="shared" ref="I172" si="111">SUM(I165:I171)</f>
        <v>0</v>
      </c>
      <c r="J172" s="895">
        <f t="shared" si="110"/>
        <v>13287666</v>
      </c>
      <c r="K172" s="896"/>
      <c r="L172" s="1208"/>
      <c r="M172" s="746"/>
      <c r="N172" s="2956"/>
    </row>
    <row r="173" spans="1:16" ht="2.25" hidden="1" customHeight="1" thickBot="1">
      <c r="A173" s="2935"/>
      <c r="B173" s="897"/>
      <c r="J173" s="746"/>
      <c r="K173" s="1208"/>
      <c r="L173" s="1208"/>
      <c r="M173" s="746"/>
      <c r="N173" s="2956"/>
    </row>
    <row r="174" spans="1:16" ht="13.5" hidden="1" thickBot="1">
      <c r="A174" s="2958" t="s">
        <v>40</v>
      </c>
      <c r="B174" s="899">
        <f t="shared" ref="B174:J174" si="112">+B118-B142</f>
        <v>0</v>
      </c>
      <c r="C174" s="898">
        <f t="shared" si="112"/>
        <v>-19939</v>
      </c>
      <c r="D174" s="898">
        <f t="shared" si="112"/>
        <v>3596174</v>
      </c>
      <c r="E174" s="898">
        <f t="shared" si="112"/>
        <v>9479235</v>
      </c>
      <c r="F174" s="898">
        <f t="shared" si="112"/>
        <v>130777</v>
      </c>
      <c r="G174" s="898">
        <f t="shared" si="112"/>
        <v>101419</v>
      </c>
      <c r="H174" s="898">
        <f t="shared" si="112"/>
        <v>0</v>
      </c>
      <c r="I174" s="898">
        <f t="shared" ref="I174" si="113">+I118-I142</f>
        <v>0</v>
      </c>
      <c r="J174" s="898">
        <f t="shared" si="112"/>
        <v>13287666</v>
      </c>
      <c r="K174" s="1208"/>
      <c r="L174" s="1208"/>
      <c r="M174" s="746"/>
      <c r="N174" s="2956"/>
    </row>
    <row r="175" spans="1:16" ht="14.25" hidden="1" customHeight="1" thickBot="1">
      <c r="A175" s="2935"/>
      <c r="B175" s="753">
        <f>+B174-B172</f>
        <v>0</v>
      </c>
      <c r="C175" s="753">
        <f t="shared" ref="C175:J175" si="114">+C174-C172</f>
        <v>0</v>
      </c>
      <c r="D175" s="753">
        <f t="shared" ref="D175:I175" si="115">+D174-D172</f>
        <v>0</v>
      </c>
      <c r="E175" s="753">
        <f t="shared" si="115"/>
        <v>0</v>
      </c>
      <c r="F175" s="753">
        <f t="shared" si="115"/>
        <v>0</v>
      </c>
      <c r="G175" s="753">
        <f t="shared" si="115"/>
        <v>0</v>
      </c>
      <c r="H175" s="753">
        <f t="shared" si="115"/>
        <v>0</v>
      </c>
      <c r="I175" s="753">
        <f t="shared" si="115"/>
        <v>0</v>
      </c>
      <c r="J175" s="753">
        <f t="shared" si="114"/>
        <v>0</v>
      </c>
      <c r="K175" s="1208"/>
      <c r="L175" s="1208"/>
      <c r="M175" s="746"/>
      <c r="N175" s="2956"/>
    </row>
    <row r="176" spans="1:16" ht="12" hidden="1" customHeight="1">
      <c r="A176" s="2935"/>
      <c r="J176" s="753"/>
      <c r="K176" s="1208"/>
      <c r="L176" s="1208"/>
      <c r="M176" s="746"/>
      <c r="N176" s="2854"/>
    </row>
    <row r="177" spans="1:14" hidden="1">
      <c r="A177" s="2935"/>
      <c r="J177" s="746"/>
      <c r="K177" s="1208"/>
      <c r="L177" s="1208"/>
      <c r="M177" s="746"/>
      <c r="N177" s="2855"/>
    </row>
    <row r="178" spans="1:14" hidden="1">
      <c r="A178" s="2935"/>
      <c r="J178" s="746"/>
      <c r="K178" s="1208"/>
      <c r="L178" s="1208"/>
      <c r="M178" s="746"/>
      <c r="N178" s="2855"/>
    </row>
    <row r="179" spans="1:14" hidden="1">
      <c r="A179" s="2935"/>
      <c r="J179" s="746"/>
      <c r="K179" s="1208"/>
      <c r="L179" s="1208"/>
      <c r="M179" s="746"/>
      <c r="N179" s="2855"/>
    </row>
    <row r="180" spans="1:14" hidden="1">
      <c r="A180" s="2935"/>
      <c r="J180" s="746"/>
      <c r="K180" s="1208"/>
      <c r="L180" s="1208"/>
      <c r="M180" s="746"/>
      <c r="N180" s="2855"/>
    </row>
    <row r="181" spans="1:14" ht="41.25" hidden="1" customHeight="1">
      <c r="A181" s="2935"/>
      <c r="J181" s="746"/>
      <c r="K181" s="1208"/>
      <c r="L181" s="1208"/>
      <c r="M181" s="746"/>
      <c r="N181" s="2855"/>
    </row>
    <row r="182" spans="1:14" hidden="1">
      <c r="A182" s="2935"/>
      <c r="J182" s="746"/>
      <c r="K182" s="1208"/>
      <c r="L182" s="1208"/>
      <c r="M182" s="746"/>
      <c r="N182" s="2855"/>
    </row>
    <row r="183" spans="1:14" hidden="1">
      <c r="A183" s="2935"/>
      <c r="J183" s="746"/>
      <c r="K183" s="1208"/>
      <c r="L183" s="1208"/>
      <c r="M183" s="746"/>
      <c r="N183" s="2855"/>
    </row>
    <row r="184" spans="1:14" hidden="1">
      <c r="A184" s="2935"/>
      <c r="J184" s="746"/>
      <c r="K184" s="1208"/>
      <c r="L184" s="1208"/>
      <c r="M184" s="746"/>
      <c r="N184" s="2855"/>
    </row>
    <row r="185" spans="1:14" hidden="1">
      <c r="A185" s="2935"/>
      <c r="J185" s="746"/>
      <c r="K185" s="1208"/>
      <c r="L185" s="1208"/>
      <c r="M185" s="746"/>
      <c r="N185" s="2855"/>
    </row>
    <row r="186" spans="1:14" hidden="1">
      <c r="A186" s="2935"/>
      <c r="J186" s="746"/>
      <c r="K186" s="1208"/>
      <c r="L186" s="1208"/>
      <c r="M186" s="746"/>
      <c r="N186" s="2855"/>
    </row>
    <row r="187" spans="1:14" hidden="1">
      <c r="A187" s="2935"/>
      <c r="J187" s="746"/>
      <c r="K187" s="1208"/>
      <c r="L187" s="1208"/>
      <c r="M187" s="746"/>
      <c r="N187" s="2855"/>
    </row>
    <row r="188" spans="1:14" hidden="1">
      <c r="A188" s="2935"/>
      <c r="J188" s="746"/>
      <c r="K188" s="1208"/>
      <c r="L188" s="1208"/>
      <c r="M188" s="746"/>
      <c r="N188" s="2855"/>
    </row>
    <row r="189" spans="1:14" hidden="1">
      <c r="A189" s="2935"/>
      <c r="J189" s="746"/>
      <c r="K189" s="1208"/>
      <c r="L189" s="1208"/>
      <c r="M189" s="746"/>
      <c r="N189" s="2855"/>
    </row>
    <row r="190" spans="1:14" hidden="1">
      <c r="A190" s="2935"/>
      <c r="J190" s="746"/>
      <c r="K190" s="1208"/>
      <c r="L190" s="1208"/>
      <c r="M190" s="746"/>
      <c r="N190" s="2855"/>
    </row>
    <row r="191" spans="1:14" hidden="1">
      <c r="A191" s="2935"/>
      <c r="J191" s="746"/>
      <c r="K191" s="1208"/>
      <c r="L191" s="1208"/>
      <c r="M191" s="746"/>
      <c r="N191" s="2855"/>
    </row>
    <row r="192" spans="1:14" hidden="1">
      <c r="A192" s="2935"/>
      <c r="J192" s="746"/>
      <c r="K192" s="1208"/>
      <c r="L192" s="1208"/>
      <c r="M192" s="746"/>
      <c r="N192" s="2855"/>
    </row>
    <row r="193" spans="1:14" hidden="1">
      <c r="A193" s="2935"/>
      <c r="J193" s="746"/>
      <c r="K193" s="1208"/>
      <c r="L193" s="1208"/>
      <c r="M193" s="746"/>
      <c r="N193" s="2855"/>
    </row>
    <row r="194" spans="1:14" hidden="1">
      <c r="A194" s="2935"/>
      <c r="J194" s="746"/>
      <c r="K194" s="1208"/>
      <c r="L194" s="1208"/>
      <c r="M194" s="746"/>
      <c r="N194" s="2855"/>
    </row>
    <row r="195" spans="1:14" hidden="1">
      <c r="A195" s="2935"/>
      <c r="J195" s="746"/>
      <c r="K195" s="1208"/>
      <c r="L195" s="1208"/>
      <c r="M195" s="746"/>
      <c r="N195" s="2855"/>
    </row>
    <row r="196" spans="1:14" hidden="1">
      <c r="A196" s="2935"/>
      <c r="J196" s="746"/>
      <c r="K196" s="1208"/>
      <c r="L196" s="1208"/>
      <c r="M196" s="746"/>
      <c r="N196" s="2855"/>
    </row>
    <row r="197" spans="1:14" hidden="1">
      <c r="A197" s="2935"/>
      <c r="J197" s="746"/>
      <c r="K197" s="1208"/>
      <c r="L197" s="1208"/>
      <c r="M197" s="746"/>
      <c r="N197" s="2855"/>
    </row>
    <row r="198" spans="1:14" hidden="1">
      <c r="A198" s="2935"/>
      <c r="J198" s="746"/>
      <c r="K198" s="1208"/>
      <c r="L198" s="1208"/>
      <c r="M198" s="746"/>
      <c r="N198" s="2855"/>
    </row>
    <row r="199" spans="1:14" hidden="1">
      <c r="A199" s="2935"/>
      <c r="J199" s="746"/>
      <c r="K199" s="1208"/>
      <c r="L199" s="1208"/>
      <c r="M199" s="746"/>
      <c r="N199" s="2855"/>
    </row>
    <row r="200" spans="1:14" hidden="1">
      <c r="A200" s="2935"/>
      <c r="J200" s="746"/>
      <c r="K200" s="1208"/>
      <c r="L200" s="1208"/>
      <c r="M200" s="746"/>
      <c r="N200" s="2855"/>
    </row>
    <row r="201" spans="1:14" hidden="1">
      <c r="A201" s="2935"/>
      <c r="J201" s="746"/>
      <c r="K201" s="1208"/>
      <c r="L201" s="1208"/>
      <c r="M201" s="746"/>
      <c r="N201" s="2855"/>
    </row>
    <row r="202" spans="1:14" hidden="1">
      <c r="A202" s="2935"/>
      <c r="J202" s="746"/>
      <c r="K202" s="1208"/>
      <c r="L202" s="1208"/>
      <c r="M202" s="746"/>
      <c r="N202" s="2855"/>
    </row>
    <row r="203" spans="1:14" hidden="1">
      <c r="A203" s="2935"/>
      <c r="J203" s="746"/>
      <c r="K203" s="1208"/>
      <c r="L203" s="1208"/>
      <c r="M203" s="746"/>
      <c r="N203" s="2855"/>
    </row>
    <row r="204" spans="1:14" hidden="1">
      <c r="A204" s="2935"/>
      <c r="J204" s="746"/>
      <c r="K204" s="1208"/>
      <c r="L204" s="1208"/>
      <c r="M204" s="746"/>
      <c r="N204" s="2855"/>
    </row>
    <row r="205" spans="1:14" hidden="1">
      <c r="A205" s="2935"/>
      <c r="J205" s="746"/>
      <c r="K205" s="1208"/>
      <c r="L205" s="1208"/>
      <c r="M205" s="746"/>
      <c r="N205" s="2855"/>
    </row>
    <row r="206" spans="1:14" hidden="1">
      <c r="A206" s="2935"/>
      <c r="J206" s="746"/>
      <c r="K206" s="1208"/>
      <c r="L206" s="1208"/>
      <c r="M206" s="746"/>
      <c r="N206" s="2855"/>
    </row>
    <row r="207" spans="1:14" hidden="1">
      <c r="A207" s="2935"/>
      <c r="J207" s="746"/>
      <c r="K207" s="1208"/>
      <c r="L207" s="1208"/>
      <c r="M207" s="746"/>
      <c r="N207" s="2855"/>
    </row>
    <row r="208" spans="1:14" hidden="1">
      <c r="A208" s="2935"/>
      <c r="J208" s="746"/>
      <c r="K208" s="1208"/>
      <c r="L208" s="1208"/>
      <c r="M208" s="746"/>
      <c r="N208" s="2855"/>
    </row>
    <row r="209" spans="1:14" hidden="1">
      <c r="A209" s="2935"/>
      <c r="J209" s="746"/>
      <c r="K209" s="1208"/>
      <c r="L209" s="1208"/>
      <c r="M209" s="746"/>
      <c r="N209" s="2855"/>
    </row>
    <row r="210" spans="1:14" ht="13.5" hidden="1" thickBot="1">
      <c r="A210" s="2935"/>
      <c r="J210" s="746"/>
      <c r="K210" s="1208"/>
      <c r="L210" s="1208"/>
      <c r="M210" s="746"/>
      <c r="N210" s="2926"/>
    </row>
    <row r="211" spans="1:14" ht="13.5" hidden="1" thickBot="1">
      <c r="A211" s="2935"/>
      <c r="J211" s="746"/>
      <c r="K211" s="1208"/>
      <c r="L211" s="1208"/>
      <c r="M211" s="746"/>
      <c r="N211" s="2956"/>
    </row>
    <row r="212" spans="1:14" ht="13.5" hidden="1" thickBot="1">
      <c r="A212" s="2935"/>
      <c r="J212" s="746"/>
      <c r="K212" s="1208"/>
      <c r="L212" s="1208"/>
      <c r="M212" s="746"/>
      <c r="N212" s="2956"/>
    </row>
    <row r="213" spans="1:14" ht="13.5" hidden="1" thickBot="1">
      <c r="A213" s="2935"/>
      <c r="J213" s="746"/>
      <c r="K213" s="1208"/>
      <c r="L213" s="1208"/>
      <c r="M213" s="746"/>
      <c r="N213" s="2956"/>
    </row>
    <row r="214" spans="1:14" ht="13.5" hidden="1" thickBot="1">
      <c r="A214" s="2935"/>
      <c r="J214" s="746"/>
      <c r="K214" s="1208"/>
      <c r="L214" s="1208"/>
      <c r="M214" s="746"/>
      <c r="N214" s="2956"/>
    </row>
    <row r="215" spans="1:14" ht="13.5" hidden="1" thickBot="1">
      <c r="A215" s="2935"/>
      <c r="J215" s="746"/>
      <c r="K215" s="1208"/>
      <c r="L215" s="1208"/>
      <c r="M215" s="746"/>
      <c r="N215" s="2956"/>
    </row>
    <row r="216" spans="1:14" ht="13.5" hidden="1" thickBot="1">
      <c r="A216" s="2935"/>
      <c r="J216" s="746"/>
      <c r="K216" s="1208"/>
      <c r="L216" s="1208"/>
      <c r="M216" s="746"/>
      <c r="N216" s="2956"/>
    </row>
    <row r="217" spans="1:14" ht="13.5" hidden="1" thickBot="1">
      <c r="A217" s="2935"/>
      <c r="J217" s="746"/>
      <c r="K217" s="1208"/>
      <c r="L217" s="1208"/>
      <c r="M217" s="746"/>
      <c r="N217" s="2956"/>
    </row>
    <row r="218" spans="1:14" ht="13.5" hidden="1" thickBot="1">
      <c r="A218" s="2935"/>
      <c r="J218" s="746"/>
      <c r="K218" s="1208"/>
      <c r="L218" s="1208"/>
      <c r="M218" s="746"/>
      <c r="N218" s="2956"/>
    </row>
    <row r="219" spans="1:14" ht="13.5" hidden="1" thickBot="1">
      <c r="A219" s="2935"/>
      <c r="J219" s="746"/>
      <c r="K219" s="1208"/>
      <c r="L219" s="1208"/>
      <c r="M219" s="746"/>
      <c r="N219" s="2956"/>
    </row>
    <row r="220" spans="1:14" ht="13.5" hidden="1" thickBot="1">
      <c r="A220" s="2935"/>
      <c r="J220" s="746"/>
      <c r="K220" s="1208"/>
      <c r="L220" s="1208"/>
      <c r="M220" s="746"/>
      <c r="N220" s="2956"/>
    </row>
    <row r="221" spans="1:14" ht="13.5" hidden="1" thickBot="1">
      <c r="A221" s="2935"/>
      <c r="J221" s="746"/>
      <c r="K221" s="1208"/>
      <c r="L221" s="1208"/>
      <c r="M221" s="746"/>
      <c r="N221" s="2956"/>
    </row>
    <row r="222" spans="1:14" ht="13.5" hidden="1" thickBot="1">
      <c r="A222" s="2935"/>
      <c r="J222" s="746"/>
      <c r="K222" s="1208"/>
      <c r="L222" s="1208"/>
      <c r="M222" s="746"/>
      <c r="N222" s="2956"/>
    </row>
    <row r="223" spans="1:14" ht="13.5" hidden="1" thickBot="1">
      <c r="A223" s="2935"/>
      <c r="J223" s="746"/>
      <c r="K223" s="1208"/>
      <c r="L223" s="1208"/>
      <c r="M223" s="746"/>
      <c r="N223" s="2956"/>
    </row>
    <row r="224" spans="1:14" hidden="1">
      <c r="A224" s="2935"/>
      <c r="J224" s="746"/>
      <c r="K224" s="1208"/>
      <c r="L224" s="1208"/>
      <c r="M224" s="746"/>
      <c r="N224" s="2854"/>
    </row>
    <row r="225" spans="1:14" hidden="1">
      <c r="A225" s="2935"/>
      <c r="J225" s="746"/>
      <c r="K225" s="1208"/>
      <c r="L225" s="1208"/>
      <c r="M225" s="746"/>
      <c r="N225" s="2855"/>
    </row>
    <row r="226" spans="1:14" hidden="1">
      <c r="A226" s="2935"/>
      <c r="J226" s="746"/>
      <c r="K226" s="1208"/>
      <c r="L226" s="1208"/>
      <c r="M226" s="746"/>
      <c r="N226" s="2855"/>
    </row>
    <row r="227" spans="1:14" hidden="1">
      <c r="A227" s="2935"/>
      <c r="J227" s="746"/>
      <c r="K227" s="1208"/>
      <c r="L227" s="1208"/>
      <c r="M227" s="746"/>
      <c r="N227" s="2855"/>
    </row>
    <row r="228" spans="1:14" hidden="1">
      <c r="A228" s="2935"/>
      <c r="J228" s="746"/>
      <c r="K228" s="1208"/>
      <c r="L228" s="1208"/>
      <c r="M228" s="746"/>
      <c r="N228" s="2855"/>
    </row>
    <row r="229" spans="1:14" hidden="1">
      <c r="A229" s="2935"/>
      <c r="J229" s="746"/>
      <c r="K229" s="1208"/>
      <c r="L229" s="1208"/>
      <c r="M229" s="746"/>
      <c r="N229" s="2855"/>
    </row>
    <row r="230" spans="1:14" hidden="1">
      <c r="A230" s="2935"/>
      <c r="J230" s="746"/>
      <c r="K230" s="1208"/>
      <c r="L230" s="1208"/>
      <c r="M230" s="746"/>
      <c r="N230" s="2855"/>
    </row>
    <row r="231" spans="1:14" hidden="1">
      <c r="A231" s="2935"/>
      <c r="J231" s="746"/>
      <c r="K231" s="1208"/>
      <c r="L231" s="1208"/>
      <c r="M231" s="746"/>
      <c r="N231" s="2855"/>
    </row>
    <row r="232" spans="1:14" hidden="1">
      <c r="A232" s="2935"/>
      <c r="J232" s="746"/>
      <c r="K232" s="1208"/>
      <c r="L232" s="1208"/>
      <c r="M232" s="746"/>
      <c r="N232" s="2855"/>
    </row>
    <row r="233" spans="1:14" hidden="1">
      <c r="A233" s="2935"/>
      <c r="J233" s="746"/>
      <c r="K233" s="1208"/>
      <c r="L233" s="1208"/>
      <c r="M233" s="746"/>
      <c r="N233" s="2855"/>
    </row>
    <row r="234" spans="1:14" hidden="1">
      <c r="A234" s="2935"/>
      <c r="J234" s="746"/>
      <c r="K234" s="1208"/>
      <c r="L234" s="1208"/>
      <c r="M234" s="746"/>
      <c r="N234" s="2855"/>
    </row>
    <row r="235" spans="1:14" hidden="1">
      <c r="A235" s="2935"/>
      <c r="J235" s="746"/>
      <c r="K235" s="1208"/>
      <c r="L235" s="1208"/>
      <c r="M235" s="746"/>
      <c r="N235" s="2855"/>
    </row>
    <row r="236" spans="1:14" hidden="1">
      <c r="A236" s="2935"/>
      <c r="J236" s="746"/>
      <c r="K236" s="1208"/>
      <c r="L236" s="1208"/>
      <c r="M236" s="746"/>
      <c r="N236" s="2855"/>
    </row>
    <row r="237" spans="1:14" hidden="1">
      <c r="A237" s="2935"/>
      <c r="J237" s="746"/>
      <c r="K237" s="1208"/>
      <c r="L237" s="1208"/>
      <c r="M237" s="746"/>
      <c r="N237" s="2855"/>
    </row>
    <row r="238" spans="1:14" hidden="1">
      <c r="A238" s="2935"/>
      <c r="J238" s="746"/>
      <c r="K238" s="1208"/>
      <c r="L238" s="1208"/>
      <c r="M238" s="746"/>
      <c r="N238" s="2855"/>
    </row>
    <row r="239" spans="1:14" hidden="1">
      <c r="A239" s="2935"/>
      <c r="J239" s="746"/>
      <c r="K239" s="1208"/>
      <c r="L239" s="1208"/>
      <c r="M239" s="746"/>
      <c r="N239" s="2855"/>
    </row>
    <row r="240" spans="1:14" hidden="1">
      <c r="A240" s="2935"/>
      <c r="J240" s="746"/>
      <c r="K240" s="1208"/>
      <c r="L240" s="1208"/>
      <c r="M240" s="746"/>
      <c r="N240" s="2855"/>
    </row>
    <row r="241" spans="1:14" hidden="1">
      <c r="A241" s="2935"/>
      <c r="J241" s="746"/>
      <c r="K241" s="1208"/>
      <c r="L241" s="1208"/>
      <c r="M241" s="746"/>
      <c r="N241" s="2855"/>
    </row>
    <row r="242" spans="1:14" hidden="1">
      <c r="A242" s="2935"/>
      <c r="J242" s="746"/>
      <c r="K242" s="1208"/>
      <c r="L242" s="1208"/>
      <c r="M242" s="746"/>
      <c r="N242" s="2855"/>
    </row>
    <row r="243" spans="1:14" hidden="1">
      <c r="A243" s="2935"/>
      <c r="J243" s="746"/>
      <c r="K243" s="1208"/>
      <c r="L243" s="1208"/>
      <c r="M243" s="746"/>
      <c r="N243" s="2855"/>
    </row>
    <row r="244" spans="1:14" hidden="1">
      <c r="A244" s="2935"/>
      <c r="J244" s="746"/>
      <c r="K244" s="1208"/>
      <c r="L244" s="1208"/>
      <c r="M244" s="746"/>
      <c r="N244" s="2855"/>
    </row>
    <row r="245" spans="1:14" hidden="1">
      <c r="A245" s="2935"/>
      <c r="J245" s="746"/>
      <c r="K245" s="1208"/>
      <c r="L245" s="1208"/>
      <c r="M245" s="746"/>
      <c r="N245" s="2855"/>
    </row>
    <row r="246" spans="1:14" hidden="1">
      <c r="A246" s="2935"/>
      <c r="J246" s="746"/>
      <c r="K246" s="1208"/>
      <c r="L246" s="1208"/>
      <c r="M246" s="746"/>
      <c r="N246" s="2855"/>
    </row>
    <row r="247" spans="1:14" hidden="1">
      <c r="A247" s="2935"/>
      <c r="J247" s="746"/>
      <c r="K247" s="1208"/>
      <c r="L247" s="1208"/>
      <c r="M247" s="746"/>
      <c r="N247" s="2855"/>
    </row>
    <row r="248" spans="1:14" hidden="1">
      <c r="A248" s="2935"/>
      <c r="J248" s="746"/>
      <c r="K248" s="1208"/>
      <c r="L248" s="1208"/>
      <c r="M248" s="746"/>
      <c r="N248" s="2855"/>
    </row>
    <row r="249" spans="1:14" hidden="1">
      <c r="A249" s="2935"/>
      <c r="J249" s="746"/>
      <c r="K249" s="1208"/>
      <c r="L249" s="1208"/>
      <c r="M249" s="746"/>
      <c r="N249" s="2855"/>
    </row>
    <row r="250" spans="1:14" hidden="1">
      <c r="A250" s="2935"/>
      <c r="J250" s="746"/>
      <c r="K250" s="1208"/>
      <c r="L250" s="1208"/>
      <c r="M250" s="746"/>
      <c r="N250" s="2855"/>
    </row>
    <row r="251" spans="1:14" hidden="1">
      <c r="A251" s="2935"/>
      <c r="J251" s="746"/>
      <c r="K251" s="1208"/>
      <c r="L251" s="1208"/>
      <c r="M251" s="746"/>
      <c r="N251" s="2855"/>
    </row>
    <row r="252" spans="1:14" hidden="1">
      <c r="A252" s="2935"/>
      <c r="J252" s="746"/>
      <c r="K252" s="1208"/>
      <c r="L252" s="1208"/>
      <c r="M252" s="746"/>
      <c r="N252" s="2855"/>
    </row>
    <row r="253" spans="1:14" hidden="1">
      <c r="A253" s="2935"/>
      <c r="J253" s="746"/>
      <c r="K253" s="1208"/>
      <c r="L253" s="1208"/>
      <c r="M253" s="746"/>
      <c r="N253" s="2855"/>
    </row>
    <row r="254" spans="1:14" hidden="1">
      <c r="A254" s="2935"/>
      <c r="J254" s="746"/>
      <c r="K254" s="1208"/>
      <c r="L254" s="1208"/>
      <c r="M254" s="746"/>
      <c r="N254" s="2855"/>
    </row>
    <row r="255" spans="1:14" hidden="1">
      <c r="A255" s="2935"/>
      <c r="J255" s="746"/>
      <c r="K255" s="1208"/>
      <c r="L255" s="1208"/>
      <c r="M255" s="746"/>
      <c r="N255" s="2855"/>
    </row>
    <row r="256" spans="1:14" hidden="1">
      <c r="A256" s="2935"/>
      <c r="J256" s="746"/>
      <c r="K256" s="1208"/>
      <c r="L256" s="1208"/>
      <c r="M256" s="746"/>
      <c r="N256" s="2855"/>
    </row>
    <row r="257" spans="1:14" hidden="1">
      <c r="A257" s="2935"/>
      <c r="J257" s="746"/>
      <c r="K257" s="1208"/>
      <c r="L257" s="1208"/>
      <c r="M257" s="746"/>
      <c r="N257" s="2855"/>
    </row>
    <row r="258" spans="1:14" hidden="1">
      <c r="A258" s="2935"/>
      <c r="J258" s="746"/>
      <c r="K258" s="1208"/>
      <c r="L258" s="1208"/>
      <c r="M258" s="746"/>
      <c r="N258" s="2855"/>
    </row>
    <row r="259" spans="1:14" hidden="1">
      <c r="A259" s="2935"/>
      <c r="J259" s="746"/>
      <c r="K259" s="1208"/>
      <c r="L259" s="1208"/>
      <c r="M259" s="746"/>
      <c r="N259" s="2855"/>
    </row>
    <row r="260" spans="1:14" hidden="1">
      <c r="A260" s="2935"/>
      <c r="J260" s="746"/>
      <c r="K260" s="1208"/>
      <c r="L260" s="1208"/>
      <c r="M260" s="746"/>
      <c r="N260" s="2855"/>
    </row>
    <row r="261" spans="1:14" hidden="1">
      <c r="A261" s="2935"/>
      <c r="J261" s="746"/>
      <c r="K261" s="1208"/>
      <c r="L261" s="1208"/>
      <c r="M261" s="746"/>
      <c r="N261" s="2855"/>
    </row>
    <row r="262" spans="1:14" hidden="1">
      <c r="A262" s="2935"/>
      <c r="J262" s="746"/>
      <c r="K262" s="1208"/>
      <c r="L262" s="1208"/>
      <c r="M262" s="746"/>
      <c r="N262" s="2855"/>
    </row>
    <row r="263" spans="1:14" hidden="1">
      <c r="A263" s="2935"/>
      <c r="J263" s="746"/>
      <c r="K263" s="1208"/>
      <c r="L263" s="1208"/>
      <c r="M263" s="746"/>
      <c r="N263" s="2855"/>
    </row>
    <row r="264" spans="1:14" hidden="1">
      <c r="A264" s="2935"/>
      <c r="J264" s="746"/>
      <c r="K264" s="1208"/>
      <c r="L264" s="1208"/>
      <c r="M264" s="746"/>
      <c r="N264" s="2855"/>
    </row>
    <row r="265" spans="1:14" hidden="1">
      <c r="A265" s="2935"/>
      <c r="J265" s="746"/>
      <c r="K265" s="1208"/>
      <c r="L265" s="1208"/>
      <c r="M265" s="746"/>
      <c r="N265" s="2855"/>
    </row>
    <row r="266" spans="1:14" hidden="1">
      <c r="A266" s="2935"/>
      <c r="J266" s="746"/>
      <c r="K266" s="1208"/>
      <c r="L266" s="1208"/>
      <c r="M266" s="746"/>
      <c r="N266" s="2855"/>
    </row>
    <row r="267" spans="1:14" hidden="1">
      <c r="A267" s="2935"/>
      <c r="J267" s="746"/>
      <c r="K267" s="1208"/>
      <c r="L267" s="1208"/>
      <c r="M267" s="746"/>
      <c r="N267" s="2855"/>
    </row>
    <row r="268" spans="1:14" hidden="1">
      <c r="A268" s="2935"/>
      <c r="J268" s="746"/>
      <c r="K268" s="1208"/>
      <c r="L268" s="1208"/>
      <c r="M268" s="746"/>
      <c r="N268" s="2855"/>
    </row>
    <row r="269" spans="1:14" hidden="1">
      <c r="A269" s="2935"/>
      <c r="J269" s="746"/>
      <c r="K269" s="1208"/>
      <c r="L269" s="1208"/>
      <c r="M269" s="746"/>
      <c r="N269" s="2855"/>
    </row>
    <row r="270" spans="1:14" hidden="1">
      <c r="A270" s="2935"/>
      <c r="J270" s="746"/>
      <c r="K270" s="1208"/>
      <c r="L270" s="1208"/>
      <c r="M270" s="746"/>
      <c r="N270" s="2855"/>
    </row>
    <row r="271" spans="1:14" hidden="1">
      <c r="A271" s="2935"/>
      <c r="J271" s="746"/>
      <c r="K271" s="1208"/>
      <c r="L271" s="1208"/>
      <c r="M271" s="746"/>
      <c r="N271" s="2855"/>
    </row>
    <row r="272" spans="1:14" hidden="1">
      <c r="A272" s="2935"/>
      <c r="J272" s="746"/>
      <c r="K272" s="1208"/>
      <c r="L272" s="1208"/>
      <c r="M272" s="746"/>
      <c r="N272" s="2855"/>
    </row>
    <row r="273" spans="1:14" hidden="1">
      <c r="A273" s="2935"/>
      <c r="J273" s="746"/>
      <c r="K273" s="1208"/>
      <c r="L273" s="1208"/>
      <c r="M273" s="746"/>
      <c r="N273" s="2855"/>
    </row>
    <row r="274" spans="1:14" hidden="1">
      <c r="A274" s="2935"/>
      <c r="J274" s="746"/>
      <c r="K274" s="1208"/>
      <c r="L274" s="1208"/>
      <c r="M274" s="746"/>
      <c r="N274" s="2855"/>
    </row>
    <row r="275" spans="1:14" hidden="1">
      <c r="A275" s="2935"/>
      <c r="J275" s="746"/>
      <c r="K275" s="1208"/>
      <c r="L275" s="1208"/>
      <c r="M275" s="746"/>
      <c r="N275" s="2855"/>
    </row>
    <row r="276" spans="1:14" hidden="1">
      <c r="A276" s="2935"/>
      <c r="J276" s="746"/>
      <c r="K276" s="1208"/>
      <c r="L276" s="1208"/>
      <c r="M276" s="746"/>
      <c r="N276" s="2855"/>
    </row>
    <row r="277" spans="1:14" hidden="1">
      <c r="A277" s="2935"/>
      <c r="J277" s="746"/>
      <c r="K277" s="1208"/>
      <c r="L277" s="1208"/>
      <c r="M277" s="746"/>
      <c r="N277" s="2855"/>
    </row>
    <row r="278" spans="1:14" hidden="1">
      <c r="A278" s="2935"/>
      <c r="J278" s="746"/>
      <c r="K278" s="1208"/>
      <c r="L278" s="1208"/>
      <c r="M278" s="746"/>
      <c r="N278" s="2855"/>
    </row>
    <row r="279" spans="1:14" hidden="1">
      <c r="A279" s="2935"/>
      <c r="J279" s="746"/>
      <c r="K279" s="1208"/>
      <c r="L279" s="1208"/>
      <c r="M279" s="746"/>
      <c r="N279" s="2855"/>
    </row>
    <row r="280" spans="1:14" hidden="1">
      <c r="A280" s="2935"/>
      <c r="J280" s="746"/>
      <c r="K280" s="1208"/>
      <c r="L280" s="1208"/>
      <c r="M280" s="746"/>
      <c r="N280" s="2855"/>
    </row>
    <row r="281" spans="1:14" hidden="1">
      <c r="A281" s="2935"/>
      <c r="J281" s="746"/>
      <c r="K281" s="1208"/>
      <c r="L281" s="1208"/>
      <c r="M281" s="746"/>
      <c r="N281" s="2855"/>
    </row>
    <row r="282" spans="1:14" hidden="1">
      <c r="A282" s="2935"/>
      <c r="J282" s="746"/>
      <c r="K282" s="1208"/>
      <c r="L282" s="1208"/>
      <c r="M282" s="746"/>
      <c r="N282" s="2855"/>
    </row>
    <row r="283" spans="1:14" hidden="1">
      <c r="A283" s="2935"/>
      <c r="J283" s="746"/>
      <c r="K283" s="1208"/>
      <c r="L283" s="1208"/>
      <c r="M283" s="746"/>
      <c r="N283" s="2855"/>
    </row>
    <row r="284" spans="1:14" hidden="1">
      <c r="A284" s="2935"/>
      <c r="J284" s="746"/>
      <c r="K284" s="1208"/>
      <c r="L284" s="1208"/>
      <c r="M284" s="746"/>
      <c r="N284" s="2855"/>
    </row>
    <row r="285" spans="1:14" hidden="1">
      <c r="A285" s="2935"/>
      <c r="J285" s="746"/>
      <c r="K285" s="1208"/>
      <c r="L285" s="1208"/>
      <c r="M285" s="746"/>
      <c r="N285" s="2855"/>
    </row>
    <row r="286" spans="1:14" hidden="1">
      <c r="A286" s="2935"/>
      <c r="J286" s="746"/>
      <c r="K286" s="1208"/>
      <c r="L286" s="1208"/>
      <c r="M286" s="746"/>
      <c r="N286" s="2855"/>
    </row>
    <row r="287" spans="1:14" ht="13.5" hidden="1" thickBot="1">
      <c r="A287" s="2959"/>
      <c r="B287" s="903"/>
      <c r="C287" s="903"/>
      <c r="D287" s="903"/>
      <c r="E287" s="903"/>
      <c r="F287" s="903"/>
      <c r="G287" s="903"/>
      <c r="H287" s="903"/>
      <c r="I287" s="903"/>
      <c r="J287" s="903"/>
      <c r="K287" s="456"/>
      <c r="L287" s="456"/>
      <c r="M287" s="903"/>
      <c r="N287" s="2926"/>
    </row>
    <row r="288" spans="1:14" hidden="1">
      <c r="A288" s="746"/>
      <c r="J288" s="746"/>
    </row>
    <row r="289" spans="1:10" hidden="1">
      <c r="A289" s="746"/>
      <c r="J289" s="746"/>
    </row>
    <row r="290" spans="1:10" hidden="1">
      <c r="A290" s="746"/>
      <c r="J290" s="746"/>
    </row>
    <row r="291" spans="1:10" hidden="1">
      <c r="A291" s="746"/>
      <c r="J291" s="746"/>
    </row>
    <row r="292" spans="1:10" hidden="1">
      <c r="A292" s="746"/>
      <c r="J292" s="746"/>
    </row>
    <row r="293" spans="1:10" hidden="1">
      <c r="A293" s="746"/>
      <c r="J293" s="746"/>
    </row>
    <row r="294" spans="1:10" hidden="1">
      <c r="A294" s="746"/>
      <c r="J294" s="746"/>
    </row>
    <row r="295" spans="1:10" hidden="1">
      <c r="A295" s="746"/>
      <c r="J295" s="746"/>
    </row>
    <row r="296" spans="1:10" hidden="1">
      <c r="A296" s="746"/>
      <c r="J296" s="746"/>
    </row>
    <row r="297" spans="1:10" hidden="1">
      <c r="A297" s="746"/>
      <c r="J297" s="746"/>
    </row>
    <row r="298" spans="1:10" hidden="1">
      <c r="A298" s="746"/>
      <c r="J298" s="746"/>
    </row>
    <row r="299" spans="1:10" hidden="1">
      <c r="A299" s="746"/>
      <c r="J299" s="746"/>
    </row>
    <row r="300" spans="1:10" hidden="1">
      <c r="A300" s="746"/>
      <c r="J300" s="746"/>
    </row>
    <row r="301" spans="1:10" hidden="1">
      <c r="A301" s="746"/>
      <c r="J301" s="746"/>
    </row>
    <row r="302" spans="1:10" hidden="1">
      <c r="A302" s="746"/>
      <c r="J302" s="746"/>
    </row>
    <row r="303" spans="1:10" hidden="1">
      <c r="A303" s="746"/>
      <c r="J303" s="746"/>
    </row>
    <row r="304" spans="1:10" hidden="1">
      <c r="A304" s="746"/>
      <c r="J304" s="746"/>
    </row>
    <row r="305" spans="1:10" hidden="1">
      <c r="A305" s="746"/>
      <c r="J305" s="746"/>
    </row>
    <row r="306" spans="1:10" hidden="1">
      <c r="A306" s="746"/>
      <c r="J306" s="746"/>
    </row>
    <row r="307" spans="1:10" hidden="1">
      <c r="A307" s="746"/>
      <c r="J307" s="746"/>
    </row>
    <row r="308" spans="1:10" hidden="1">
      <c r="A308" s="746"/>
      <c r="J308" s="746"/>
    </row>
    <row r="309" spans="1:10" hidden="1">
      <c r="A309" s="746"/>
      <c r="J309" s="746"/>
    </row>
    <row r="310" spans="1:10" hidden="1">
      <c r="A310" s="746"/>
      <c r="J310" s="746"/>
    </row>
    <row r="311" spans="1:10" hidden="1">
      <c r="A311" s="746"/>
      <c r="J311" s="746"/>
    </row>
    <row r="312" spans="1:10" hidden="1">
      <c r="A312" s="746"/>
      <c r="J312" s="746"/>
    </row>
    <row r="313" spans="1:10" hidden="1">
      <c r="A313" s="746"/>
      <c r="J313" s="746"/>
    </row>
    <row r="314" spans="1:10" hidden="1">
      <c r="A314" s="746"/>
      <c r="J314" s="746"/>
    </row>
    <row r="315" spans="1:10" hidden="1">
      <c r="A315" s="746"/>
      <c r="J315" s="746"/>
    </row>
    <row r="316" spans="1:10" hidden="1">
      <c r="A316" s="746"/>
      <c r="J316" s="746"/>
    </row>
    <row r="317" spans="1:10" hidden="1">
      <c r="A317" s="746"/>
      <c r="J317" s="746"/>
    </row>
    <row r="318" spans="1:10" hidden="1">
      <c r="A318" s="746"/>
      <c r="J318" s="746"/>
    </row>
    <row r="319" spans="1:10" hidden="1">
      <c r="A319" s="746"/>
      <c r="J319" s="746"/>
    </row>
    <row r="320" spans="1:10" hidden="1">
      <c r="A320" s="746"/>
      <c r="J320" s="746"/>
    </row>
    <row r="321" spans="1:10" hidden="1">
      <c r="A321" s="746"/>
      <c r="J321" s="746"/>
    </row>
    <row r="322" spans="1:10" hidden="1">
      <c r="A322" s="746"/>
      <c r="J322" s="746"/>
    </row>
    <row r="323" spans="1:10" hidden="1">
      <c r="A323" s="746"/>
      <c r="J323" s="746"/>
    </row>
    <row r="324" spans="1:10" hidden="1">
      <c r="A324" s="746"/>
      <c r="J324" s="746"/>
    </row>
    <row r="325" spans="1:10" hidden="1">
      <c r="A325" s="746"/>
      <c r="J325" s="746"/>
    </row>
    <row r="326" spans="1:10" hidden="1">
      <c r="A326" s="746"/>
      <c r="J326" s="746"/>
    </row>
    <row r="327" spans="1:10" hidden="1">
      <c r="A327" s="746"/>
      <c r="J327" s="746"/>
    </row>
    <row r="328" spans="1:10" hidden="1">
      <c r="A328" s="746"/>
      <c r="J328" s="746"/>
    </row>
    <row r="329" spans="1:10" hidden="1">
      <c r="A329" s="746"/>
      <c r="J329" s="746"/>
    </row>
    <row r="330" spans="1:10">
      <c r="A330" s="746"/>
      <c r="J330" s="746"/>
    </row>
    <row r="331" spans="1:10">
      <c r="A331" s="746"/>
      <c r="J331" s="746"/>
    </row>
    <row r="332" spans="1:10">
      <c r="A332" s="746"/>
      <c r="J332" s="746"/>
    </row>
    <row r="333" spans="1:10">
      <c r="A333" s="746"/>
      <c r="J333" s="746"/>
    </row>
    <row r="334" spans="1:10">
      <c r="A334" s="746"/>
      <c r="J334" s="746"/>
    </row>
    <row r="335" spans="1:10">
      <c r="A335" s="746"/>
      <c r="J335" s="746"/>
    </row>
    <row r="336" spans="1:10">
      <c r="A336" s="746"/>
      <c r="J336" s="746"/>
    </row>
    <row r="337" spans="1:12">
      <c r="A337" s="746"/>
      <c r="J337" s="746"/>
    </row>
    <row r="338" spans="1:12">
      <c r="A338" s="746"/>
      <c r="J338" s="746"/>
    </row>
    <row r="339" spans="1:12">
      <c r="A339" s="746"/>
      <c r="J339" s="746"/>
    </row>
    <row r="340" spans="1:12">
      <c r="A340" s="746"/>
      <c r="J340" s="746"/>
    </row>
    <row r="341" spans="1:12">
      <c r="A341" s="746"/>
      <c r="J341" s="746"/>
    </row>
    <row r="342" spans="1:12">
      <c r="A342" s="746"/>
      <c r="J342" s="746"/>
    </row>
    <row r="343" spans="1:12">
      <c r="A343" s="746"/>
      <c r="J343" s="746"/>
    </row>
    <row r="344" spans="1:12">
      <c r="A344" s="746"/>
      <c r="J344" s="746"/>
    </row>
    <row r="345" spans="1:12">
      <c r="A345" s="746"/>
      <c r="J345" s="746"/>
    </row>
    <row r="346" spans="1:12" hidden="1">
      <c r="A346" s="746"/>
      <c r="J346" s="746"/>
    </row>
    <row r="347" spans="1:12" hidden="1">
      <c r="A347" s="746"/>
      <c r="J347" s="746"/>
    </row>
    <row r="348" spans="1:12" hidden="1">
      <c r="A348" s="746"/>
      <c r="J348" s="746"/>
    </row>
    <row r="349" spans="1:12" ht="13.5" hidden="1" thickBot="1">
      <c r="A349" s="746"/>
      <c r="J349" s="746"/>
    </row>
    <row r="350" spans="1:12" ht="45" hidden="1">
      <c r="A350" s="900" t="s">
        <v>60</v>
      </c>
      <c r="B350" s="901"/>
      <c r="C350" s="901"/>
      <c r="D350" s="901"/>
      <c r="E350" s="901"/>
      <c r="F350" s="901"/>
      <c r="G350" s="901"/>
      <c r="H350" s="901"/>
      <c r="I350" s="901"/>
      <c r="J350" s="901"/>
      <c r="K350" s="902"/>
      <c r="L350" s="902"/>
    </row>
    <row r="351" spans="1:12" hidden="1">
      <c r="A351" s="746"/>
      <c r="J351" s="746"/>
      <c r="K351" s="1208"/>
      <c r="L351" s="1208"/>
    </row>
    <row r="352" spans="1:12" hidden="1">
      <c r="A352" s="746"/>
      <c r="J352" s="746"/>
      <c r="K352" s="1208"/>
      <c r="L352" s="1208"/>
    </row>
    <row r="353" spans="1:12">
      <c r="A353" s="746"/>
      <c r="J353" s="746"/>
      <c r="K353" s="1208"/>
      <c r="L353" s="1208"/>
    </row>
    <row r="354" spans="1:12">
      <c r="A354" s="746"/>
      <c r="J354" s="746"/>
      <c r="K354" s="1208"/>
      <c r="L354" s="1208"/>
    </row>
    <row r="355" spans="1:12">
      <c r="A355" s="746"/>
      <c r="J355" s="746"/>
      <c r="K355" s="1208"/>
      <c r="L355" s="1208"/>
    </row>
    <row r="356" spans="1:12">
      <c r="A356" s="746"/>
      <c r="J356" s="746"/>
      <c r="K356" s="1208"/>
      <c r="L356" s="1208"/>
    </row>
    <row r="357" spans="1:12">
      <c r="A357" s="746"/>
      <c r="J357" s="746"/>
      <c r="K357" s="1208"/>
      <c r="L357" s="1208"/>
    </row>
    <row r="358" spans="1:12">
      <c r="A358" s="746"/>
      <c r="J358" s="746"/>
      <c r="K358" s="1208"/>
      <c r="L358" s="1208"/>
    </row>
    <row r="359" spans="1:12">
      <c r="A359" s="746"/>
      <c r="J359" s="746"/>
      <c r="K359" s="1208"/>
      <c r="L359" s="1208"/>
    </row>
    <row r="360" spans="1:12">
      <c r="A360" s="746"/>
      <c r="J360" s="746"/>
      <c r="K360" s="1208"/>
      <c r="L360" s="1208"/>
    </row>
    <row r="361" spans="1:12" ht="13.5" thickBot="1">
      <c r="A361" s="903"/>
      <c r="B361" s="903"/>
      <c r="C361" s="903"/>
      <c r="D361" s="903"/>
      <c r="E361" s="903"/>
      <c r="F361" s="903"/>
      <c r="G361" s="903"/>
      <c r="H361" s="903"/>
      <c r="I361" s="903"/>
      <c r="J361" s="903"/>
      <c r="K361" s="456"/>
      <c r="L361" s="456"/>
    </row>
    <row r="362" spans="1:12">
      <c r="A362" s="746"/>
      <c r="J362" s="746"/>
    </row>
    <row r="363" spans="1:12" ht="13.5" thickBot="1">
      <c r="A363" s="903"/>
      <c r="J363" s="746"/>
    </row>
    <row r="364" spans="1:12" ht="13.5" thickBot="1">
      <c r="A364" s="1877"/>
      <c r="J364" s="746"/>
    </row>
    <row r="365" spans="1:12" ht="13.5" thickBot="1">
      <c r="A365" s="1877"/>
      <c r="J365" s="746"/>
    </row>
    <row r="366" spans="1:12" ht="13.5" thickBot="1">
      <c r="A366" s="1877"/>
      <c r="J366" s="746"/>
    </row>
    <row r="367" spans="1:12" ht="13.5" thickBot="1">
      <c r="A367" s="1877"/>
      <c r="J367" s="746"/>
    </row>
    <row r="368" spans="1:12" ht="13.5" thickBot="1">
      <c r="A368" s="1877"/>
      <c r="J368" s="746"/>
    </row>
    <row r="369" spans="1:14" ht="13.5" thickBot="1">
      <c r="A369" s="1877"/>
      <c r="J369" s="746"/>
      <c r="M369" s="903"/>
      <c r="N369" s="903"/>
    </row>
    <row r="370" spans="1:14" ht="13.5" thickBot="1">
      <c r="A370" s="1877"/>
      <c r="J370" s="746"/>
      <c r="M370" s="1877"/>
      <c r="N370" s="1877"/>
    </row>
    <row r="371" spans="1:14" ht="13.5" thickBot="1">
      <c r="A371" s="1877"/>
      <c r="C371" s="903"/>
      <c r="D371" s="903"/>
      <c r="E371" s="903"/>
      <c r="F371" s="903"/>
      <c r="G371" s="903"/>
      <c r="H371" s="903"/>
      <c r="I371" s="903"/>
      <c r="J371" s="903"/>
      <c r="K371" s="456"/>
      <c r="M371" s="1877"/>
      <c r="N371" s="1877"/>
    </row>
    <row r="372" spans="1:14" ht="13.5" thickBot="1">
      <c r="A372" s="1877"/>
      <c r="C372" s="901"/>
      <c r="D372" s="901"/>
      <c r="E372" s="901"/>
      <c r="F372" s="901"/>
      <c r="G372" s="901"/>
      <c r="H372" s="901"/>
      <c r="I372" s="901"/>
      <c r="J372" s="901"/>
      <c r="K372" s="902"/>
      <c r="M372" s="901"/>
      <c r="N372" s="1877"/>
    </row>
    <row r="373" spans="1:14" ht="13.5" thickBot="1">
      <c r="A373" s="1877"/>
      <c r="J373" s="746"/>
      <c r="N373" s="1877"/>
    </row>
    <row r="374" spans="1:14" ht="13.5" thickBot="1">
      <c r="A374" s="1877"/>
      <c r="J374" s="746"/>
      <c r="N374" s="1877"/>
    </row>
    <row r="375" spans="1:14" ht="13.5" thickBot="1">
      <c r="A375" s="1877"/>
      <c r="J375" s="746"/>
      <c r="N375" s="1877"/>
    </row>
    <row r="376" spans="1:14" ht="13.5" thickBot="1">
      <c r="A376" s="1877"/>
      <c r="J376" s="746"/>
      <c r="N376" s="1877"/>
    </row>
    <row r="377" spans="1:14" ht="13.5" thickBot="1">
      <c r="A377" s="1877"/>
      <c r="J377" s="746"/>
      <c r="N377" s="901"/>
    </row>
    <row r="378" spans="1:14" ht="13.5" thickBot="1">
      <c r="A378" s="1877"/>
      <c r="J378" s="746"/>
    </row>
    <row r="379" spans="1:14" ht="13.5" thickBot="1">
      <c r="A379" s="1877"/>
      <c r="J379" s="746"/>
    </row>
    <row r="380" spans="1:14">
      <c r="A380" s="901"/>
      <c r="J380" s="746"/>
    </row>
    <row r="381" spans="1:14">
      <c r="A381" s="746"/>
      <c r="J381" s="746"/>
    </row>
    <row r="382" spans="1:14">
      <c r="A382" s="746"/>
      <c r="J382" s="746"/>
    </row>
    <row r="383" spans="1:14">
      <c r="A383" s="746"/>
      <c r="J383" s="746"/>
    </row>
    <row r="384" spans="1:14">
      <c r="A384" s="746"/>
      <c r="J384" s="746"/>
    </row>
    <row r="385" spans="1:10">
      <c r="A385" s="746"/>
      <c r="J385" s="746"/>
    </row>
    <row r="386" spans="1:10">
      <c r="A386" s="746"/>
      <c r="J386" s="746"/>
    </row>
    <row r="387" spans="1:10">
      <c r="A387" s="746"/>
      <c r="J387" s="746"/>
    </row>
    <row r="388" spans="1:10">
      <c r="A388" s="746"/>
      <c r="J388" s="746"/>
    </row>
    <row r="389" spans="1:10">
      <c r="A389" s="746"/>
      <c r="J389" s="746"/>
    </row>
    <row r="390" spans="1:10">
      <c r="A390" s="746"/>
      <c r="J390" s="746"/>
    </row>
    <row r="391" spans="1:10">
      <c r="A391" s="746"/>
      <c r="J391" s="746"/>
    </row>
    <row r="392" spans="1:10">
      <c r="A392" s="746"/>
      <c r="J392" s="746"/>
    </row>
    <row r="393" spans="1:10">
      <c r="A393" s="746"/>
      <c r="J393" s="746"/>
    </row>
    <row r="394" spans="1:10">
      <c r="A394" s="746"/>
      <c r="J394" s="746"/>
    </row>
    <row r="395" spans="1:10">
      <c r="A395" s="746"/>
      <c r="J395" s="746"/>
    </row>
    <row r="396" spans="1:10">
      <c r="A396" s="746"/>
      <c r="J396" s="746"/>
    </row>
    <row r="397" spans="1:10">
      <c r="A397" s="746"/>
      <c r="J397" s="746"/>
    </row>
    <row r="398" spans="1:10">
      <c r="A398" s="746"/>
      <c r="J398" s="746"/>
    </row>
    <row r="399" spans="1:10">
      <c r="A399" s="746"/>
      <c r="J399" s="746"/>
    </row>
    <row r="400" spans="1:10">
      <c r="A400" s="746"/>
      <c r="J400" s="746"/>
    </row>
    <row r="401" spans="1:10">
      <c r="A401" s="746"/>
      <c r="J401" s="746"/>
    </row>
    <row r="402" spans="1:10">
      <c r="A402" s="746"/>
      <c r="J402" s="746"/>
    </row>
    <row r="403" spans="1:10">
      <c r="A403" s="746"/>
      <c r="J403" s="746"/>
    </row>
    <row r="404" spans="1:10">
      <c r="A404" s="746"/>
      <c r="J404" s="746"/>
    </row>
    <row r="405" spans="1:10">
      <c r="A405" s="746"/>
      <c r="J405" s="746"/>
    </row>
    <row r="406" spans="1:10">
      <c r="A406" s="746"/>
      <c r="J406" s="746"/>
    </row>
    <row r="407" spans="1:10">
      <c r="A407" s="746"/>
      <c r="J407" s="746"/>
    </row>
    <row r="408" spans="1:10">
      <c r="A408" s="746"/>
      <c r="J408" s="746"/>
    </row>
    <row r="409" spans="1:10">
      <c r="A409" s="746"/>
      <c r="J409" s="746"/>
    </row>
    <row r="410" spans="1:10">
      <c r="A410" s="746"/>
      <c r="J410" s="746"/>
    </row>
    <row r="411" spans="1:10">
      <c r="A411" s="746"/>
      <c r="J411" s="746"/>
    </row>
    <row r="412" spans="1:10">
      <c r="A412" s="746"/>
      <c r="J412" s="746"/>
    </row>
    <row r="413" spans="1:10">
      <c r="A413" s="746"/>
      <c r="J413" s="746"/>
    </row>
    <row r="414" spans="1:10">
      <c r="A414" s="746"/>
      <c r="J414" s="746"/>
    </row>
    <row r="415" spans="1:10">
      <c r="A415" s="746"/>
      <c r="J415" s="746"/>
    </row>
    <row r="416" spans="1:10">
      <c r="A416" s="746"/>
      <c r="J416" s="746"/>
    </row>
    <row r="417" spans="1:10">
      <c r="A417" s="746"/>
      <c r="J417" s="746"/>
    </row>
    <row r="418" spans="1:10">
      <c r="A418" s="746"/>
      <c r="J418" s="746"/>
    </row>
    <row r="419" spans="1:10">
      <c r="A419" s="746"/>
      <c r="J419" s="746"/>
    </row>
    <row r="420" spans="1:10">
      <c r="A420" s="746"/>
      <c r="J420" s="746"/>
    </row>
    <row r="421" spans="1:10">
      <c r="A421" s="746"/>
      <c r="J421" s="746"/>
    </row>
    <row r="422" spans="1:10">
      <c r="A422" s="746"/>
      <c r="J422" s="746"/>
    </row>
    <row r="423" spans="1:10">
      <c r="A423" s="746"/>
      <c r="J423" s="746"/>
    </row>
    <row r="424" spans="1:10">
      <c r="A424" s="746"/>
      <c r="J424" s="746"/>
    </row>
    <row r="425" spans="1:10">
      <c r="A425" s="746"/>
      <c r="J425" s="746"/>
    </row>
    <row r="426" spans="1:10">
      <c r="A426" s="746"/>
      <c r="J426" s="746"/>
    </row>
    <row r="427" spans="1:10">
      <c r="A427" s="746"/>
      <c r="J427" s="746"/>
    </row>
    <row r="428" spans="1:10">
      <c r="A428" s="746"/>
      <c r="J428" s="746"/>
    </row>
    <row r="429" spans="1:10">
      <c r="A429" s="746"/>
      <c r="J429" s="746"/>
    </row>
    <row r="430" spans="1:10">
      <c r="A430" s="746"/>
      <c r="J430" s="746"/>
    </row>
    <row r="431" spans="1:10">
      <c r="A431" s="746"/>
      <c r="J431" s="746"/>
    </row>
    <row r="432" spans="1:10">
      <c r="A432" s="746"/>
      <c r="J432" s="746"/>
    </row>
    <row r="433" spans="1:10">
      <c r="A433" s="746"/>
      <c r="J433" s="746"/>
    </row>
    <row r="434" spans="1:10">
      <c r="A434" s="746"/>
      <c r="J434" s="746"/>
    </row>
    <row r="435" spans="1:10">
      <c r="A435" s="746"/>
      <c r="J435" s="746"/>
    </row>
    <row r="436" spans="1:10">
      <c r="A436" s="746"/>
      <c r="J436" s="746"/>
    </row>
    <row r="437" spans="1:10">
      <c r="A437" s="746"/>
      <c r="J437" s="746"/>
    </row>
    <row r="438" spans="1:10">
      <c r="A438" s="746"/>
      <c r="J438" s="746"/>
    </row>
    <row r="439" spans="1:10">
      <c r="A439" s="746"/>
      <c r="J439" s="746"/>
    </row>
    <row r="440" spans="1:10">
      <c r="A440" s="746"/>
      <c r="J440" s="746"/>
    </row>
    <row r="441" spans="1:10">
      <c r="A441" s="746"/>
      <c r="J441" s="746"/>
    </row>
    <row r="442" spans="1:10">
      <c r="A442" s="746"/>
      <c r="J442" s="746"/>
    </row>
    <row r="443" spans="1:10">
      <c r="A443" s="746"/>
      <c r="J443" s="746"/>
    </row>
    <row r="444" spans="1:10">
      <c r="A444" s="746"/>
      <c r="J444" s="746"/>
    </row>
    <row r="445" spans="1:10">
      <c r="A445" s="746"/>
      <c r="J445" s="746"/>
    </row>
    <row r="446" spans="1:10">
      <c r="A446" s="746"/>
      <c r="J446" s="746"/>
    </row>
    <row r="447" spans="1:10">
      <c r="A447" s="746"/>
      <c r="J447" s="746"/>
    </row>
    <row r="448" spans="1:10">
      <c r="A448" s="746"/>
      <c r="J448" s="746"/>
    </row>
    <row r="449" spans="1:10">
      <c r="A449" s="746"/>
      <c r="J449" s="746"/>
    </row>
    <row r="450" spans="1:10">
      <c r="A450" s="746"/>
      <c r="J450" s="746"/>
    </row>
    <row r="451" spans="1:10">
      <c r="A451" s="746"/>
      <c r="J451" s="746"/>
    </row>
    <row r="452" spans="1:10">
      <c r="A452" s="746"/>
      <c r="J452" s="746"/>
    </row>
    <row r="453" spans="1:10">
      <c r="A453" s="746"/>
      <c r="J453" s="746"/>
    </row>
    <row r="454" spans="1:10">
      <c r="A454" s="746"/>
      <c r="J454" s="746"/>
    </row>
    <row r="455" spans="1:10">
      <c r="A455" s="746"/>
      <c r="J455" s="746"/>
    </row>
    <row r="456" spans="1:10">
      <c r="A456" s="746"/>
      <c r="J456" s="746"/>
    </row>
    <row r="457" spans="1:10">
      <c r="A457" s="746"/>
      <c r="J457" s="746"/>
    </row>
    <row r="458" spans="1:10">
      <c r="A458" s="746"/>
      <c r="J458" s="746"/>
    </row>
    <row r="459" spans="1:10">
      <c r="A459" s="746"/>
      <c r="J459" s="746"/>
    </row>
    <row r="460" spans="1:10">
      <c r="A460" s="746"/>
      <c r="J460" s="746"/>
    </row>
    <row r="461" spans="1:10">
      <c r="A461" s="746"/>
      <c r="J461" s="746"/>
    </row>
    <row r="462" spans="1:10">
      <c r="A462" s="746"/>
      <c r="J462" s="746"/>
    </row>
    <row r="463" spans="1:10">
      <c r="A463" s="746"/>
      <c r="J463" s="746"/>
    </row>
    <row r="464" spans="1:10">
      <c r="A464" s="746"/>
      <c r="J464" s="746"/>
    </row>
    <row r="465" spans="1:14">
      <c r="A465" s="746"/>
      <c r="J465" s="746"/>
    </row>
    <row r="466" spans="1:14">
      <c r="A466" s="746"/>
      <c r="J466" s="746"/>
    </row>
    <row r="467" spans="1:14">
      <c r="A467" s="746"/>
      <c r="J467" s="746"/>
    </row>
    <row r="468" spans="1:14">
      <c r="A468" s="746"/>
      <c r="J468" s="746"/>
    </row>
    <row r="469" spans="1:14">
      <c r="A469" s="746"/>
      <c r="J469" s="746"/>
    </row>
    <row r="470" spans="1:14">
      <c r="A470" s="746"/>
      <c r="J470" s="746"/>
    </row>
    <row r="471" spans="1:14">
      <c r="A471" s="746"/>
      <c r="J471" s="746"/>
    </row>
    <row r="472" spans="1:14">
      <c r="A472" s="746"/>
      <c r="J472" s="746"/>
    </row>
    <row r="473" spans="1:14">
      <c r="A473" s="746"/>
      <c r="J473" s="746"/>
    </row>
    <row r="474" spans="1:14">
      <c r="A474" s="746"/>
      <c r="J474" s="746"/>
    </row>
    <row r="475" spans="1:14">
      <c r="A475" s="746"/>
      <c r="J475" s="746"/>
    </row>
    <row r="476" spans="1:14">
      <c r="A476" s="746"/>
      <c r="J476" s="746"/>
    </row>
    <row r="477" spans="1:14">
      <c r="A477" s="746"/>
      <c r="J477" s="746"/>
    </row>
    <row r="478" spans="1:14" ht="13.5" thickBot="1">
      <c r="A478" s="746"/>
      <c r="J478" s="746"/>
      <c r="N478" s="903"/>
    </row>
    <row r="479" spans="1:14" ht="13.5" thickBot="1">
      <c r="A479" s="746"/>
      <c r="J479" s="746"/>
      <c r="N479" s="1877"/>
    </row>
    <row r="480" spans="1:14" ht="13.5" thickBot="1">
      <c r="A480" s="746"/>
      <c r="J480" s="746"/>
      <c r="N480" s="1877"/>
    </row>
    <row r="481" spans="1:14" ht="13.5" thickBot="1">
      <c r="A481" s="746"/>
      <c r="J481" s="746"/>
      <c r="N481" s="1877"/>
    </row>
    <row r="482" spans="1:14" ht="13.5" thickBot="1">
      <c r="A482" s="746"/>
      <c r="J482" s="746"/>
      <c r="M482" s="903"/>
      <c r="N482" s="1877"/>
    </row>
    <row r="483" spans="1:14" ht="13.5" thickBot="1">
      <c r="A483" s="746"/>
      <c r="J483" s="746"/>
      <c r="M483" s="1877"/>
      <c r="N483" s="1877"/>
    </row>
    <row r="484" spans="1:14" ht="13.5" thickBot="1">
      <c r="A484" s="746"/>
      <c r="J484" s="746"/>
      <c r="M484" s="1877"/>
      <c r="N484" s="1877"/>
    </row>
    <row r="485" spans="1:14" ht="13.5" thickBot="1">
      <c r="A485" s="746"/>
      <c r="J485" s="746"/>
      <c r="M485" s="1877"/>
      <c r="N485" s="1877"/>
    </row>
    <row r="486" spans="1:14" ht="13.5" thickBot="1">
      <c r="A486" s="746"/>
      <c r="J486" s="746"/>
      <c r="M486" s="1877"/>
      <c r="N486" s="1877"/>
    </row>
    <row r="487" spans="1:14" ht="13.5" thickBot="1">
      <c r="A487" s="903"/>
      <c r="B487" s="903"/>
      <c r="C487" s="903"/>
      <c r="D487" s="903"/>
      <c r="E487" s="903"/>
      <c r="F487" s="903"/>
      <c r="G487" s="903"/>
      <c r="H487" s="903"/>
      <c r="I487" s="903"/>
      <c r="J487" s="903"/>
      <c r="K487" s="456"/>
      <c r="M487" s="1877"/>
      <c r="N487" s="1877"/>
    </row>
    <row r="488" spans="1:14" ht="13.5" thickBot="1">
      <c r="A488" s="1877"/>
      <c r="B488" s="901"/>
      <c r="C488" s="901"/>
      <c r="D488" s="901"/>
      <c r="E488" s="901"/>
      <c r="F488" s="901"/>
      <c r="G488" s="901"/>
      <c r="H488" s="901"/>
      <c r="I488" s="901"/>
      <c r="J488" s="901"/>
      <c r="K488" s="902"/>
      <c r="M488" s="901"/>
      <c r="N488" s="1877"/>
    </row>
    <row r="489" spans="1:14" ht="13.5" thickBot="1">
      <c r="A489" s="1877"/>
      <c r="J489" s="746"/>
      <c r="N489" s="1877"/>
    </row>
    <row r="490" spans="1:14" ht="13.5" thickBot="1">
      <c r="A490" s="1877"/>
      <c r="J490" s="746"/>
      <c r="N490" s="1877"/>
    </row>
    <row r="491" spans="1:14" ht="13.5" thickBot="1">
      <c r="A491" s="1877"/>
      <c r="J491" s="746"/>
      <c r="N491" s="1877"/>
    </row>
    <row r="492" spans="1:14" ht="13.5" thickBot="1">
      <c r="A492" s="1877"/>
      <c r="J492" s="746"/>
      <c r="N492" s="1877"/>
    </row>
    <row r="493" spans="1:14" ht="13.5" thickBot="1">
      <c r="A493" s="1877"/>
      <c r="J493" s="746"/>
      <c r="N493" s="1877"/>
    </row>
    <row r="494" spans="1:14" ht="13.5" thickBot="1">
      <c r="A494" s="1877"/>
      <c r="J494" s="746"/>
      <c r="N494" s="1877"/>
    </row>
    <row r="495" spans="1:14">
      <c r="A495" s="901"/>
      <c r="J495" s="746"/>
      <c r="N495" s="901"/>
    </row>
    <row r="496" spans="1:14">
      <c r="A496" s="746"/>
      <c r="J496" s="746"/>
    </row>
    <row r="497" spans="1:10">
      <c r="A497" s="746"/>
      <c r="J497" s="746"/>
    </row>
    <row r="498" spans="1:10">
      <c r="A498" s="746"/>
      <c r="J498" s="746"/>
    </row>
    <row r="499" spans="1:10">
      <c r="A499" s="746"/>
      <c r="J499" s="746"/>
    </row>
    <row r="500" spans="1:10">
      <c r="A500" s="746"/>
      <c r="J500" s="746"/>
    </row>
    <row r="501" spans="1:10">
      <c r="A501" s="746"/>
      <c r="J501" s="746"/>
    </row>
    <row r="502" spans="1:10">
      <c r="A502" s="746"/>
      <c r="J502" s="746"/>
    </row>
    <row r="503" spans="1:10">
      <c r="A503" s="746"/>
      <c r="J503" s="746"/>
    </row>
    <row r="504" spans="1:10">
      <c r="A504" s="746"/>
      <c r="J504" s="746"/>
    </row>
    <row r="505" spans="1:10">
      <c r="A505" s="746"/>
      <c r="J505" s="746"/>
    </row>
    <row r="506" spans="1:10">
      <c r="A506" s="746"/>
      <c r="J506" s="746"/>
    </row>
    <row r="507" spans="1:10">
      <c r="A507" s="746"/>
      <c r="J507" s="746"/>
    </row>
    <row r="508" spans="1:10">
      <c r="A508" s="746"/>
      <c r="J508" s="746"/>
    </row>
    <row r="509" spans="1:10">
      <c r="A509" s="746"/>
      <c r="J509" s="746"/>
    </row>
    <row r="510" spans="1:10">
      <c r="A510" s="746"/>
      <c r="J510" s="746"/>
    </row>
    <row r="511" spans="1:10">
      <c r="A511" s="746"/>
      <c r="J511" s="746"/>
    </row>
    <row r="512" spans="1:10">
      <c r="A512" s="746"/>
      <c r="J512" s="746"/>
    </row>
    <row r="513" spans="1:10">
      <c r="A513" s="746"/>
      <c r="J513" s="746"/>
    </row>
    <row r="514" spans="1:10">
      <c r="A514" s="746"/>
      <c r="J514" s="746"/>
    </row>
    <row r="515" spans="1:10">
      <c r="A515" s="746"/>
      <c r="J515" s="746"/>
    </row>
    <row r="516" spans="1:10">
      <c r="A516" s="746"/>
      <c r="J516" s="746"/>
    </row>
    <row r="517" spans="1:10">
      <c r="A517" s="746"/>
      <c r="J517" s="746"/>
    </row>
    <row r="518" spans="1:10">
      <c r="A518" s="746"/>
      <c r="J518" s="746"/>
    </row>
    <row r="519" spans="1:10">
      <c r="A519" s="746"/>
      <c r="J519" s="746"/>
    </row>
    <row r="520" spans="1:10">
      <c r="A520" s="746"/>
      <c r="J520" s="746"/>
    </row>
    <row r="521" spans="1:10">
      <c r="A521" s="746"/>
      <c r="J521" s="746"/>
    </row>
    <row r="522" spans="1:10">
      <c r="A522" s="746"/>
      <c r="J522" s="746"/>
    </row>
    <row r="523" spans="1:10">
      <c r="A523" s="746"/>
      <c r="J523" s="746"/>
    </row>
    <row r="524" spans="1:10">
      <c r="A524" s="746"/>
      <c r="J524" s="746"/>
    </row>
    <row r="525" spans="1:10">
      <c r="A525" s="746"/>
      <c r="J525" s="746"/>
    </row>
    <row r="526" spans="1:10">
      <c r="A526" s="746"/>
      <c r="J526" s="746"/>
    </row>
    <row r="527" spans="1:10">
      <c r="A527" s="746"/>
      <c r="J527" s="746"/>
    </row>
    <row r="528" spans="1:10">
      <c r="A528" s="746"/>
      <c r="J528" s="746"/>
    </row>
    <row r="529" spans="1:10">
      <c r="A529" s="746"/>
      <c r="J529" s="746"/>
    </row>
    <row r="530" spans="1:10">
      <c r="A530" s="746"/>
      <c r="J530" s="746"/>
    </row>
    <row r="531" spans="1:10">
      <c r="A531" s="746"/>
      <c r="J531" s="746"/>
    </row>
    <row r="532" spans="1:10">
      <c r="A532" s="746"/>
      <c r="J532" s="746"/>
    </row>
    <row r="533" spans="1:10">
      <c r="A533" s="746"/>
      <c r="J533" s="746"/>
    </row>
    <row r="534" spans="1:10">
      <c r="A534" s="746"/>
      <c r="J534" s="746"/>
    </row>
    <row r="535" spans="1:10">
      <c r="A535" s="746"/>
      <c r="J535" s="746"/>
    </row>
    <row r="536" spans="1:10">
      <c r="A536" s="746"/>
      <c r="J536" s="746"/>
    </row>
    <row r="537" spans="1:10">
      <c r="A537" s="746"/>
      <c r="J537" s="746"/>
    </row>
    <row r="538" spans="1:10">
      <c r="A538" s="746"/>
      <c r="J538" s="746"/>
    </row>
    <row r="539" spans="1:10">
      <c r="A539" s="746"/>
      <c r="J539" s="746"/>
    </row>
    <row r="540" spans="1:10">
      <c r="A540" s="746"/>
      <c r="J540" s="746"/>
    </row>
    <row r="541" spans="1:10">
      <c r="A541" s="746"/>
      <c r="J541" s="746"/>
    </row>
    <row r="542" spans="1:10">
      <c r="A542" s="746"/>
      <c r="J542" s="746"/>
    </row>
    <row r="543" spans="1:10">
      <c r="A543" s="746"/>
      <c r="J543" s="746"/>
    </row>
    <row r="544" spans="1:10">
      <c r="A544" s="746"/>
      <c r="J544" s="746"/>
    </row>
    <row r="545" spans="1:10">
      <c r="A545" s="746"/>
      <c r="J545" s="746"/>
    </row>
    <row r="546" spans="1:10">
      <c r="A546" s="746"/>
      <c r="J546" s="746"/>
    </row>
    <row r="547" spans="1:10">
      <c r="A547" s="746"/>
      <c r="J547" s="746"/>
    </row>
    <row r="548" spans="1:10">
      <c r="A548" s="746"/>
      <c r="J548" s="746"/>
    </row>
    <row r="549" spans="1:10">
      <c r="A549" s="746"/>
      <c r="J549" s="746"/>
    </row>
    <row r="550" spans="1:10">
      <c r="A550" s="746"/>
      <c r="J550" s="746"/>
    </row>
    <row r="551" spans="1:10">
      <c r="A551" s="746"/>
      <c r="J551" s="746"/>
    </row>
    <row r="552" spans="1:10">
      <c r="A552" s="746"/>
      <c r="J552" s="746"/>
    </row>
    <row r="553" spans="1:10">
      <c r="A553" s="746"/>
      <c r="J553" s="746"/>
    </row>
    <row r="554" spans="1:10">
      <c r="A554" s="746"/>
      <c r="J554" s="746"/>
    </row>
    <row r="555" spans="1:10">
      <c r="A555" s="746"/>
      <c r="J555" s="746"/>
    </row>
    <row r="556" spans="1:10">
      <c r="A556" s="746"/>
      <c r="J556" s="746"/>
    </row>
    <row r="557" spans="1:10">
      <c r="A557" s="746"/>
      <c r="J557" s="746"/>
    </row>
    <row r="558" spans="1:10">
      <c r="A558" s="746"/>
      <c r="J558" s="746"/>
    </row>
    <row r="559" spans="1:10">
      <c r="A559" s="746"/>
      <c r="J559" s="746"/>
    </row>
    <row r="560" spans="1:10">
      <c r="A560" s="746"/>
      <c r="J560" s="746"/>
    </row>
    <row r="561" spans="1:10">
      <c r="A561" s="746"/>
      <c r="J561" s="746"/>
    </row>
    <row r="562" spans="1:10">
      <c r="A562" s="746"/>
      <c r="J562" s="746"/>
    </row>
    <row r="563" spans="1:10">
      <c r="A563" s="746"/>
      <c r="J563" s="746"/>
    </row>
    <row r="564" spans="1:10">
      <c r="A564" s="746"/>
      <c r="J564" s="746"/>
    </row>
    <row r="565" spans="1:10">
      <c r="A565" s="746"/>
      <c r="J565" s="746"/>
    </row>
    <row r="566" spans="1:10">
      <c r="A566" s="746"/>
      <c r="J566" s="746"/>
    </row>
    <row r="567" spans="1:10">
      <c r="A567" s="746"/>
      <c r="J567" s="746"/>
    </row>
    <row r="568" spans="1:10">
      <c r="A568" s="746"/>
      <c r="J568" s="746"/>
    </row>
    <row r="569" spans="1:10">
      <c r="A569" s="746"/>
      <c r="J569" s="746"/>
    </row>
    <row r="570" spans="1:10">
      <c r="A570" s="746"/>
      <c r="J570" s="746"/>
    </row>
    <row r="571" spans="1:10">
      <c r="A571" s="746"/>
      <c r="J571" s="746"/>
    </row>
    <row r="572" spans="1:10">
      <c r="A572" s="746"/>
      <c r="J572" s="746"/>
    </row>
    <row r="573" spans="1:10">
      <c r="A573" s="746"/>
      <c r="J573" s="746"/>
    </row>
    <row r="574" spans="1:10">
      <c r="A574" s="746"/>
      <c r="J574" s="746"/>
    </row>
    <row r="575" spans="1:10">
      <c r="A575" s="746"/>
      <c r="J575" s="746"/>
    </row>
    <row r="576" spans="1:10">
      <c r="A576" s="746"/>
      <c r="J576" s="746"/>
    </row>
    <row r="577" spans="1:10">
      <c r="A577" s="746"/>
      <c r="J577" s="746"/>
    </row>
    <row r="578" spans="1:10">
      <c r="A578" s="746"/>
      <c r="J578" s="746"/>
    </row>
    <row r="579" spans="1:10">
      <c r="A579" s="746"/>
      <c r="J579" s="746"/>
    </row>
    <row r="580" spans="1:10">
      <c r="A580" s="746"/>
      <c r="J580" s="746"/>
    </row>
    <row r="581" spans="1:10">
      <c r="A581" s="746"/>
      <c r="J581" s="746"/>
    </row>
    <row r="582" spans="1:10">
      <c r="A582" s="746"/>
      <c r="J582" s="746"/>
    </row>
    <row r="583" spans="1:10">
      <c r="A583" s="746"/>
      <c r="J583" s="746"/>
    </row>
    <row r="584" spans="1:10">
      <c r="A584" s="746"/>
      <c r="J584" s="746"/>
    </row>
    <row r="585" spans="1:10">
      <c r="A585" s="746"/>
      <c r="J585" s="746"/>
    </row>
    <row r="586" spans="1:10">
      <c r="A586" s="746"/>
      <c r="J586" s="746"/>
    </row>
    <row r="587" spans="1:10">
      <c r="A587" s="746"/>
      <c r="J587" s="746"/>
    </row>
    <row r="588" spans="1:10">
      <c r="A588" s="746"/>
      <c r="J588" s="746"/>
    </row>
    <row r="589" spans="1:10">
      <c r="A589" s="746"/>
      <c r="J589" s="746"/>
    </row>
    <row r="590" spans="1:10">
      <c r="A590" s="746"/>
      <c r="J590" s="746"/>
    </row>
    <row r="591" spans="1:10">
      <c r="A591" s="746"/>
      <c r="J591" s="746"/>
    </row>
    <row r="592" spans="1:10">
      <c r="A592" s="746"/>
      <c r="J592" s="746"/>
    </row>
    <row r="593" spans="1:10">
      <c r="A593" s="746"/>
      <c r="J593" s="746"/>
    </row>
    <row r="594" spans="1:10">
      <c r="A594" s="746"/>
      <c r="J594" s="746"/>
    </row>
    <row r="595" spans="1:10">
      <c r="A595" s="746"/>
      <c r="J595" s="746"/>
    </row>
    <row r="596" spans="1:10">
      <c r="A596" s="746"/>
      <c r="J596" s="746"/>
    </row>
    <row r="597" spans="1:10">
      <c r="A597" s="746"/>
      <c r="J597" s="746"/>
    </row>
    <row r="598" spans="1:10">
      <c r="A598" s="746"/>
      <c r="J598" s="746"/>
    </row>
    <row r="599" spans="1:10">
      <c r="A599" s="746"/>
      <c r="J599" s="746"/>
    </row>
    <row r="600" spans="1:10">
      <c r="A600" s="746"/>
      <c r="J600" s="746"/>
    </row>
    <row r="601" spans="1:10">
      <c r="A601" s="746"/>
      <c r="J601" s="746"/>
    </row>
    <row r="602" spans="1:10">
      <c r="A602" s="746"/>
      <c r="J602" s="746"/>
    </row>
    <row r="603" spans="1:10">
      <c r="A603" s="746"/>
      <c r="J603" s="746"/>
    </row>
    <row r="604" spans="1:10">
      <c r="A604" s="746"/>
      <c r="J604" s="746"/>
    </row>
    <row r="605" spans="1:10">
      <c r="A605" s="746"/>
      <c r="J605" s="746"/>
    </row>
    <row r="606" spans="1:10">
      <c r="A606" s="746"/>
      <c r="J606" s="746"/>
    </row>
    <row r="607" spans="1:10">
      <c r="A607" s="746"/>
      <c r="J607" s="746"/>
    </row>
    <row r="608" spans="1:10">
      <c r="A608" s="746"/>
      <c r="J608" s="746"/>
    </row>
    <row r="609" spans="1:10">
      <c r="A609" s="746"/>
      <c r="J609" s="746"/>
    </row>
    <row r="610" spans="1:10">
      <c r="A610" s="746"/>
      <c r="J610" s="746"/>
    </row>
    <row r="611" spans="1:10">
      <c r="A611" s="746"/>
      <c r="J611" s="746"/>
    </row>
    <row r="612" spans="1:10">
      <c r="A612" s="746"/>
      <c r="J612" s="746"/>
    </row>
    <row r="613" spans="1:10">
      <c r="A613" s="746"/>
      <c r="J613" s="746"/>
    </row>
    <row r="614" spans="1:10">
      <c r="A614" s="746"/>
      <c r="J614" s="746"/>
    </row>
    <row r="615" spans="1:10">
      <c r="A615" s="746"/>
      <c r="J615" s="746"/>
    </row>
    <row r="616" spans="1:10">
      <c r="A616" s="746"/>
      <c r="J616" s="746"/>
    </row>
    <row r="617" spans="1:10">
      <c r="A617" s="746"/>
      <c r="J617" s="746"/>
    </row>
    <row r="618" spans="1:10">
      <c r="A618" s="746"/>
      <c r="J618" s="746"/>
    </row>
    <row r="619" spans="1:10">
      <c r="A619" s="746"/>
      <c r="J619" s="746"/>
    </row>
    <row r="620" spans="1:10">
      <c r="A620" s="746"/>
      <c r="J620" s="746"/>
    </row>
    <row r="621" spans="1:10">
      <c r="A621" s="746"/>
      <c r="J621" s="746"/>
    </row>
    <row r="622" spans="1:10">
      <c r="A622" s="746"/>
      <c r="J622" s="746"/>
    </row>
    <row r="623" spans="1:10">
      <c r="A623" s="746"/>
      <c r="J623" s="746"/>
    </row>
    <row r="624" spans="1:10">
      <c r="A624" s="746"/>
      <c r="J624" s="746"/>
    </row>
    <row r="625" spans="1:10">
      <c r="A625" s="746"/>
      <c r="J625" s="746"/>
    </row>
    <row r="626" spans="1:10">
      <c r="A626" s="746"/>
      <c r="J626" s="746"/>
    </row>
    <row r="627" spans="1:10">
      <c r="A627" s="746"/>
      <c r="J627" s="746"/>
    </row>
    <row r="628" spans="1:10">
      <c r="A628" s="746"/>
      <c r="J628" s="746"/>
    </row>
    <row r="629" spans="1:10">
      <c r="A629" s="746"/>
      <c r="J629" s="746"/>
    </row>
    <row r="630" spans="1:10">
      <c r="A630" s="746"/>
      <c r="J630" s="746"/>
    </row>
    <row r="631" spans="1:10">
      <c r="A631" s="746"/>
      <c r="J631" s="746"/>
    </row>
    <row r="632" spans="1:10">
      <c r="A632" s="746"/>
      <c r="J632" s="746"/>
    </row>
    <row r="633" spans="1:10">
      <c r="A633" s="746"/>
      <c r="J633" s="746"/>
    </row>
    <row r="634" spans="1:10">
      <c r="A634" s="746"/>
      <c r="J634" s="746"/>
    </row>
    <row r="635" spans="1:10">
      <c r="A635" s="746"/>
      <c r="J635" s="746"/>
    </row>
    <row r="636" spans="1:10">
      <c r="A636" s="746"/>
      <c r="J636" s="746"/>
    </row>
    <row r="637" spans="1:10">
      <c r="A637" s="746"/>
      <c r="J637" s="746"/>
    </row>
    <row r="638" spans="1:10">
      <c r="A638" s="746"/>
      <c r="J638" s="746"/>
    </row>
    <row r="639" spans="1:10">
      <c r="A639" s="746"/>
      <c r="J639" s="746"/>
    </row>
    <row r="640" spans="1:10">
      <c r="A640" s="746"/>
      <c r="J640" s="746"/>
    </row>
    <row r="641" spans="1:10">
      <c r="A641" s="746"/>
      <c r="J641" s="746"/>
    </row>
    <row r="642" spans="1:10">
      <c r="A642" s="746"/>
      <c r="J642" s="746"/>
    </row>
    <row r="643" spans="1:10">
      <c r="A643" s="746"/>
      <c r="J643" s="746"/>
    </row>
    <row r="644" spans="1:10">
      <c r="A644" s="746"/>
      <c r="J644" s="746"/>
    </row>
    <row r="645" spans="1:10">
      <c r="A645" s="746"/>
      <c r="J645" s="746"/>
    </row>
    <row r="646" spans="1:10">
      <c r="A646" s="746"/>
      <c r="J646" s="746"/>
    </row>
    <row r="647" spans="1:10">
      <c r="A647" s="746"/>
      <c r="J647" s="746"/>
    </row>
    <row r="648" spans="1:10">
      <c r="A648" s="746"/>
      <c r="J648" s="746"/>
    </row>
    <row r="649" spans="1:10">
      <c r="A649" s="746"/>
      <c r="J649" s="746"/>
    </row>
    <row r="650" spans="1:10">
      <c r="A650" s="746"/>
      <c r="J650" s="746"/>
    </row>
    <row r="651" spans="1:10">
      <c r="A651" s="746"/>
      <c r="J651" s="746"/>
    </row>
    <row r="652" spans="1:10">
      <c r="A652" s="746"/>
      <c r="J652" s="746"/>
    </row>
    <row r="653" spans="1:10">
      <c r="A653" s="746"/>
      <c r="J653" s="746"/>
    </row>
    <row r="654" spans="1:10">
      <c r="A654" s="746"/>
      <c r="J654" s="746"/>
    </row>
    <row r="655" spans="1:10">
      <c r="A655" s="746"/>
      <c r="J655" s="746"/>
    </row>
    <row r="656" spans="1:10">
      <c r="A656" s="746"/>
      <c r="J656" s="746"/>
    </row>
    <row r="657" spans="1:10">
      <c r="A657" s="746"/>
      <c r="J657" s="746"/>
    </row>
    <row r="658" spans="1:10">
      <c r="A658" s="746"/>
      <c r="J658" s="746"/>
    </row>
    <row r="659" spans="1:10">
      <c r="A659" s="746"/>
      <c r="J659" s="746"/>
    </row>
    <row r="660" spans="1:10">
      <c r="A660" s="746"/>
      <c r="J660" s="746"/>
    </row>
    <row r="661" spans="1:10">
      <c r="A661" s="746"/>
      <c r="J661" s="746"/>
    </row>
    <row r="662" spans="1:10">
      <c r="A662" s="746"/>
      <c r="J662" s="746"/>
    </row>
    <row r="663" spans="1:10">
      <c r="A663" s="746"/>
      <c r="J663" s="746"/>
    </row>
    <row r="664" spans="1:10">
      <c r="A664" s="746"/>
      <c r="J664" s="746"/>
    </row>
    <row r="665" spans="1:10">
      <c r="A665" s="746"/>
      <c r="J665" s="746"/>
    </row>
    <row r="666" spans="1:10">
      <c r="A666" s="746"/>
      <c r="J666" s="746"/>
    </row>
    <row r="667" spans="1:10">
      <c r="A667" s="746"/>
      <c r="J667" s="746"/>
    </row>
    <row r="668" spans="1:10">
      <c r="A668" s="746"/>
      <c r="J668" s="746"/>
    </row>
    <row r="669" spans="1:10">
      <c r="A669" s="746"/>
      <c r="J669" s="746"/>
    </row>
    <row r="670" spans="1:10">
      <c r="A670" s="746"/>
      <c r="J670" s="746"/>
    </row>
    <row r="671" spans="1:10">
      <c r="A671" s="746"/>
      <c r="J671" s="746"/>
    </row>
    <row r="672" spans="1:10">
      <c r="A672" s="746"/>
      <c r="J672" s="746"/>
    </row>
    <row r="673" spans="1:10">
      <c r="A673" s="746"/>
      <c r="J673" s="746"/>
    </row>
    <row r="674" spans="1:10">
      <c r="A674" s="746"/>
      <c r="J674" s="746"/>
    </row>
    <row r="675" spans="1:10">
      <c r="A675" s="746"/>
      <c r="J675" s="746"/>
    </row>
    <row r="676" spans="1:10">
      <c r="A676" s="746"/>
      <c r="J676" s="746"/>
    </row>
    <row r="677" spans="1:10">
      <c r="A677" s="746"/>
      <c r="J677" s="746"/>
    </row>
    <row r="678" spans="1:10">
      <c r="A678" s="746"/>
      <c r="J678" s="746"/>
    </row>
    <row r="679" spans="1:10">
      <c r="A679" s="746"/>
      <c r="J679" s="746"/>
    </row>
    <row r="680" spans="1:10">
      <c r="A680" s="746"/>
      <c r="J680" s="746"/>
    </row>
    <row r="681" spans="1:10">
      <c r="A681" s="746"/>
      <c r="J681" s="746"/>
    </row>
    <row r="682" spans="1:10">
      <c r="A682" s="746"/>
      <c r="J682" s="746"/>
    </row>
    <row r="683" spans="1:10">
      <c r="A683" s="746"/>
      <c r="J683" s="746"/>
    </row>
    <row r="684" spans="1:10">
      <c r="A684" s="746"/>
      <c r="J684" s="746"/>
    </row>
    <row r="685" spans="1:10">
      <c r="A685" s="746"/>
      <c r="J685" s="746"/>
    </row>
    <row r="686" spans="1:10">
      <c r="A686" s="746"/>
      <c r="J686" s="746"/>
    </row>
    <row r="687" spans="1:10">
      <c r="A687" s="746"/>
      <c r="J687" s="746"/>
    </row>
    <row r="688" spans="1:10">
      <c r="A688" s="746"/>
      <c r="J688" s="746"/>
    </row>
    <row r="689" spans="1:10">
      <c r="A689" s="746"/>
      <c r="J689" s="746"/>
    </row>
    <row r="690" spans="1:10">
      <c r="A690" s="746"/>
      <c r="J690" s="746"/>
    </row>
    <row r="691" spans="1:10">
      <c r="A691" s="746"/>
      <c r="J691" s="746"/>
    </row>
    <row r="692" spans="1:10">
      <c r="A692" s="746"/>
      <c r="J692" s="746"/>
    </row>
    <row r="693" spans="1:10">
      <c r="A693" s="746"/>
      <c r="J693" s="746"/>
    </row>
    <row r="694" spans="1:10">
      <c r="A694" s="746"/>
      <c r="J694" s="746"/>
    </row>
    <row r="695" spans="1:10">
      <c r="A695" s="746"/>
      <c r="J695" s="746"/>
    </row>
    <row r="696" spans="1:10">
      <c r="A696" s="746"/>
      <c r="J696" s="746"/>
    </row>
    <row r="697" spans="1:10">
      <c r="A697" s="746"/>
      <c r="J697" s="746"/>
    </row>
    <row r="698" spans="1:10">
      <c r="A698" s="746"/>
      <c r="J698" s="746"/>
    </row>
    <row r="699" spans="1:10">
      <c r="A699" s="746"/>
      <c r="J699" s="746"/>
    </row>
    <row r="700" spans="1:10">
      <c r="A700" s="746"/>
      <c r="J700" s="746"/>
    </row>
    <row r="701" spans="1:10">
      <c r="A701" s="746"/>
      <c r="J701" s="746"/>
    </row>
    <row r="702" spans="1:10">
      <c r="A702" s="746"/>
      <c r="J702" s="746"/>
    </row>
    <row r="703" spans="1:10">
      <c r="A703" s="746"/>
      <c r="J703" s="746"/>
    </row>
    <row r="704" spans="1:10">
      <c r="A704" s="746"/>
      <c r="J704" s="746"/>
    </row>
    <row r="705" spans="1:10">
      <c r="A705" s="746"/>
      <c r="J705" s="746"/>
    </row>
    <row r="706" spans="1:10">
      <c r="A706" s="746"/>
      <c r="J706" s="746"/>
    </row>
    <row r="707" spans="1:10">
      <c r="A707" s="746"/>
      <c r="J707" s="746"/>
    </row>
    <row r="708" spans="1:10">
      <c r="A708" s="746"/>
      <c r="J708" s="746"/>
    </row>
    <row r="709" spans="1:10">
      <c r="A709" s="746"/>
      <c r="J709" s="746"/>
    </row>
    <row r="710" spans="1:10">
      <c r="A710" s="746"/>
      <c r="J710" s="746"/>
    </row>
    <row r="711" spans="1:10">
      <c r="A711" s="746"/>
      <c r="J711" s="746"/>
    </row>
    <row r="712" spans="1:10">
      <c r="A712" s="746"/>
      <c r="J712" s="746"/>
    </row>
    <row r="713" spans="1:10">
      <c r="A713" s="746"/>
      <c r="J713" s="746"/>
    </row>
    <row r="714" spans="1:10">
      <c r="A714" s="746"/>
      <c r="J714" s="746"/>
    </row>
    <row r="715" spans="1:10">
      <c r="A715" s="746"/>
      <c r="J715" s="746"/>
    </row>
    <row r="716" spans="1:10">
      <c r="A716" s="746"/>
      <c r="J716" s="746"/>
    </row>
    <row r="717" spans="1:10">
      <c r="A717" s="746"/>
      <c r="J717" s="746"/>
    </row>
    <row r="718" spans="1:10">
      <c r="A718" s="746"/>
      <c r="J718" s="746"/>
    </row>
    <row r="719" spans="1:10">
      <c r="A719" s="746"/>
      <c r="J719" s="746"/>
    </row>
    <row r="720" spans="1:10">
      <c r="A720" s="746"/>
      <c r="J720" s="746"/>
    </row>
    <row r="721" spans="1:10">
      <c r="A721" s="746"/>
      <c r="J721" s="746"/>
    </row>
    <row r="722" spans="1:10">
      <c r="A722" s="746"/>
      <c r="J722" s="746"/>
    </row>
    <row r="723" spans="1:10">
      <c r="A723" s="746"/>
      <c r="J723" s="746"/>
    </row>
    <row r="724" spans="1:10">
      <c r="A724" s="746"/>
      <c r="J724" s="746"/>
    </row>
    <row r="725" spans="1:10">
      <c r="A725" s="746"/>
      <c r="J725" s="746"/>
    </row>
    <row r="726" spans="1:10">
      <c r="A726" s="746"/>
      <c r="J726" s="746"/>
    </row>
    <row r="727" spans="1:10">
      <c r="A727" s="746"/>
      <c r="J727" s="746"/>
    </row>
    <row r="728" spans="1:10">
      <c r="A728" s="746"/>
      <c r="J728" s="746"/>
    </row>
    <row r="729" spans="1:10">
      <c r="A729" s="746"/>
      <c r="J729" s="746"/>
    </row>
    <row r="730" spans="1:10">
      <c r="A730" s="746"/>
      <c r="J730" s="746"/>
    </row>
    <row r="731" spans="1:10">
      <c r="A731" s="746"/>
      <c r="J731" s="746"/>
    </row>
    <row r="732" spans="1:10">
      <c r="A732" s="746"/>
      <c r="J732" s="746"/>
    </row>
    <row r="733" spans="1:10">
      <c r="A733" s="746"/>
      <c r="J733" s="746"/>
    </row>
    <row r="734" spans="1:10">
      <c r="A734" s="746"/>
      <c r="J734" s="746"/>
    </row>
    <row r="735" spans="1:10">
      <c r="A735" s="746"/>
      <c r="J735" s="746"/>
    </row>
    <row r="736" spans="1:10">
      <c r="A736" s="746"/>
      <c r="J736" s="746"/>
    </row>
    <row r="737" spans="1:10">
      <c r="A737" s="746"/>
      <c r="J737" s="746"/>
    </row>
    <row r="738" spans="1:10">
      <c r="A738" s="746"/>
      <c r="J738" s="746"/>
    </row>
    <row r="739" spans="1:10">
      <c r="A739" s="746"/>
      <c r="J739" s="746"/>
    </row>
    <row r="740" spans="1:10">
      <c r="A740" s="746"/>
      <c r="J740" s="746"/>
    </row>
    <row r="741" spans="1:10">
      <c r="A741" s="746"/>
      <c r="J741" s="746"/>
    </row>
    <row r="742" spans="1:10">
      <c r="A742" s="746"/>
      <c r="J742" s="746"/>
    </row>
    <row r="743" spans="1:10">
      <c r="A743" s="746"/>
      <c r="J743" s="746"/>
    </row>
    <row r="744" spans="1:10">
      <c r="A744" s="746"/>
      <c r="J744" s="746"/>
    </row>
    <row r="745" spans="1:10">
      <c r="A745" s="746"/>
      <c r="J745" s="746"/>
    </row>
    <row r="746" spans="1:10">
      <c r="A746" s="746"/>
      <c r="J746" s="746"/>
    </row>
    <row r="747" spans="1:10">
      <c r="A747" s="746"/>
      <c r="J747" s="746"/>
    </row>
    <row r="748" spans="1:10">
      <c r="A748" s="746"/>
      <c r="J748" s="746"/>
    </row>
    <row r="749" spans="1:10">
      <c r="A749" s="746"/>
      <c r="J749" s="746"/>
    </row>
    <row r="750" spans="1:10">
      <c r="A750" s="746"/>
      <c r="J750" s="746"/>
    </row>
    <row r="751" spans="1:10">
      <c r="A751" s="746"/>
      <c r="J751" s="746"/>
    </row>
    <row r="752" spans="1:10">
      <c r="A752" s="746"/>
      <c r="J752" s="746"/>
    </row>
    <row r="753" spans="1:10">
      <c r="A753" s="746"/>
      <c r="J753" s="746"/>
    </row>
    <row r="754" spans="1:10">
      <c r="A754" s="746"/>
      <c r="J754" s="746"/>
    </row>
    <row r="755" spans="1:10">
      <c r="A755" s="746"/>
      <c r="J755" s="746"/>
    </row>
    <row r="756" spans="1:10">
      <c r="A756" s="746"/>
      <c r="J756" s="746"/>
    </row>
    <row r="757" spans="1:10">
      <c r="A757" s="746"/>
      <c r="J757" s="746"/>
    </row>
    <row r="758" spans="1:10">
      <c r="A758" s="746"/>
      <c r="J758" s="746"/>
    </row>
    <row r="759" spans="1:10">
      <c r="A759" s="746"/>
      <c r="J759" s="746"/>
    </row>
    <row r="760" spans="1:10">
      <c r="A760" s="746"/>
      <c r="J760" s="746"/>
    </row>
    <row r="761" spans="1:10">
      <c r="A761" s="746"/>
      <c r="J761" s="746"/>
    </row>
    <row r="762" spans="1:10">
      <c r="A762" s="746"/>
      <c r="J762" s="746"/>
    </row>
    <row r="763" spans="1:10">
      <c r="A763" s="746"/>
      <c r="J763" s="746"/>
    </row>
    <row r="764" spans="1:10">
      <c r="A764" s="746"/>
      <c r="J764" s="746"/>
    </row>
    <row r="765" spans="1:10">
      <c r="A765" s="746"/>
      <c r="J765" s="746"/>
    </row>
    <row r="766" spans="1:10">
      <c r="A766" s="746"/>
      <c r="J766" s="746"/>
    </row>
    <row r="767" spans="1:10">
      <c r="A767" s="746"/>
      <c r="J767" s="746"/>
    </row>
    <row r="768" spans="1:10">
      <c r="A768" s="746"/>
      <c r="J768" s="746"/>
    </row>
    <row r="769" spans="1:10">
      <c r="A769" s="746"/>
      <c r="J769" s="746"/>
    </row>
    <row r="770" spans="1:10">
      <c r="A770" s="746"/>
      <c r="J770" s="746"/>
    </row>
    <row r="771" spans="1:10">
      <c r="A771" s="746"/>
      <c r="J771" s="746"/>
    </row>
    <row r="772" spans="1:10">
      <c r="A772" s="746"/>
      <c r="J772" s="746"/>
    </row>
    <row r="773" spans="1:10">
      <c r="A773" s="746"/>
      <c r="J773" s="746"/>
    </row>
    <row r="774" spans="1:10">
      <c r="A774" s="746"/>
      <c r="J774" s="746"/>
    </row>
    <row r="775" spans="1:10">
      <c r="A775" s="746"/>
      <c r="J775" s="746"/>
    </row>
    <row r="776" spans="1:10">
      <c r="A776" s="746"/>
      <c r="J776" s="746"/>
    </row>
    <row r="777" spans="1:10">
      <c r="A777" s="746"/>
      <c r="J777" s="746"/>
    </row>
    <row r="778" spans="1:10">
      <c r="A778" s="746"/>
      <c r="J778" s="746"/>
    </row>
    <row r="779" spans="1:10">
      <c r="A779" s="746"/>
      <c r="J779" s="746"/>
    </row>
    <row r="780" spans="1:10">
      <c r="A780" s="746"/>
      <c r="J780" s="746"/>
    </row>
    <row r="781" spans="1:10">
      <c r="A781" s="746"/>
      <c r="J781" s="746"/>
    </row>
    <row r="782" spans="1:10">
      <c r="A782" s="746"/>
      <c r="J782" s="746"/>
    </row>
    <row r="783" spans="1:10">
      <c r="A783" s="746"/>
      <c r="J783" s="746"/>
    </row>
    <row r="784" spans="1:10">
      <c r="A784" s="746"/>
      <c r="J784" s="746"/>
    </row>
    <row r="785" spans="1:10">
      <c r="A785" s="746"/>
      <c r="J785" s="746"/>
    </row>
    <row r="786" spans="1:10">
      <c r="A786" s="746"/>
      <c r="J786" s="746"/>
    </row>
    <row r="787" spans="1:10">
      <c r="A787" s="746"/>
      <c r="J787" s="746"/>
    </row>
    <row r="788" spans="1:10">
      <c r="A788" s="746"/>
      <c r="J788" s="746"/>
    </row>
    <row r="789" spans="1:10">
      <c r="A789" s="746"/>
      <c r="J789" s="746"/>
    </row>
    <row r="790" spans="1:10">
      <c r="A790" s="746"/>
      <c r="J790" s="746"/>
    </row>
    <row r="791" spans="1:10">
      <c r="A791" s="746"/>
      <c r="J791" s="746"/>
    </row>
    <row r="792" spans="1:10">
      <c r="A792" s="746"/>
      <c r="J792" s="746"/>
    </row>
    <row r="793" spans="1:10">
      <c r="A793" s="746"/>
      <c r="J793" s="746"/>
    </row>
    <row r="794" spans="1:10">
      <c r="A794" s="746"/>
      <c r="J794" s="746"/>
    </row>
    <row r="795" spans="1:10">
      <c r="A795" s="746"/>
      <c r="J795" s="746"/>
    </row>
    <row r="796" spans="1:10">
      <c r="A796" s="746"/>
      <c r="J796" s="746"/>
    </row>
    <row r="797" spans="1:10">
      <c r="A797" s="746"/>
      <c r="J797" s="746"/>
    </row>
    <row r="798" spans="1:10">
      <c r="A798" s="746"/>
      <c r="J798" s="746"/>
    </row>
    <row r="799" spans="1:10">
      <c r="A799" s="746"/>
      <c r="J799" s="746"/>
    </row>
    <row r="800" spans="1:10">
      <c r="A800" s="746"/>
      <c r="J800" s="746"/>
    </row>
    <row r="801" spans="1:10">
      <c r="A801" s="746"/>
      <c r="J801" s="746"/>
    </row>
    <row r="802" spans="1:10">
      <c r="A802" s="746"/>
      <c r="J802" s="746"/>
    </row>
    <row r="803" spans="1:10">
      <c r="A803" s="746"/>
      <c r="J803" s="746"/>
    </row>
    <row r="804" spans="1:10">
      <c r="A804" s="746"/>
      <c r="J804" s="746"/>
    </row>
    <row r="805" spans="1:10">
      <c r="A805" s="746"/>
      <c r="J805" s="746"/>
    </row>
    <row r="806" spans="1:10">
      <c r="A806" s="746"/>
      <c r="J806" s="746"/>
    </row>
    <row r="807" spans="1:10">
      <c r="A807" s="746"/>
      <c r="J807" s="746"/>
    </row>
    <row r="808" spans="1:10">
      <c r="A808" s="746"/>
      <c r="J808" s="746"/>
    </row>
    <row r="809" spans="1:10">
      <c r="A809" s="746"/>
      <c r="J809" s="746"/>
    </row>
    <row r="810" spans="1:10">
      <c r="A810" s="746"/>
      <c r="J810" s="746"/>
    </row>
    <row r="811" spans="1:10">
      <c r="A811" s="746"/>
      <c r="J811" s="746"/>
    </row>
    <row r="812" spans="1:10">
      <c r="A812" s="746"/>
      <c r="J812" s="746"/>
    </row>
    <row r="813" spans="1:10">
      <c r="A813" s="746"/>
      <c r="J813" s="746"/>
    </row>
    <row r="814" spans="1:10">
      <c r="A814" s="746"/>
      <c r="J814" s="746"/>
    </row>
    <row r="815" spans="1:10">
      <c r="A815" s="746"/>
      <c r="J815" s="746"/>
    </row>
    <row r="816" spans="1:10">
      <c r="A816" s="746"/>
      <c r="J816" s="746"/>
    </row>
    <row r="817" spans="1:10">
      <c r="A817" s="746"/>
      <c r="J817" s="746"/>
    </row>
    <row r="818" spans="1:10">
      <c r="A818" s="746"/>
      <c r="J818" s="746"/>
    </row>
    <row r="819" spans="1:10">
      <c r="A819" s="746"/>
      <c r="J819" s="746"/>
    </row>
    <row r="820" spans="1:10">
      <c r="A820" s="746"/>
      <c r="J820" s="746"/>
    </row>
    <row r="821" spans="1:10">
      <c r="A821" s="746"/>
      <c r="J821" s="746"/>
    </row>
    <row r="822" spans="1:10">
      <c r="A822" s="746"/>
      <c r="J822" s="746"/>
    </row>
    <row r="823" spans="1:10">
      <c r="A823" s="746"/>
      <c r="J823" s="746"/>
    </row>
    <row r="824" spans="1:10">
      <c r="A824" s="746"/>
      <c r="J824" s="746"/>
    </row>
    <row r="825" spans="1:10">
      <c r="A825" s="746"/>
      <c r="J825" s="746"/>
    </row>
    <row r="826" spans="1:10">
      <c r="A826" s="746"/>
      <c r="J826" s="746"/>
    </row>
    <row r="827" spans="1:10">
      <c r="A827" s="746"/>
      <c r="J827" s="746"/>
    </row>
    <row r="828" spans="1:10">
      <c r="A828" s="746"/>
      <c r="J828" s="746"/>
    </row>
    <row r="829" spans="1:10">
      <c r="A829" s="746"/>
      <c r="J829" s="746"/>
    </row>
    <row r="830" spans="1:10">
      <c r="A830" s="746"/>
      <c r="J830" s="746"/>
    </row>
    <row r="831" spans="1:10">
      <c r="A831" s="746"/>
      <c r="J831" s="746"/>
    </row>
    <row r="832" spans="1:10">
      <c r="A832" s="746"/>
      <c r="J832" s="746"/>
    </row>
    <row r="833" spans="1:10">
      <c r="A833" s="746"/>
      <c r="J833" s="746"/>
    </row>
    <row r="834" spans="1:10">
      <c r="A834" s="746"/>
      <c r="J834" s="746"/>
    </row>
    <row r="835" spans="1:10">
      <c r="A835" s="746"/>
      <c r="J835" s="746"/>
    </row>
    <row r="836" spans="1:10">
      <c r="A836" s="746"/>
      <c r="J836" s="746"/>
    </row>
    <row r="837" spans="1:10">
      <c r="A837" s="746"/>
      <c r="J837" s="746"/>
    </row>
    <row r="838" spans="1:10">
      <c r="A838" s="746"/>
      <c r="J838" s="746"/>
    </row>
    <row r="839" spans="1:10">
      <c r="A839" s="746"/>
      <c r="J839" s="746"/>
    </row>
    <row r="840" spans="1:10">
      <c r="A840" s="746"/>
      <c r="J840" s="746"/>
    </row>
    <row r="841" spans="1:10">
      <c r="A841" s="746"/>
      <c r="J841" s="746"/>
    </row>
    <row r="842" spans="1:10">
      <c r="A842" s="746"/>
      <c r="J842" s="746"/>
    </row>
    <row r="843" spans="1:10">
      <c r="A843" s="746"/>
      <c r="J843" s="746"/>
    </row>
    <row r="844" spans="1:10">
      <c r="A844" s="746"/>
      <c r="J844" s="746"/>
    </row>
    <row r="845" spans="1:10">
      <c r="A845" s="746"/>
      <c r="J845" s="746"/>
    </row>
    <row r="846" spans="1:10">
      <c r="A846" s="746"/>
      <c r="J846" s="746"/>
    </row>
    <row r="847" spans="1:10">
      <c r="A847" s="746"/>
      <c r="J847" s="746"/>
    </row>
    <row r="848" spans="1:10">
      <c r="A848" s="746"/>
      <c r="J848" s="746"/>
    </row>
    <row r="849" spans="1:10">
      <c r="A849" s="746"/>
      <c r="J849" s="746"/>
    </row>
    <row r="850" spans="1:10">
      <c r="A850" s="746"/>
      <c r="J850" s="746"/>
    </row>
    <row r="851" spans="1:10">
      <c r="A851" s="746"/>
      <c r="J851" s="746"/>
    </row>
    <row r="852" spans="1:10">
      <c r="A852" s="746"/>
      <c r="J852" s="746"/>
    </row>
    <row r="853" spans="1:10">
      <c r="A853" s="746"/>
      <c r="J853" s="746"/>
    </row>
    <row r="854" spans="1:10">
      <c r="A854" s="746"/>
      <c r="J854" s="746"/>
    </row>
    <row r="855" spans="1:10">
      <c r="A855" s="746"/>
      <c r="J855" s="746"/>
    </row>
    <row r="856" spans="1:10">
      <c r="A856" s="746"/>
      <c r="J856" s="746"/>
    </row>
    <row r="857" spans="1:10">
      <c r="A857" s="746"/>
      <c r="J857" s="746"/>
    </row>
    <row r="858" spans="1:10">
      <c r="A858" s="746"/>
      <c r="J858" s="746"/>
    </row>
    <row r="859" spans="1:10">
      <c r="A859" s="746"/>
      <c r="J859" s="746"/>
    </row>
    <row r="860" spans="1:10">
      <c r="A860" s="746"/>
      <c r="J860" s="746"/>
    </row>
    <row r="861" spans="1:10">
      <c r="A861" s="746"/>
      <c r="J861" s="746"/>
    </row>
    <row r="862" spans="1:10">
      <c r="A862" s="746"/>
      <c r="J862" s="746"/>
    </row>
    <row r="863" spans="1:10">
      <c r="A863" s="746"/>
      <c r="J863" s="746"/>
    </row>
    <row r="864" spans="1:10">
      <c r="A864" s="746"/>
      <c r="J864" s="746"/>
    </row>
    <row r="865" spans="1:10">
      <c r="A865" s="746"/>
      <c r="J865" s="746"/>
    </row>
    <row r="866" spans="1:10">
      <c r="A866" s="746"/>
      <c r="J866" s="746"/>
    </row>
    <row r="867" spans="1:10">
      <c r="A867" s="746"/>
      <c r="J867" s="746"/>
    </row>
    <row r="868" spans="1:10">
      <c r="A868" s="746"/>
      <c r="J868" s="746"/>
    </row>
    <row r="869" spans="1:10">
      <c r="A869" s="746"/>
      <c r="J869" s="746"/>
    </row>
    <row r="870" spans="1:10">
      <c r="A870" s="746"/>
      <c r="J870" s="746"/>
    </row>
    <row r="871" spans="1:10">
      <c r="A871" s="746"/>
      <c r="J871" s="746"/>
    </row>
    <row r="872" spans="1:10">
      <c r="A872" s="746"/>
      <c r="J872" s="746"/>
    </row>
    <row r="873" spans="1:10">
      <c r="A873" s="746"/>
      <c r="J873" s="746"/>
    </row>
    <row r="874" spans="1:10">
      <c r="A874" s="746"/>
      <c r="J874" s="746"/>
    </row>
    <row r="875" spans="1:10">
      <c r="A875" s="746"/>
      <c r="J875" s="746"/>
    </row>
    <row r="876" spans="1:10">
      <c r="A876" s="746"/>
      <c r="J876" s="746"/>
    </row>
    <row r="877" spans="1:10">
      <c r="A877" s="746"/>
      <c r="J877" s="746"/>
    </row>
    <row r="878" spans="1:10">
      <c r="A878" s="746"/>
      <c r="J878" s="746"/>
    </row>
    <row r="879" spans="1:10">
      <c r="A879" s="746"/>
      <c r="J879" s="746"/>
    </row>
    <row r="880" spans="1:10">
      <c r="A880" s="746"/>
      <c r="J880" s="746"/>
    </row>
    <row r="881" spans="1:10">
      <c r="A881" s="746"/>
      <c r="J881" s="746"/>
    </row>
    <row r="882" spans="1:10">
      <c r="A882" s="746"/>
      <c r="J882" s="746"/>
    </row>
    <row r="883" spans="1:10">
      <c r="A883" s="746"/>
      <c r="J883" s="746"/>
    </row>
    <row r="884" spans="1:10">
      <c r="A884" s="746"/>
      <c r="J884" s="746"/>
    </row>
    <row r="885" spans="1:10">
      <c r="A885" s="746"/>
      <c r="J885" s="746"/>
    </row>
    <row r="886" spans="1:10">
      <c r="A886" s="746"/>
      <c r="J886" s="746"/>
    </row>
    <row r="887" spans="1:10">
      <c r="A887" s="746"/>
      <c r="J887" s="746"/>
    </row>
    <row r="888" spans="1:10">
      <c r="A888" s="746"/>
      <c r="J888" s="746"/>
    </row>
    <row r="889" spans="1:10">
      <c r="A889" s="746"/>
      <c r="J889" s="746"/>
    </row>
    <row r="890" spans="1:10">
      <c r="A890" s="746"/>
      <c r="J890" s="746"/>
    </row>
    <row r="891" spans="1:10">
      <c r="A891" s="746"/>
      <c r="J891" s="746"/>
    </row>
    <row r="892" spans="1:10">
      <c r="A892" s="746"/>
      <c r="J892" s="746"/>
    </row>
    <row r="893" spans="1:10">
      <c r="A893" s="746"/>
      <c r="J893" s="746"/>
    </row>
    <row r="894" spans="1:10">
      <c r="A894" s="746"/>
      <c r="J894" s="746"/>
    </row>
    <row r="895" spans="1:10">
      <c r="A895" s="746"/>
      <c r="J895" s="746"/>
    </row>
    <row r="896" spans="1:10">
      <c r="A896" s="746"/>
      <c r="J896" s="746"/>
    </row>
    <row r="897" spans="1:10">
      <c r="A897" s="746"/>
      <c r="J897" s="746"/>
    </row>
    <row r="898" spans="1:10">
      <c r="A898" s="746"/>
      <c r="J898" s="746"/>
    </row>
    <row r="899" spans="1:10">
      <c r="A899" s="746"/>
      <c r="J899" s="746"/>
    </row>
    <row r="900" spans="1:10">
      <c r="A900" s="746"/>
      <c r="J900" s="746"/>
    </row>
    <row r="901" spans="1:10">
      <c r="A901" s="746"/>
      <c r="J901" s="746"/>
    </row>
    <row r="902" spans="1:10">
      <c r="A902" s="746"/>
      <c r="J902" s="746"/>
    </row>
    <row r="903" spans="1:10">
      <c r="A903" s="746"/>
      <c r="J903" s="746"/>
    </row>
    <row r="904" spans="1:10">
      <c r="A904" s="746"/>
      <c r="J904" s="746"/>
    </row>
    <row r="905" spans="1:10">
      <c r="A905" s="746"/>
      <c r="J905" s="746"/>
    </row>
    <row r="906" spans="1:10">
      <c r="A906" s="746"/>
      <c r="J906" s="746"/>
    </row>
    <row r="907" spans="1:10">
      <c r="A907" s="746"/>
      <c r="J907" s="746"/>
    </row>
    <row r="908" spans="1:10">
      <c r="A908" s="746"/>
      <c r="J908" s="746"/>
    </row>
    <row r="909" spans="1:10">
      <c r="A909" s="746"/>
      <c r="J909" s="746"/>
    </row>
    <row r="910" spans="1:10">
      <c r="A910" s="746"/>
      <c r="J910" s="746"/>
    </row>
    <row r="911" spans="1:10">
      <c r="A911" s="746"/>
      <c r="J911" s="746"/>
    </row>
    <row r="912" spans="1:10">
      <c r="A912" s="746"/>
      <c r="J912" s="746"/>
    </row>
    <row r="913" spans="1:10">
      <c r="A913" s="746"/>
      <c r="J913" s="746"/>
    </row>
    <row r="914" spans="1:10">
      <c r="A914" s="746"/>
      <c r="J914" s="746"/>
    </row>
    <row r="915" spans="1:10">
      <c r="A915" s="746"/>
      <c r="J915" s="746"/>
    </row>
    <row r="916" spans="1:10">
      <c r="A916" s="746"/>
      <c r="J916" s="746"/>
    </row>
    <row r="917" spans="1:10">
      <c r="A917" s="746"/>
      <c r="J917" s="746"/>
    </row>
    <row r="918" spans="1:10">
      <c r="A918" s="746"/>
      <c r="J918" s="746"/>
    </row>
    <row r="919" spans="1:10">
      <c r="A919" s="746"/>
      <c r="J919" s="746"/>
    </row>
    <row r="920" spans="1:10">
      <c r="A920" s="746"/>
      <c r="J920" s="746"/>
    </row>
    <row r="921" spans="1:10">
      <c r="A921" s="746"/>
      <c r="J921" s="746"/>
    </row>
    <row r="922" spans="1:10">
      <c r="A922" s="746"/>
      <c r="J922" s="746"/>
    </row>
    <row r="923" spans="1:10">
      <c r="A923" s="746"/>
      <c r="J923" s="746"/>
    </row>
    <row r="924" spans="1:10">
      <c r="A924" s="746"/>
      <c r="J924" s="746"/>
    </row>
    <row r="925" spans="1:10">
      <c r="A925" s="746"/>
      <c r="J925" s="746"/>
    </row>
    <row r="926" spans="1:10">
      <c r="A926" s="746"/>
      <c r="J926" s="746"/>
    </row>
    <row r="927" spans="1:10">
      <c r="A927" s="746"/>
      <c r="J927" s="746"/>
    </row>
    <row r="928" spans="1:10">
      <c r="A928" s="746"/>
      <c r="J928" s="746"/>
    </row>
    <row r="929" spans="1:10">
      <c r="A929" s="746"/>
      <c r="J929" s="746"/>
    </row>
    <row r="930" spans="1:10">
      <c r="A930" s="746"/>
      <c r="J930" s="746"/>
    </row>
    <row r="931" spans="1:10">
      <c r="A931" s="746"/>
      <c r="J931" s="746"/>
    </row>
    <row r="932" spans="1:10">
      <c r="A932" s="746"/>
      <c r="J932" s="746"/>
    </row>
    <row r="933" spans="1:10">
      <c r="A933" s="746"/>
      <c r="J933" s="746"/>
    </row>
    <row r="934" spans="1:10">
      <c r="A934" s="746"/>
      <c r="J934" s="746"/>
    </row>
    <row r="935" spans="1:10">
      <c r="A935" s="746"/>
      <c r="J935" s="746"/>
    </row>
    <row r="936" spans="1:10">
      <c r="A936" s="746"/>
      <c r="J936" s="746"/>
    </row>
    <row r="937" spans="1:10">
      <c r="A937" s="746"/>
      <c r="J937" s="746"/>
    </row>
    <row r="938" spans="1:10">
      <c r="A938" s="746"/>
      <c r="J938" s="746"/>
    </row>
    <row r="939" spans="1:10">
      <c r="A939" s="746"/>
      <c r="J939" s="746"/>
    </row>
    <row r="940" spans="1:10">
      <c r="A940" s="746"/>
      <c r="J940" s="746"/>
    </row>
    <row r="941" spans="1:10">
      <c r="A941" s="746"/>
      <c r="J941" s="746"/>
    </row>
    <row r="942" spans="1:10">
      <c r="A942" s="746"/>
      <c r="J942" s="746"/>
    </row>
    <row r="943" spans="1:10">
      <c r="A943" s="746"/>
      <c r="J943" s="746"/>
    </row>
    <row r="944" spans="1:10">
      <c r="A944" s="746"/>
      <c r="J944" s="746"/>
    </row>
    <row r="945" spans="1:10">
      <c r="A945" s="746"/>
      <c r="J945" s="746"/>
    </row>
    <row r="946" spans="1:10">
      <c r="A946" s="746"/>
      <c r="J946" s="746"/>
    </row>
    <row r="947" spans="1:10">
      <c r="A947" s="746"/>
      <c r="J947" s="746"/>
    </row>
    <row r="948" spans="1:10">
      <c r="A948" s="746"/>
      <c r="J948" s="746"/>
    </row>
    <row r="949" spans="1:10">
      <c r="A949" s="746"/>
      <c r="J949" s="746"/>
    </row>
    <row r="950" spans="1:10">
      <c r="A950" s="746"/>
      <c r="J950" s="746"/>
    </row>
    <row r="951" spans="1:10">
      <c r="A951" s="746"/>
      <c r="J951" s="746"/>
    </row>
    <row r="952" spans="1:10">
      <c r="A952" s="746"/>
      <c r="J952" s="746"/>
    </row>
    <row r="953" spans="1:10">
      <c r="A953" s="746"/>
      <c r="J953" s="746"/>
    </row>
    <row r="954" spans="1:10">
      <c r="A954" s="746"/>
      <c r="J954" s="746"/>
    </row>
    <row r="955" spans="1:10">
      <c r="A955" s="746"/>
      <c r="J955" s="746"/>
    </row>
    <row r="956" spans="1:10">
      <c r="A956" s="746"/>
      <c r="J956" s="746"/>
    </row>
    <row r="957" spans="1:10">
      <c r="A957" s="746"/>
      <c r="J957" s="746"/>
    </row>
    <row r="958" spans="1:10">
      <c r="A958" s="746"/>
      <c r="J958" s="746"/>
    </row>
    <row r="959" spans="1:10">
      <c r="A959" s="746"/>
      <c r="J959" s="746"/>
    </row>
    <row r="960" spans="1:10">
      <c r="A960" s="746"/>
      <c r="J960" s="746"/>
    </row>
    <row r="961" spans="1:10">
      <c r="A961" s="746"/>
      <c r="J961" s="746"/>
    </row>
    <row r="962" spans="1:10">
      <c r="A962" s="746"/>
      <c r="J962" s="746"/>
    </row>
    <row r="963" spans="1:10">
      <c r="A963" s="746"/>
      <c r="J963" s="746"/>
    </row>
    <row r="964" spans="1:10">
      <c r="A964" s="746"/>
      <c r="J964" s="746"/>
    </row>
    <row r="965" spans="1:10">
      <c r="A965" s="746"/>
      <c r="J965" s="746"/>
    </row>
    <row r="966" spans="1:10">
      <c r="A966" s="746"/>
      <c r="J966" s="746"/>
    </row>
    <row r="967" spans="1:10">
      <c r="A967" s="746"/>
      <c r="J967" s="746"/>
    </row>
    <row r="968" spans="1:10">
      <c r="A968" s="746"/>
      <c r="J968" s="746"/>
    </row>
    <row r="969" spans="1:10">
      <c r="A969" s="746"/>
      <c r="J969" s="746"/>
    </row>
    <row r="970" spans="1:10">
      <c r="A970" s="746"/>
      <c r="J970" s="746"/>
    </row>
    <row r="971" spans="1:10">
      <c r="A971" s="746"/>
      <c r="J971" s="746"/>
    </row>
    <row r="972" spans="1:10">
      <c r="A972" s="746"/>
      <c r="J972" s="746"/>
    </row>
    <row r="973" spans="1:10">
      <c r="A973" s="746"/>
      <c r="J973" s="746"/>
    </row>
    <row r="974" spans="1:10">
      <c r="A974" s="746"/>
      <c r="J974" s="746"/>
    </row>
    <row r="975" spans="1:10">
      <c r="A975" s="746"/>
      <c r="J975" s="746"/>
    </row>
    <row r="976" spans="1:10">
      <c r="A976" s="746"/>
      <c r="J976" s="746"/>
    </row>
    <row r="977" spans="1:10">
      <c r="A977" s="746"/>
      <c r="J977" s="746"/>
    </row>
    <row r="978" spans="1:10">
      <c r="A978" s="746"/>
      <c r="J978" s="746"/>
    </row>
    <row r="979" spans="1:10">
      <c r="A979" s="746"/>
      <c r="J979" s="746"/>
    </row>
    <row r="980" spans="1:10">
      <c r="A980" s="746"/>
      <c r="J980" s="746"/>
    </row>
    <row r="981" spans="1:10">
      <c r="A981" s="746"/>
      <c r="J981" s="746"/>
    </row>
    <row r="982" spans="1:10">
      <c r="A982" s="746"/>
      <c r="J982" s="746"/>
    </row>
    <row r="983" spans="1:10">
      <c r="A983" s="746"/>
      <c r="J983" s="746"/>
    </row>
    <row r="984" spans="1:10">
      <c r="A984" s="746"/>
      <c r="J984" s="746"/>
    </row>
    <row r="985" spans="1:10">
      <c r="A985" s="746"/>
      <c r="J985" s="746"/>
    </row>
    <row r="986" spans="1:10">
      <c r="A986" s="746"/>
      <c r="J986" s="746"/>
    </row>
    <row r="987" spans="1:10">
      <c r="A987" s="746"/>
      <c r="J987" s="746"/>
    </row>
    <row r="988" spans="1:10">
      <c r="A988" s="746"/>
      <c r="J988" s="746"/>
    </row>
    <row r="989" spans="1:10">
      <c r="A989" s="746"/>
      <c r="J989" s="746"/>
    </row>
    <row r="990" spans="1:10">
      <c r="A990" s="746"/>
      <c r="J990" s="746"/>
    </row>
    <row r="991" spans="1:10">
      <c r="A991" s="746"/>
      <c r="J991" s="746"/>
    </row>
    <row r="992" spans="1:10">
      <c r="A992" s="746"/>
      <c r="J992" s="746"/>
    </row>
    <row r="993" spans="1:10">
      <c r="A993" s="746"/>
      <c r="J993" s="746"/>
    </row>
    <row r="994" spans="1:10">
      <c r="A994" s="746"/>
      <c r="J994" s="746"/>
    </row>
    <row r="995" spans="1:10">
      <c r="A995" s="746"/>
      <c r="J995" s="746"/>
    </row>
    <row r="996" spans="1:10">
      <c r="A996" s="746"/>
      <c r="J996" s="746"/>
    </row>
    <row r="997" spans="1:10">
      <c r="A997" s="746"/>
      <c r="J997" s="746"/>
    </row>
    <row r="998" spans="1:10">
      <c r="A998" s="746"/>
      <c r="J998" s="746"/>
    </row>
    <row r="999" spans="1:10">
      <c r="A999" s="746"/>
      <c r="J999" s="746"/>
    </row>
    <row r="1000" spans="1:10">
      <c r="A1000" s="746"/>
      <c r="J1000" s="746"/>
    </row>
    <row r="1001" spans="1:10">
      <c r="A1001" s="746"/>
      <c r="J1001" s="746"/>
    </row>
    <row r="1002" spans="1:10">
      <c r="A1002" s="746"/>
      <c r="J1002" s="746"/>
    </row>
    <row r="1003" spans="1:10">
      <c r="A1003" s="746"/>
      <c r="J1003" s="746"/>
    </row>
    <row r="1004" spans="1:10">
      <c r="A1004" s="746"/>
      <c r="J1004" s="746"/>
    </row>
    <row r="1005" spans="1:10">
      <c r="A1005" s="746"/>
      <c r="J1005" s="746"/>
    </row>
  </sheetData>
  <mergeCells count="20">
    <mergeCell ref="D44:H45"/>
    <mergeCell ref="A106:A107"/>
    <mergeCell ref="A129:A130"/>
    <mergeCell ref="A5:J5"/>
    <mergeCell ref="A7:J7"/>
    <mergeCell ref="J8:J10"/>
    <mergeCell ref="B8:B9"/>
    <mergeCell ref="A43:J43"/>
    <mergeCell ref="J44:J46"/>
    <mergeCell ref="B44:B45"/>
    <mergeCell ref="I8:I10"/>
    <mergeCell ref="I44:I46"/>
    <mergeCell ref="C8:C9"/>
    <mergeCell ref="D8:H9"/>
    <mergeCell ref="C44:C45"/>
    <mergeCell ref="M11:N11"/>
    <mergeCell ref="K8:K10"/>
    <mergeCell ref="K27:K35"/>
    <mergeCell ref="K44:K46"/>
    <mergeCell ref="K62:K6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14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BM533"/>
  <sheetViews>
    <sheetView showGridLines="0" view="pageBreakPreview" zoomScaleSheetLayoutView="100" workbookViewId="0">
      <pane xSplit="3" ySplit="7" topLeftCell="D76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G142" sqref="G142:G151"/>
    </sheetView>
  </sheetViews>
  <sheetFormatPr defaultColWidth="9.140625" defaultRowHeight="12" outlineLevelRow="1"/>
  <cols>
    <col min="1" max="1" width="3.7109375" style="376" customWidth="1"/>
    <col min="2" max="2" width="59" style="260" customWidth="1"/>
    <col min="3" max="3" width="11.42578125" style="260" customWidth="1"/>
    <col min="4" max="4" width="14.5703125" style="260" customWidth="1"/>
    <col min="5" max="5" width="12.5703125" style="260" customWidth="1"/>
    <col min="6" max="10" width="10.85546875" style="260" customWidth="1"/>
    <col min="11" max="11" width="10.5703125" style="260" customWidth="1"/>
    <col min="12" max="12" width="10.85546875" style="260" hidden="1" customWidth="1"/>
    <col min="13" max="13" width="11.42578125" style="260" customWidth="1"/>
    <col min="14" max="14" width="16.85546875" style="380" customWidth="1"/>
    <col min="15" max="15" width="15.140625" style="260" hidden="1" customWidth="1"/>
    <col min="16" max="16" width="11.7109375" style="260" hidden="1" customWidth="1"/>
    <col min="17" max="17" width="0" style="260" hidden="1" customWidth="1"/>
    <col min="18" max="16384" width="9.140625" style="260"/>
  </cols>
  <sheetData>
    <row r="1" spans="1:65" ht="16.5" customHeight="1">
      <c r="F1" s="2411"/>
      <c r="H1" s="252"/>
      <c r="I1" s="252"/>
      <c r="J1" s="256" t="s">
        <v>386</v>
      </c>
      <c r="K1" s="252"/>
      <c r="L1" s="252"/>
      <c r="M1" s="3"/>
      <c r="N1" s="4"/>
    </row>
    <row r="2" spans="1:65" ht="15" hidden="1" customHeight="1">
      <c r="F2" s="255"/>
      <c r="G2" s="255"/>
      <c r="H2" s="255"/>
      <c r="I2" s="255"/>
      <c r="J2" s="255"/>
      <c r="K2" s="255"/>
      <c r="L2" s="255"/>
      <c r="M2" s="3"/>
      <c r="N2" s="4"/>
    </row>
    <row r="3" spans="1:65" ht="9" customHeight="1">
      <c r="D3" s="377"/>
      <c r="F3" s="257"/>
      <c r="G3" s="257"/>
      <c r="H3" s="257"/>
      <c r="I3" s="257"/>
      <c r="J3" s="257"/>
      <c r="K3" s="257"/>
      <c r="L3" s="257"/>
      <c r="M3" s="3"/>
      <c r="N3" s="4"/>
    </row>
    <row r="4" spans="1:65" s="379" customFormat="1" ht="40.5" customHeight="1" thickBot="1">
      <c r="A4" s="4420" t="s">
        <v>212</v>
      </c>
      <c r="B4" s="4420"/>
      <c r="C4" s="4420"/>
      <c r="D4" s="4420"/>
      <c r="E4" s="4420"/>
      <c r="F4" s="4420"/>
      <c r="G4" s="4420"/>
      <c r="H4" s="4420"/>
      <c r="I4" s="4420"/>
      <c r="J4" s="4420"/>
      <c r="K4" s="4420"/>
      <c r="L4" s="4420"/>
      <c r="M4" s="4420"/>
      <c r="N4" s="4420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</row>
    <row r="5" spans="1:65" ht="72" customHeight="1">
      <c r="A5" s="1750"/>
      <c r="B5" s="4421" t="s">
        <v>66</v>
      </c>
      <c r="C5" s="4423" t="s">
        <v>62</v>
      </c>
      <c r="D5" s="4425" t="s">
        <v>63</v>
      </c>
      <c r="E5" s="2407" t="s">
        <v>240</v>
      </c>
      <c r="F5" s="3818" t="s">
        <v>572</v>
      </c>
      <c r="G5" s="3786" t="s">
        <v>540</v>
      </c>
      <c r="H5" s="3787"/>
      <c r="I5" s="3787"/>
      <c r="J5" s="3787"/>
      <c r="K5" s="3788"/>
      <c r="L5" s="3938">
        <v>2024</v>
      </c>
      <c r="M5" s="4020" t="s">
        <v>552</v>
      </c>
      <c r="N5" s="4018" t="s">
        <v>64</v>
      </c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</row>
    <row r="6" spans="1:65" ht="21" customHeight="1">
      <c r="A6" s="1751"/>
      <c r="B6" s="4422"/>
      <c r="C6" s="4424"/>
      <c r="D6" s="4426"/>
      <c r="E6" s="1107" t="s">
        <v>538</v>
      </c>
      <c r="F6" s="3940"/>
      <c r="G6" s="2379" t="s">
        <v>193</v>
      </c>
      <c r="H6" s="2379" t="s">
        <v>194</v>
      </c>
      <c r="I6" s="2379" t="s">
        <v>234</v>
      </c>
      <c r="J6" s="2379" t="s">
        <v>235</v>
      </c>
      <c r="K6" s="2379" t="s">
        <v>233</v>
      </c>
      <c r="L6" s="3939"/>
      <c r="M6" s="4427"/>
      <c r="N6" s="4278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</row>
    <row r="7" spans="1:65" ht="11.25">
      <c r="A7" s="1752">
        <v>1</v>
      </c>
      <c r="B7" s="1753">
        <v>2</v>
      </c>
      <c r="C7" s="1754" t="s">
        <v>108</v>
      </c>
      <c r="D7" s="1754" t="s">
        <v>109</v>
      </c>
      <c r="E7" s="1754">
        <v>5</v>
      </c>
      <c r="F7" s="1114">
        <v>6</v>
      </c>
      <c r="G7" s="1114">
        <v>7</v>
      </c>
      <c r="H7" s="1114">
        <v>8</v>
      </c>
      <c r="I7" s="1114">
        <v>9</v>
      </c>
      <c r="J7" s="1114">
        <v>10</v>
      </c>
      <c r="K7" s="1114">
        <v>11</v>
      </c>
      <c r="L7" s="1114"/>
      <c r="M7" s="1755">
        <v>12</v>
      </c>
      <c r="N7" s="1756">
        <v>13</v>
      </c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</row>
    <row r="8" spans="1:65" s="1208" customFormat="1" ht="16.5" customHeight="1">
      <c r="A8" s="947"/>
      <c r="B8" s="514" t="s">
        <v>67</v>
      </c>
      <c r="C8" s="2406"/>
      <c r="D8" s="189">
        <f>+D9+D10</f>
        <v>43479650</v>
      </c>
      <c r="E8" s="189">
        <f t="shared" ref="E8:K8" si="0">+E9+E10</f>
        <v>12376618</v>
      </c>
      <c r="F8" s="189">
        <f t="shared" si="0"/>
        <v>6172580</v>
      </c>
      <c r="G8" s="189">
        <f t="shared" si="0"/>
        <v>8863979</v>
      </c>
      <c r="H8" s="189">
        <f t="shared" si="0"/>
        <v>8511209</v>
      </c>
      <c r="I8" s="189">
        <f t="shared" si="0"/>
        <v>2668770</v>
      </c>
      <c r="J8" s="189">
        <f t="shared" si="0"/>
        <v>2973938</v>
      </c>
      <c r="K8" s="189">
        <f t="shared" si="0"/>
        <v>1912556</v>
      </c>
      <c r="L8" s="189">
        <f>+L9+L10</f>
        <v>0</v>
      </c>
      <c r="M8" s="123">
        <f t="shared" ref="M8" si="1">+M9+M10</f>
        <v>24930452</v>
      </c>
      <c r="N8" s="13"/>
      <c r="O8" s="261">
        <f>+L8+F8+G8+H8+I8+J8+K8</f>
        <v>31103032</v>
      </c>
    </row>
    <row r="9" spans="1:65" s="1208" customFormat="1" ht="13.5" customHeight="1">
      <c r="A9" s="518"/>
      <c r="B9" s="514" t="s">
        <v>68</v>
      </c>
      <c r="C9" s="2406"/>
      <c r="D9" s="189">
        <f t="shared" ref="D9:K9" si="2">+D44+D78+D87+D58+D96</f>
        <v>42463630</v>
      </c>
      <c r="E9" s="189">
        <f t="shared" si="2"/>
        <v>12327518</v>
      </c>
      <c r="F9" s="189">
        <f t="shared" si="2"/>
        <v>6091864</v>
      </c>
      <c r="G9" s="189">
        <f t="shared" si="2"/>
        <v>8156175</v>
      </c>
      <c r="H9" s="189">
        <f t="shared" si="2"/>
        <v>8332809</v>
      </c>
      <c r="I9" s="189">
        <f t="shared" si="2"/>
        <v>2668770</v>
      </c>
      <c r="J9" s="189">
        <f t="shared" si="2"/>
        <v>2973938</v>
      </c>
      <c r="K9" s="189">
        <f t="shared" si="2"/>
        <v>1912556</v>
      </c>
      <c r="L9" s="189">
        <f>+L44+L78+L87+L58+L96</f>
        <v>0</v>
      </c>
      <c r="M9" s="123">
        <f>SUM(G9:K9)</f>
        <v>24044248</v>
      </c>
      <c r="N9" s="13"/>
      <c r="O9" s="261"/>
    </row>
    <row r="10" spans="1:65" s="1208" customFormat="1" ht="13.5" customHeight="1" thickBot="1">
      <c r="A10" s="518"/>
      <c r="B10" s="193" t="s">
        <v>8</v>
      </c>
      <c r="C10" s="472"/>
      <c r="D10" s="191">
        <f t="shared" ref="D10:K10" si="3">+D33+D69</f>
        <v>1016020</v>
      </c>
      <c r="E10" s="191">
        <f t="shared" si="3"/>
        <v>49100</v>
      </c>
      <c r="F10" s="191">
        <f t="shared" si="3"/>
        <v>80716</v>
      </c>
      <c r="G10" s="191">
        <f t="shared" si="3"/>
        <v>707804</v>
      </c>
      <c r="H10" s="191">
        <f t="shared" si="3"/>
        <v>178400</v>
      </c>
      <c r="I10" s="191">
        <f t="shared" si="3"/>
        <v>0</v>
      </c>
      <c r="J10" s="191">
        <f t="shared" si="3"/>
        <v>0</v>
      </c>
      <c r="K10" s="191">
        <f t="shared" si="3"/>
        <v>0</v>
      </c>
      <c r="L10" s="191">
        <f>+L33+L69</f>
        <v>0</v>
      </c>
      <c r="M10" s="125">
        <f>SUM(G10:K10)</f>
        <v>886204</v>
      </c>
      <c r="N10" s="951"/>
    </row>
    <row r="11" spans="1:65" s="982" customFormat="1" ht="14.25" customHeight="1">
      <c r="A11" s="1757"/>
      <c r="B11" s="68" t="s">
        <v>9</v>
      </c>
      <c r="C11" s="161"/>
      <c r="D11" s="82">
        <f t="shared" ref="D11:K11" si="4">+D12+D16</f>
        <v>43479650</v>
      </c>
      <c r="E11" s="82">
        <f t="shared" si="4"/>
        <v>12376618</v>
      </c>
      <c r="F11" s="82">
        <f t="shared" si="4"/>
        <v>6172580</v>
      </c>
      <c r="G11" s="82">
        <f t="shared" si="4"/>
        <v>8863979</v>
      </c>
      <c r="H11" s="82">
        <f t="shared" si="4"/>
        <v>8511209</v>
      </c>
      <c r="I11" s="82">
        <f t="shared" si="4"/>
        <v>2668770</v>
      </c>
      <c r="J11" s="82">
        <f t="shared" si="4"/>
        <v>2973938</v>
      </c>
      <c r="K11" s="82">
        <f t="shared" si="4"/>
        <v>1912556</v>
      </c>
      <c r="L11" s="82">
        <f>+L12+L16</f>
        <v>0</v>
      </c>
      <c r="M11" s="979">
        <f>+M12+M16</f>
        <v>19002688</v>
      </c>
      <c r="N11" s="3021"/>
      <c r="O11" s="980"/>
      <c r="P11" s="2550"/>
      <c r="Q11" s="981"/>
      <c r="R11" s="981"/>
      <c r="S11" s="981"/>
      <c r="T11" s="981"/>
      <c r="U11" s="981"/>
      <c r="V11" s="981"/>
      <c r="W11" s="981"/>
      <c r="X11" s="981"/>
      <c r="Y11" s="981"/>
      <c r="Z11" s="981"/>
      <c r="AA11" s="981"/>
      <c r="AB11" s="981"/>
      <c r="AC11" s="981"/>
      <c r="AD11" s="981"/>
      <c r="AE11" s="981"/>
      <c r="AF11" s="981"/>
      <c r="AG11" s="981"/>
      <c r="AH11" s="981"/>
      <c r="AI11" s="981"/>
      <c r="AJ11" s="981"/>
      <c r="AK11" s="981"/>
      <c r="AL11" s="981"/>
      <c r="AM11" s="981"/>
      <c r="AN11" s="981"/>
      <c r="AO11" s="981"/>
      <c r="AP11" s="981"/>
      <c r="AQ11" s="981"/>
      <c r="AR11" s="981"/>
      <c r="AS11" s="981"/>
      <c r="AT11" s="981"/>
      <c r="AU11" s="981"/>
      <c r="AV11" s="981"/>
      <c r="AW11" s="981"/>
      <c r="AX11" s="981"/>
      <c r="AY11" s="981"/>
      <c r="AZ11" s="981"/>
      <c r="BA11" s="981"/>
      <c r="BB11" s="981"/>
      <c r="BC11" s="981"/>
      <c r="BD11" s="981"/>
      <c r="BE11" s="981"/>
      <c r="BF11" s="981"/>
      <c r="BG11" s="981"/>
      <c r="BH11" s="981"/>
      <c r="BI11" s="981"/>
      <c r="BJ11" s="981"/>
      <c r="BK11" s="981"/>
      <c r="BL11" s="981"/>
      <c r="BM11" s="981"/>
    </row>
    <row r="12" spans="1:65" s="2567" customFormat="1" ht="14.25" customHeight="1">
      <c r="A12" s="949"/>
      <c r="B12" s="1698" t="s">
        <v>10</v>
      </c>
      <c r="C12" s="983"/>
      <c r="D12" s="1699">
        <f t="shared" ref="D12:M12" si="5">SUM(D13:D15)</f>
        <v>14131859</v>
      </c>
      <c r="E12" s="1699">
        <f t="shared" si="5"/>
        <v>4211163</v>
      </c>
      <c r="F12" s="1699">
        <f t="shared" si="5"/>
        <v>2080969</v>
      </c>
      <c r="G12" s="1699">
        <f t="shared" si="5"/>
        <v>2838598</v>
      </c>
      <c r="H12" s="1699">
        <f t="shared" si="5"/>
        <v>2656826</v>
      </c>
      <c r="I12" s="1699">
        <f t="shared" si="5"/>
        <v>808164</v>
      </c>
      <c r="J12" s="1699">
        <f t="shared" si="5"/>
        <v>874063</v>
      </c>
      <c r="K12" s="1699">
        <f t="shared" si="5"/>
        <v>662076</v>
      </c>
      <c r="L12" s="1699">
        <f>SUM(L13:L15)</f>
        <v>0</v>
      </c>
      <c r="M12" s="1758">
        <f t="shared" si="5"/>
        <v>6720239</v>
      </c>
      <c r="N12" s="3034"/>
      <c r="P12" s="1208"/>
    </row>
    <row r="13" spans="1:65" s="2567" customFormat="1" ht="14.25" customHeight="1">
      <c r="A13" s="948"/>
      <c r="B13" s="1702" t="s">
        <v>11</v>
      </c>
      <c r="C13" s="984"/>
      <c r="D13" s="1701">
        <f t="shared" ref="D13:K13" si="6">+D46+D71+D80+D89+D98</f>
        <v>740904</v>
      </c>
      <c r="E13" s="1701">
        <f t="shared" si="6"/>
        <v>29465</v>
      </c>
      <c r="F13" s="1701">
        <f t="shared" si="6"/>
        <v>33825</v>
      </c>
      <c r="G13" s="1701">
        <f>+G46+G71+G80+G89+G98</f>
        <v>174598</v>
      </c>
      <c r="H13" s="1701">
        <f t="shared" si="6"/>
        <v>229464</v>
      </c>
      <c r="I13" s="1701">
        <f t="shared" si="6"/>
        <v>110329</v>
      </c>
      <c r="J13" s="1701">
        <f t="shared" si="6"/>
        <v>141733</v>
      </c>
      <c r="K13" s="1701">
        <f t="shared" si="6"/>
        <v>21490</v>
      </c>
      <c r="L13" s="1701">
        <f>+L46+L71+L80+L89+L98</f>
        <v>0</v>
      </c>
      <c r="M13" s="1759">
        <f>+M46+M71+M80</f>
        <v>133934</v>
      </c>
      <c r="N13" s="3034"/>
      <c r="O13" s="985"/>
      <c r="P13" s="2568"/>
    </row>
    <row r="14" spans="1:65" s="2567" customFormat="1" ht="13.5" customHeight="1" outlineLevel="1">
      <c r="A14" s="948"/>
      <c r="B14" s="1700" t="s">
        <v>12</v>
      </c>
      <c r="C14" s="984"/>
      <c r="D14" s="1701">
        <f>+D47+D60</f>
        <v>13390955</v>
      </c>
      <c r="E14" s="1701">
        <f t="shared" ref="E14:K14" si="7">+E47+E60</f>
        <v>4181698</v>
      </c>
      <c r="F14" s="1701">
        <f t="shared" si="7"/>
        <v>2047144</v>
      </c>
      <c r="G14" s="1701">
        <f t="shared" si="7"/>
        <v>2664000</v>
      </c>
      <c r="H14" s="1701">
        <f t="shared" si="7"/>
        <v>2427362</v>
      </c>
      <c r="I14" s="1701">
        <f t="shared" si="7"/>
        <v>697835</v>
      </c>
      <c r="J14" s="1701">
        <f t="shared" si="7"/>
        <v>732330</v>
      </c>
      <c r="K14" s="1701">
        <f t="shared" si="7"/>
        <v>640586</v>
      </c>
      <c r="L14" s="1701">
        <f>+L47+L60</f>
        <v>0</v>
      </c>
      <c r="M14" s="1759">
        <f>+M47</f>
        <v>6586305</v>
      </c>
      <c r="N14" s="3034"/>
      <c r="O14" s="985">
        <f>D14-D23</f>
        <v>0</v>
      </c>
      <c r="P14" s="2568"/>
    </row>
    <row r="15" spans="1:65" s="2567" customFormat="1" ht="14.25" hidden="1" customHeight="1" outlineLevel="1">
      <c r="A15" s="948"/>
      <c r="B15" s="1702" t="s">
        <v>15</v>
      </c>
      <c r="C15" s="1463"/>
      <c r="D15" s="1701">
        <f>+D35</f>
        <v>0</v>
      </c>
      <c r="E15" s="1701">
        <f t="shared" ref="E15:K15" si="8">+E35</f>
        <v>0</v>
      </c>
      <c r="F15" s="1701">
        <f t="shared" si="8"/>
        <v>0</v>
      </c>
      <c r="G15" s="1701">
        <f t="shared" si="8"/>
        <v>0</v>
      </c>
      <c r="H15" s="1701">
        <f t="shared" si="8"/>
        <v>0</v>
      </c>
      <c r="I15" s="1701">
        <f t="shared" si="8"/>
        <v>0</v>
      </c>
      <c r="J15" s="1701">
        <f t="shared" si="8"/>
        <v>0</v>
      </c>
      <c r="K15" s="1701">
        <f t="shared" si="8"/>
        <v>0</v>
      </c>
      <c r="L15" s="1701">
        <f>+L35</f>
        <v>0</v>
      </c>
      <c r="M15" s="1759">
        <f>+M35</f>
        <v>0</v>
      </c>
      <c r="N15" s="3034"/>
      <c r="O15" s="985">
        <f>D15-D25</f>
        <v>0</v>
      </c>
      <c r="P15" s="2568"/>
    </row>
    <row r="16" spans="1:65" s="2567" customFormat="1" ht="14.25" customHeight="1" outlineLevel="1">
      <c r="A16" s="949"/>
      <c r="B16" s="986" t="s">
        <v>17</v>
      </c>
      <c r="C16" s="987"/>
      <c r="D16" s="988">
        <f>+D18+D19+D20+D17</f>
        <v>29347791</v>
      </c>
      <c r="E16" s="988">
        <f t="shared" ref="E16:K16" si="9">+E18+E19+E20+E17</f>
        <v>8165455</v>
      </c>
      <c r="F16" s="988">
        <f t="shared" si="9"/>
        <v>4091611</v>
      </c>
      <c r="G16" s="988">
        <f t="shared" si="9"/>
        <v>6025381</v>
      </c>
      <c r="H16" s="988">
        <f t="shared" si="9"/>
        <v>5854383</v>
      </c>
      <c r="I16" s="988">
        <f t="shared" si="9"/>
        <v>1860606</v>
      </c>
      <c r="J16" s="988">
        <f t="shared" si="9"/>
        <v>2099875</v>
      </c>
      <c r="K16" s="988">
        <f t="shared" si="9"/>
        <v>1250480</v>
      </c>
      <c r="L16" s="988">
        <f>+L18+L19+L20+L17</f>
        <v>0</v>
      </c>
      <c r="M16" s="989">
        <f>+M18+M19+M20+M17</f>
        <v>12282449</v>
      </c>
      <c r="N16" s="3034"/>
      <c r="O16" s="2568">
        <f>D18-D29</f>
        <v>0</v>
      </c>
      <c r="P16" s="2568"/>
    </row>
    <row r="17" spans="1:16" s="2567" customFormat="1" ht="14.25" hidden="1" customHeight="1" outlineLevel="1">
      <c r="A17" s="949"/>
      <c r="B17" s="1702" t="s">
        <v>11</v>
      </c>
      <c r="C17" s="983"/>
      <c r="D17" s="1701"/>
      <c r="E17" s="1701"/>
      <c r="F17" s="1701"/>
      <c r="G17" s="1701"/>
      <c r="H17" s="1701"/>
      <c r="I17" s="1701"/>
      <c r="J17" s="1701"/>
      <c r="K17" s="1701"/>
      <c r="L17" s="1701"/>
      <c r="M17" s="1759"/>
      <c r="N17" s="3034"/>
      <c r="O17" s="2568"/>
      <c r="P17" s="2568"/>
    </row>
    <row r="18" spans="1:16" s="2567" customFormat="1" ht="14.25" customHeight="1" outlineLevel="1">
      <c r="A18" s="949"/>
      <c r="B18" s="1700" t="s">
        <v>19</v>
      </c>
      <c r="C18" s="984"/>
      <c r="D18" s="1701">
        <f t="shared" ref="D18:K18" si="10">+D49+D73+D82+D62+D91+D100</f>
        <v>29347791</v>
      </c>
      <c r="E18" s="1701">
        <f t="shared" si="10"/>
        <v>8165455</v>
      </c>
      <c r="F18" s="1701">
        <f t="shared" si="10"/>
        <v>4091611</v>
      </c>
      <c r="G18" s="1701">
        <f t="shared" si="10"/>
        <v>6025381</v>
      </c>
      <c r="H18" s="1701">
        <f t="shared" si="10"/>
        <v>5854383</v>
      </c>
      <c r="I18" s="1701">
        <f t="shared" si="10"/>
        <v>1860606</v>
      </c>
      <c r="J18" s="1701">
        <f t="shared" si="10"/>
        <v>2099875</v>
      </c>
      <c r="K18" s="1701">
        <f t="shared" si="10"/>
        <v>1250480</v>
      </c>
      <c r="L18" s="1701">
        <f>+L49+L73+L82+L62+L91+L100</f>
        <v>0</v>
      </c>
      <c r="M18" s="1759">
        <f>+M49+M73+M82</f>
        <v>12282449</v>
      </c>
      <c r="N18" s="3034"/>
      <c r="O18" s="985"/>
      <c r="P18" s="2568"/>
    </row>
    <row r="19" spans="1:16" s="2567" customFormat="1" ht="14.25" hidden="1" customHeight="1" outlineLevel="1">
      <c r="A19" s="949"/>
      <c r="B19" s="1702" t="s">
        <v>13</v>
      </c>
      <c r="C19" s="990"/>
      <c r="D19" s="1701"/>
      <c r="E19" s="1701"/>
      <c r="F19" s="1701"/>
      <c r="G19" s="1701"/>
      <c r="H19" s="1701"/>
      <c r="I19" s="1701"/>
      <c r="J19" s="1701"/>
      <c r="K19" s="1701"/>
      <c r="L19" s="1701"/>
      <c r="M19" s="1759"/>
      <c r="N19" s="3034"/>
      <c r="O19" s="985"/>
      <c r="P19" s="2568"/>
    </row>
    <row r="20" spans="1:16" s="2567" customFormat="1" ht="14.25" hidden="1" customHeight="1" outlineLevel="1">
      <c r="A20" s="949"/>
      <c r="B20" s="1700" t="s">
        <v>18</v>
      </c>
      <c r="C20" s="990"/>
      <c r="D20" s="1701">
        <f>+D37</f>
        <v>0</v>
      </c>
      <c r="E20" s="1701">
        <f t="shared" ref="E20:K20" si="11">+E37</f>
        <v>0</v>
      </c>
      <c r="F20" s="1701">
        <f t="shared" si="11"/>
        <v>0</v>
      </c>
      <c r="G20" s="1701">
        <f t="shared" si="11"/>
        <v>0</v>
      </c>
      <c r="H20" s="1701">
        <f t="shared" si="11"/>
        <v>0</v>
      </c>
      <c r="I20" s="1701">
        <f t="shared" si="11"/>
        <v>0</v>
      </c>
      <c r="J20" s="1701">
        <f t="shared" si="11"/>
        <v>0</v>
      </c>
      <c r="K20" s="1701">
        <f t="shared" si="11"/>
        <v>0</v>
      </c>
      <c r="L20" s="1701">
        <f>+L37</f>
        <v>0</v>
      </c>
      <c r="M20" s="1759">
        <f>+M37</f>
        <v>0</v>
      </c>
      <c r="N20" s="3025"/>
      <c r="O20" s="985"/>
      <c r="P20" s="2568"/>
    </row>
    <row r="21" spans="1:16" s="2567" customFormat="1" ht="14.25" customHeight="1" outlineLevel="1">
      <c r="A21" s="518"/>
      <c r="B21" s="68" t="s">
        <v>20</v>
      </c>
      <c r="C21" s="75"/>
      <c r="D21" s="991">
        <f>+D22+D28</f>
        <v>42738746</v>
      </c>
      <c r="E21" s="991">
        <f t="shared" ref="E21:K21" si="12">+E22+E28</f>
        <v>12327518</v>
      </c>
      <c r="F21" s="991">
        <f t="shared" si="12"/>
        <v>6198060</v>
      </c>
      <c r="G21" s="991">
        <f t="shared" si="12"/>
        <v>8649711</v>
      </c>
      <c r="H21" s="991">
        <f t="shared" si="12"/>
        <v>8281745</v>
      </c>
      <c r="I21" s="991">
        <f t="shared" si="12"/>
        <v>2558441</v>
      </c>
      <c r="J21" s="991">
        <f t="shared" si="12"/>
        <v>2832205</v>
      </c>
      <c r="K21" s="991">
        <f t="shared" si="12"/>
        <v>1891066</v>
      </c>
      <c r="L21" s="991">
        <f>+L22+L28</f>
        <v>0</v>
      </c>
      <c r="M21" s="4436" t="s">
        <v>52</v>
      </c>
      <c r="N21" s="1760"/>
      <c r="O21" s="2568">
        <f>D31-D20-D17</f>
        <v>0</v>
      </c>
    </row>
    <row r="22" spans="1:16" s="2567" customFormat="1" ht="14.25" customHeight="1" outlineLevel="1">
      <c r="A22" s="949"/>
      <c r="B22" s="1698" t="s">
        <v>10</v>
      </c>
      <c r="C22" s="983"/>
      <c r="D22" s="1699">
        <f t="shared" ref="D22:K22" si="13">SUM(D23:D27)</f>
        <v>13390955</v>
      </c>
      <c r="E22" s="1699">
        <f t="shared" si="13"/>
        <v>4181698</v>
      </c>
      <c r="F22" s="1699">
        <f t="shared" si="13"/>
        <v>2047144</v>
      </c>
      <c r="G22" s="1699">
        <f t="shared" si="13"/>
        <v>2664000</v>
      </c>
      <c r="H22" s="1699">
        <f t="shared" si="13"/>
        <v>2427362</v>
      </c>
      <c r="I22" s="1699">
        <f t="shared" si="13"/>
        <v>697835</v>
      </c>
      <c r="J22" s="1699">
        <f t="shared" si="13"/>
        <v>732330</v>
      </c>
      <c r="K22" s="1699">
        <f t="shared" si="13"/>
        <v>640586</v>
      </c>
      <c r="L22" s="1699">
        <f>SUM(L23:L27)</f>
        <v>0</v>
      </c>
      <c r="M22" s="4414"/>
      <c r="N22" s="3034"/>
      <c r="O22" s="2568"/>
    </row>
    <row r="23" spans="1:16" s="2567" customFormat="1" ht="14.25" customHeight="1" outlineLevel="1">
      <c r="A23" s="948"/>
      <c r="B23" s="1700" t="s">
        <v>12</v>
      </c>
      <c r="C23" s="1463"/>
      <c r="D23" s="1701">
        <f>+D52+D65</f>
        <v>13390955</v>
      </c>
      <c r="E23" s="1701">
        <f t="shared" ref="E23:K23" si="14">+E52+E65</f>
        <v>4181698</v>
      </c>
      <c r="F23" s="1701">
        <f t="shared" si="14"/>
        <v>2047144</v>
      </c>
      <c r="G23" s="1701">
        <f t="shared" si="14"/>
        <v>2664000</v>
      </c>
      <c r="H23" s="1701">
        <f t="shared" si="14"/>
        <v>2427362</v>
      </c>
      <c r="I23" s="1701">
        <f t="shared" si="14"/>
        <v>697835</v>
      </c>
      <c r="J23" s="1701">
        <f t="shared" si="14"/>
        <v>732330</v>
      </c>
      <c r="K23" s="1701">
        <f t="shared" si="14"/>
        <v>640586</v>
      </c>
      <c r="L23" s="1701">
        <f>+L52+L65</f>
        <v>0</v>
      </c>
      <c r="M23" s="4414"/>
      <c r="N23" s="3034"/>
      <c r="O23" s="2568">
        <f>D23-D14</f>
        <v>0</v>
      </c>
    </row>
    <row r="24" spans="1:16" s="2567" customFormat="1" ht="14.25" hidden="1" customHeight="1" outlineLevel="1">
      <c r="A24" s="948"/>
      <c r="B24" s="1702" t="s">
        <v>13</v>
      </c>
      <c r="C24" s="984"/>
      <c r="D24" s="1701"/>
      <c r="E24" s="1701"/>
      <c r="F24" s="1701"/>
      <c r="G24" s="1701"/>
      <c r="H24" s="1701"/>
      <c r="I24" s="1701"/>
      <c r="J24" s="1701"/>
      <c r="K24" s="1701"/>
      <c r="L24" s="1701"/>
      <c r="M24" s="4414"/>
      <c r="N24" s="3034"/>
      <c r="O24" s="2568" t="e">
        <f>D24-#REF!</f>
        <v>#REF!</v>
      </c>
    </row>
    <row r="25" spans="1:16" s="2567" customFormat="1" ht="14.25" hidden="1" customHeight="1" outlineLevel="1">
      <c r="A25" s="948"/>
      <c r="B25" s="1702" t="s">
        <v>53</v>
      </c>
      <c r="C25" s="984"/>
      <c r="D25" s="1701">
        <f>+D40</f>
        <v>0</v>
      </c>
      <c r="E25" s="1701">
        <f t="shared" ref="E25:K25" si="15">+E40</f>
        <v>0</v>
      </c>
      <c r="F25" s="1701">
        <f t="shared" si="15"/>
        <v>0</v>
      </c>
      <c r="G25" s="1701">
        <f t="shared" si="15"/>
        <v>0</v>
      </c>
      <c r="H25" s="1701">
        <f t="shared" si="15"/>
        <v>0</v>
      </c>
      <c r="I25" s="1701">
        <f t="shared" si="15"/>
        <v>0</v>
      </c>
      <c r="J25" s="1701">
        <f t="shared" si="15"/>
        <v>0</v>
      </c>
      <c r="K25" s="1701">
        <f t="shared" si="15"/>
        <v>0</v>
      </c>
      <c r="L25" s="1701">
        <f>+L40</f>
        <v>0</v>
      </c>
      <c r="M25" s="4414"/>
      <c r="N25" s="3034"/>
      <c r="O25" s="2568">
        <f>D25-D15</f>
        <v>0</v>
      </c>
    </row>
    <row r="26" spans="1:16" s="2567" customFormat="1" ht="14.25" hidden="1" customHeight="1" outlineLevel="1">
      <c r="A26" s="948"/>
      <c r="B26" s="1702" t="s">
        <v>23</v>
      </c>
      <c r="C26" s="984"/>
      <c r="D26" s="1701"/>
      <c r="E26" s="1701"/>
      <c r="F26" s="1701"/>
      <c r="G26" s="1701"/>
      <c r="H26" s="1701"/>
      <c r="I26" s="1701"/>
      <c r="J26" s="1701"/>
      <c r="K26" s="1701"/>
      <c r="L26" s="1701"/>
      <c r="M26" s="4414"/>
      <c r="N26" s="3034"/>
    </row>
    <row r="27" spans="1:16" s="2567" customFormat="1" ht="12.75" hidden="1" customHeight="1" outlineLevel="1">
      <c r="A27" s="948"/>
      <c r="B27" s="518" t="s">
        <v>11</v>
      </c>
      <c r="C27" s="992"/>
      <c r="D27" s="993"/>
      <c r="E27" s="993"/>
      <c r="F27" s="993"/>
      <c r="G27" s="993"/>
      <c r="H27" s="993"/>
      <c r="I27" s="993"/>
      <c r="J27" s="993"/>
      <c r="K27" s="993"/>
      <c r="L27" s="993"/>
      <c r="M27" s="4414"/>
      <c r="N27" s="3034"/>
    </row>
    <row r="28" spans="1:16" s="2567" customFormat="1" ht="14.25" customHeight="1" outlineLevel="1">
      <c r="A28" s="949"/>
      <c r="B28" s="986" t="s">
        <v>17</v>
      </c>
      <c r="C28" s="994"/>
      <c r="D28" s="988">
        <f>+D29+D31+D30</f>
        <v>29347791</v>
      </c>
      <c r="E28" s="988">
        <f t="shared" ref="E28:K28" si="16">+E29+E31+E30</f>
        <v>8145820</v>
      </c>
      <c r="F28" s="988">
        <f t="shared" si="16"/>
        <v>4150916</v>
      </c>
      <c r="G28" s="988">
        <f t="shared" si="16"/>
        <v>5985711</v>
      </c>
      <c r="H28" s="988">
        <f t="shared" si="16"/>
        <v>5854383</v>
      </c>
      <c r="I28" s="988">
        <f t="shared" si="16"/>
        <v>1860606</v>
      </c>
      <c r="J28" s="988">
        <f t="shared" si="16"/>
        <v>2099875</v>
      </c>
      <c r="K28" s="988">
        <f t="shared" si="16"/>
        <v>1250480</v>
      </c>
      <c r="L28" s="988">
        <f>+L29+L31+L30</f>
        <v>0</v>
      </c>
      <c r="M28" s="4414"/>
      <c r="N28" s="3034"/>
    </row>
    <row r="29" spans="1:16" s="2567" customFormat="1" ht="14.25" customHeight="1" outlineLevel="1" thickBot="1">
      <c r="A29" s="948"/>
      <c r="B29" s="1700" t="s">
        <v>19</v>
      </c>
      <c r="C29" s="995"/>
      <c r="D29" s="1701">
        <f t="shared" ref="D29:K29" si="17">D55+D67+D76+D85+D94+D103</f>
        <v>29347791</v>
      </c>
      <c r="E29" s="1701">
        <f t="shared" si="17"/>
        <v>8145820</v>
      </c>
      <c r="F29" s="1701">
        <f>F55+F67+F76+F85+F94+F103</f>
        <v>4150916</v>
      </c>
      <c r="G29" s="1701">
        <f t="shared" si="17"/>
        <v>5985711</v>
      </c>
      <c r="H29" s="1701">
        <f t="shared" si="17"/>
        <v>5854383</v>
      </c>
      <c r="I29" s="1701">
        <f t="shared" si="17"/>
        <v>1860606</v>
      </c>
      <c r="J29" s="1701">
        <f>J55+J67+J76+J85+J94+J103</f>
        <v>2099875</v>
      </c>
      <c r="K29" s="1701">
        <f t="shared" si="17"/>
        <v>1250480</v>
      </c>
      <c r="L29" s="1701">
        <f>L55+L67+L76+L85+L94+L103</f>
        <v>0</v>
      </c>
      <c r="M29" s="4414"/>
      <c r="N29" s="3034"/>
      <c r="O29" s="2568">
        <f>D29-D18</f>
        <v>0</v>
      </c>
    </row>
    <row r="30" spans="1:16" s="2567" customFormat="1" ht="14.25" hidden="1" customHeight="1" outlineLevel="1">
      <c r="A30" s="948"/>
      <c r="B30" s="1702" t="s">
        <v>13</v>
      </c>
      <c r="C30" s="995"/>
      <c r="D30" s="1701"/>
      <c r="E30" s="1701"/>
      <c r="F30" s="1701"/>
      <c r="G30" s="1701"/>
      <c r="H30" s="1701"/>
      <c r="I30" s="1701"/>
      <c r="J30" s="1701"/>
      <c r="K30" s="1701"/>
      <c r="L30" s="1701"/>
      <c r="M30" s="4414"/>
      <c r="N30" s="3034"/>
      <c r="O30" s="2568">
        <f>D30-D19</f>
        <v>0</v>
      </c>
      <c r="P30" s="2568"/>
    </row>
    <row r="31" spans="1:16" s="2567" customFormat="1" ht="14.25" hidden="1" customHeight="1" thickBot="1">
      <c r="A31" s="950"/>
      <c r="B31" s="996" t="s">
        <v>18</v>
      </c>
      <c r="C31" s="1703"/>
      <c r="D31" s="1704">
        <f>+D42</f>
        <v>0</v>
      </c>
      <c r="E31" s="1704">
        <f t="shared" ref="E31:K31" si="18">+E42</f>
        <v>0</v>
      </c>
      <c r="F31" s="1704">
        <f t="shared" si="18"/>
        <v>0</v>
      </c>
      <c r="G31" s="1704">
        <f t="shared" si="18"/>
        <v>0</v>
      </c>
      <c r="H31" s="1704">
        <f t="shared" si="18"/>
        <v>0</v>
      </c>
      <c r="I31" s="1704">
        <f t="shared" si="18"/>
        <v>0</v>
      </c>
      <c r="J31" s="1704">
        <f t="shared" si="18"/>
        <v>0</v>
      </c>
      <c r="K31" s="1704">
        <f t="shared" si="18"/>
        <v>0</v>
      </c>
      <c r="L31" s="1704">
        <f>+L42</f>
        <v>0</v>
      </c>
      <c r="M31" s="4415"/>
      <c r="N31" s="3036"/>
      <c r="O31" s="2568">
        <f>D31-D20-D17</f>
        <v>0</v>
      </c>
    </row>
    <row r="32" spans="1:16" s="530" customFormat="1" ht="12.75" hidden="1" customHeight="1" thickBot="1">
      <c r="A32" s="3660"/>
      <c r="B32" s="1639"/>
      <c r="C32" s="914" t="s">
        <v>72</v>
      </c>
      <c r="D32" s="914"/>
      <c r="E32" s="51"/>
      <c r="F32" s="915"/>
      <c r="G32" s="915"/>
      <c r="H32" s="915"/>
      <c r="I32" s="915"/>
      <c r="J32" s="915"/>
      <c r="K32" s="915"/>
      <c r="L32" s="915"/>
      <c r="M32" s="916"/>
      <c r="N32" s="3724" t="s">
        <v>385</v>
      </c>
    </row>
    <row r="33" spans="1:14" s="530" customFormat="1" ht="14.25" hidden="1" customHeight="1">
      <c r="A33" s="4393"/>
      <c r="B33" s="1705" t="s">
        <v>9</v>
      </c>
      <c r="C33" s="1761"/>
      <c r="D33" s="531">
        <f t="shared" ref="D33" si="19">+D34+D36</f>
        <v>0</v>
      </c>
      <c r="E33" s="1762">
        <f t="shared" ref="E33" si="20">+E34+E36</f>
        <v>0</v>
      </c>
      <c r="F33" s="1580">
        <f>+F34+F36</f>
        <v>0</v>
      </c>
      <c r="G33" s="1580">
        <f>+G34+G36</f>
        <v>0</v>
      </c>
      <c r="H33" s="1581"/>
      <c r="I33" s="1581"/>
      <c r="J33" s="1581"/>
      <c r="K33" s="1581"/>
      <c r="L33" s="1580">
        <f>+L34+L36</f>
        <v>0</v>
      </c>
      <c r="M33" s="1763">
        <f>+M34+M36</f>
        <v>0</v>
      </c>
      <c r="N33" s="4428"/>
    </row>
    <row r="34" spans="1:14" s="530" customFormat="1" ht="14.25" hidden="1" customHeight="1">
      <c r="A34" s="4393"/>
      <c r="B34" s="1707" t="s">
        <v>10</v>
      </c>
      <c r="C34" s="4430" t="s">
        <v>155</v>
      </c>
      <c r="D34" s="1708">
        <f>D35</f>
        <v>0</v>
      </c>
      <c r="E34" s="1764">
        <f t="shared" ref="E34" si="21">E35</f>
        <v>0</v>
      </c>
      <c r="F34" s="1575">
        <f>F35</f>
        <v>0</v>
      </c>
      <c r="G34" s="1575">
        <f>G35</f>
        <v>0</v>
      </c>
      <c r="H34" s="1708"/>
      <c r="I34" s="1708"/>
      <c r="J34" s="1708"/>
      <c r="K34" s="1708"/>
      <c r="L34" s="1575">
        <f>L35</f>
        <v>0</v>
      </c>
      <c r="M34" s="1765">
        <f>M35</f>
        <v>0</v>
      </c>
      <c r="N34" s="4428"/>
    </row>
    <row r="35" spans="1:14" s="533" customFormat="1" ht="12.75" hidden="1" customHeight="1" thickBot="1">
      <c r="A35" s="4393"/>
      <c r="B35" s="1766" t="s">
        <v>53</v>
      </c>
      <c r="C35" s="4431"/>
      <c r="D35" s="698">
        <f>E35+L35+F35+G35+H35+I35+J35+K35</f>
        <v>0</v>
      </c>
      <c r="E35" s="1767"/>
      <c r="F35" s="1768"/>
      <c r="G35" s="1768"/>
      <c r="H35" s="1711"/>
      <c r="I35" s="1711"/>
      <c r="J35" s="1711"/>
      <c r="K35" s="1711"/>
      <c r="L35" s="1768"/>
      <c r="M35" s="1713">
        <f>SUM(F35:K35)</f>
        <v>0</v>
      </c>
      <c r="N35" s="4428"/>
    </row>
    <row r="36" spans="1:14" s="530" customFormat="1" ht="14.25" hidden="1" customHeight="1">
      <c r="A36" s="4393"/>
      <c r="B36" s="1715" t="s">
        <v>17</v>
      </c>
      <c r="C36" s="4431"/>
      <c r="D36" s="522">
        <f>D37</f>
        <v>0</v>
      </c>
      <c r="E36" s="1769">
        <f t="shared" ref="E36:G36" si="22">E37</f>
        <v>0</v>
      </c>
      <c r="F36" s="534">
        <f t="shared" si="22"/>
        <v>0</v>
      </c>
      <c r="G36" s="534">
        <f t="shared" si="22"/>
        <v>0</v>
      </c>
      <c r="H36" s="522"/>
      <c r="I36" s="522"/>
      <c r="J36" s="522"/>
      <c r="K36" s="522"/>
      <c r="L36" s="1575">
        <f>L37</f>
        <v>0</v>
      </c>
      <c r="M36" s="1765">
        <f>M37</f>
        <v>0</v>
      </c>
      <c r="N36" s="4428"/>
    </row>
    <row r="37" spans="1:14" s="530" customFormat="1" ht="12.75" hidden="1" customHeight="1" thickBot="1">
      <c r="A37" s="4393"/>
      <c r="B37" s="1710" t="s">
        <v>18</v>
      </c>
      <c r="C37" s="4432"/>
      <c r="D37" s="698">
        <f>E37+L37+F37+G37+H37+I37+J37+K37</f>
        <v>0</v>
      </c>
      <c r="E37" s="1767"/>
      <c r="F37" s="1770"/>
      <c r="G37" s="1770"/>
      <c r="H37" s="1771"/>
      <c r="I37" s="1771"/>
      <c r="J37" s="1771"/>
      <c r="K37" s="1771"/>
      <c r="L37" s="2569"/>
      <c r="M37" s="1713">
        <f>SUM(F37:K37)</f>
        <v>0</v>
      </c>
      <c r="N37" s="4428"/>
    </row>
    <row r="38" spans="1:14" s="535" customFormat="1" ht="14.25" hidden="1" customHeight="1">
      <c r="A38" s="4393"/>
      <c r="B38" s="1705" t="s">
        <v>20</v>
      </c>
      <c r="C38" s="1761"/>
      <c r="D38" s="519">
        <f t="shared" ref="D38" si="23">+D39+D42</f>
        <v>0</v>
      </c>
      <c r="E38" s="1772">
        <f t="shared" ref="E38" si="24">+E39+E42</f>
        <v>0</v>
      </c>
      <c r="F38" s="1580">
        <f>+F39+F42</f>
        <v>0</v>
      </c>
      <c r="G38" s="1581">
        <f>+G39+G42</f>
        <v>0</v>
      </c>
      <c r="H38" s="1581"/>
      <c r="I38" s="1581"/>
      <c r="J38" s="1581"/>
      <c r="K38" s="1581"/>
      <c r="L38" s="1580">
        <f>+L39+L42</f>
        <v>0</v>
      </c>
      <c r="M38" s="4390" t="s">
        <v>52</v>
      </c>
      <c r="N38" s="4428"/>
    </row>
    <row r="39" spans="1:14" s="530" customFormat="1" ht="14.25" hidden="1" customHeight="1">
      <c r="A39" s="4393"/>
      <c r="B39" s="1707" t="s">
        <v>10</v>
      </c>
      <c r="C39" s="4430" t="s">
        <v>155</v>
      </c>
      <c r="D39" s="1708">
        <f>D40</f>
        <v>0</v>
      </c>
      <c r="E39" s="1764">
        <f t="shared" ref="E39:G39" si="25">E40</f>
        <v>0</v>
      </c>
      <c r="F39" s="1575">
        <f t="shared" si="25"/>
        <v>0</v>
      </c>
      <c r="G39" s="1708">
        <f t="shared" si="25"/>
        <v>0</v>
      </c>
      <c r="H39" s="1708"/>
      <c r="I39" s="1708"/>
      <c r="J39" s="1708"/>
      <c r="K39" s="1708"/>
      <c r="L39" s="1575">
        <f>L40</f>
        <v>0</v>
      </c>
      <c r="M39" s="4434"/>
      <c r="N39" s="4428"/>
    </row>
    <row r="40" spans="1:14" s="530" customFormat="1" ht="12.75" hidden="1" customHeight="1">
      <c r="A40" s="4393"/>
      <c r="B40" s="1710" t="s">
        <v>15</v>
      </c>
      <c r="C40" s="4431"/>
      <c r="D40" s="698">
        <f>E40+L40+F40+G40+H40+I40+J40+K40</f>
        <v>0</v>
      </c>
      <c r="E40" s="1768"/>
      <c r="F40" s="1768"/>
      <c r="G40" s="1711"/>
      <c r="H40" s="1711"/>
      <c r="I40" s="1711"/>
      <c r="J40" s="1711"/>
      <c r="K40" s="1711"/>
      <c r="L40" s="1768"/>
      <c r="M40" s="4434"/>
      <c r="N40" s="4428"/>
    </row>
    <row r="41" spans="1:14" s="530" customFormat="1" ht="14.25" hidden="1" customHeight="1">
      <c r="A41" s="4393"/>
      <c r="B41" s="1715" t="s">
        <v>17</v>
      </c>
      <c r="C41" s="4431"/>
      <c r="D41" s="1708">
        <f>D42</f>
        <v>0</v>
      </c>
      <c r="E41" s="1764">
        <f t="shared" ref="E41:G41" si="26">E42</f>
        <v>0</v>
      </c>
      <c r="F41" s="1575">
        <f t="shared" si="26"/>
        <v>0</v>
      </c>
      <c r="G41" s="1708">
        <f t="shared" si="26"/>
        <v>0</v>
      </c>
      <c r="H41" s="1708"/>
      <c r="I41" s="1708"/>
      <c r="J41" s="1708"/>
      <c r="K41" s="1708"/>
      <c r="L41" s="1575">
        <f>L42</f>
        <v>0</v>
      </c>
      <c r="M41" s="4434"/>
      <c r="N41" s="4428"/>
    </row>
    <row r="42" spans="1:14" s="530" customFormat="1" ht="12.75" hidden="1" customHeight="1" thickBot="1">
      <c r="A42" s="4394"/>
      <c r="B42" s="67" t="s">
        <v>18</v>
      </c>
      <c r="C42" s="4433"/>
      <c r="D42" s="1410">
        <f>E42+L42+F42+G42+H42+I42+J42+K42</f>
        <v>0</v>
      </c>
      <c r="E42" s="1472"/>
      <c r="F42" s="1640"/>
      <c r="G42" s="924"/>
      <c r="H42" s="924"/>
      <c r="I42" s="924"/>
      <c r="J42" s="924"/>
      <c r="K42" s="924"/>
      <c r="L42" s="2570"/>
      <c r="M42" s="4435"/>
      <c r="N42" s="4429"/>
    </row>
    <row r="43" spans="1:14" ht="18.75" customHeight="1">
      <c r="A43" s="3660" t="s">
        <v>54</v>
      </c>
      <c r="B43" s="1639" t="s">
        <v>469</v>
      </c>
      <c r="C43" s="2117" t="s">
        <v>99</v>
      </c>
      <c r="D43" s="2117"/>
      <c r="E43" s="2117"/>
      <c r="F43" s="2103"/>
      <c r="G43" s="2103"/>
      <c r="H43" s="2103"/>
      <c r="I43" s="2103"/>
      <c r="J43" s="2103"/>
      <c r="K43" s="50"/>
      <c r="L43" s="2103"/>
      <c r="M43" s="3423"/>
      <c r="N43" s="3798" t="s">
        <v>291</v>
      </c>
    </row>
    <row r="44" spans="1:14" ht="13.5" customHeight="1">
      <c r="A44" s="3661"/>
      <c r="B44" s="1705" t="s">
        <v>9</v>
      </c>
      <c r="C44" s="1655"/>
      <c r="D44" s="519">
        <f t="shared" ref="D44:K44" si="27">+D45+D48</f>
        <v>32711308</v>
      </c>
      <c r="E44" s="519">
        <f t="shared" ref="E44" si="28">+E45+E48</f>
        <v>9672975</v>
      </c>
      <c r="F44" s="1581">
        <f t="shared" si="27"/>
        <v>4928529</v>
      </c>
      <c r="G44" s="1581">
        <f t="shared" si="27"/>
        <v>6500000</v>
      </c>
      <c r="H44" s="1581">
        <f t="shared" si="27"/>
        <v>6000000</v>
      </c>
      <c r="I44" s="1581">
        <f t="shared" si="27"/>
        <v>1883242</v>
      </c>
      <c r="J44" s="1581">
        <f>+J45+J48</f>
        <v>1979049</v>
      </c>
      <c r="K44" s="1581">
        <f t="shared" si="27"/>
        <v>1747513</v>
      </c>
      <c r="L44" s="1581">
        <f>+L45+L48</f>
        <v>0</v>
      </c>
      <c r="M44" s="1706">
        <f>+M45+M48</f>
        <v>18109804</v>
      </c>
      <c r="N44" s="4408"/>
    </row>
    <row r="45" spans="1:14" ht="13.5" customHeight="1">
      <c r="A45" s="3661"/>
      <c r="B45" s="1707" t="s">
        <v>10</v>
      </c>
      <c r="C45" s="4396" t="s">
        <v>156</v>
      </c>
      <c r="D45" s="522">
        <f>+D46+D47</f>
        <v>11896874</v>
      </c>
      <c r="E45" s="522">
        <f t="shared" ref="E45" si="29">+E46+E47</f>
        <v>3518063</v>
      </c>
      <c r="F45" s="1708">
        <f t="shared" ref="F45:K45" si="30">+F46+F47</f>
        <v>1792506</v>
      </c>
      <c r="G45" s="1708">
        <f t="shared" si="30"/>
        <v>2364000</v>
      </c>
      <c r="H45" s="1708">
        <f t="shared" si="30"/>
        <v>2182000</v>
      </c>
      <c r="I45" s="1708">
        <f t="shared" si="30"/>
        <v>685335</v>
      </c>
      <c r="J45" s="1708">
        <f t="shared" si="30"/>
        <v>719830</v>
      </c>
      <c r="K45" s="1708">
        <f t="shared" si="30"/>
        <v>635140</v>
      </c>
      <c r="L45" s="1708">
        <f>+L46+L47</f>
        <v>0</v>
      </c>
      <c r="M45" s="1709">
        <f>SUM(M46:M47)</f>
        <v>6586305</v>
      </c>
      <c r="N45" s="4408"/>
    </row>
    <row r="46" spans="1:14" ht="12.6" hidden="1" customHeight="1">
      <c r="A46" s="3661"/>
      <c r="B46" s="1710" t="s">
        <v>11</v>
      </c>
      <c r="C46" s="4396"/>
      <c r="D46" s="1641">
        <f>E46+L46+F46+G46+H46+I46+J46+K46</f>
        <v>0</v>
      </c>
      <c r="E46" s="1711">
        <v>0</v>
      </c>
      <c r="F46" s="1712">
        <f>500000-500000</f>
        <v>0</v>
      </c>
      <c r="G46" s="1712">
        <v>0</v>
      </c>
      <c r="H46" s="1712"/>
      <c r="I46" s="1712"/>
      <c r="J46" s="1712"/>
      <c r="K46" s="1712"/>
      <c r="L46" s="1712">
        <f>450000-450000</f>
        <v>0</v>
      </c>
      <c r="M46" s="1713">
        <f>SUM(F46:K46)</f>
        <v>0</v>
      </c>
      <c r="N46" s="4408"/>
    </row>
    <row r="47" spans="1:14" ht="13.5" customHeight="1">
      <c r="A47" s="3661"/>
      <c r="B47" s="1714" t="s">
        <v>218</v>
      </c>
      <c r="C47" s="4396"/>
      <c r="D47" s="1641">
        <f>E47+L47+F47+G47+H47+I47+J47+K47</f>
        <v>11896874</v>
      </c>
      <c r="E47" s="1711">
        <f>2167756+1350307</f>
        <v>3518063</v>
      </c>
      <c r="F47" s="1712">
        <f>2910000-2000750-303396+585470+808676-72740-134754</f>
        <v>1792506</v>
      </c>
      <c r="G47" s="1712">
        <f>909250+1454750</f>
        <v>2364000</v>
      </c>
      <c r="H47" s="1712">
        <f>989414+1192586</f>
        <v>2182000</v>
      </c>
      <c r="I47" s="1712">
        <f>989414-404338+100259</f>
        <v>685335</v>
      </c>
      <c r="J47" s="1712">
        <f>989414-404338+134754</f>
        <v>719830</v>
      </c>
      <c r="K47" s="1712">
        <f>494707+67693+72740</f>
        <v>635140</v>
      </c>
      <c r="L47" s="1712">
        <v>0</v>
      </c>
      <c r="M47" s="1713">
        <f>SUM(G47:K47)</f>
        <v>6586305</v>
      </c>
      <c r="N47" s="4408"/>
    </row>
    <row r="48" spans="1:14" ht="13.5" customHeight="1">
      <c r="A48" s="3661"/>
      <c r="B48" s="1715" t="s">
        <v>17</v>
      </c>
      <c r="C48" s="4396"/>
      <c r="D48" s="522">
        <f>+D49</f>
        <v>20814434</v>
      </c>
      <c r="E48" s="522">
        <f t="shared" ref="E48:K48" si="31">+E49</f>
        <v>6154912</v>
      </c>
      <c r="F48" s="522">
        <f t="shared" si="31"/>
        <v>3136023</v>
      </c>
      <c r="G48" s="522">
        <f t="shared" si="31"/>
        <v>4136000</v>
      </c>
      <c r="H48" s="522">
        <f t="shared" si="31"/>
        <v>3818000</v>
      </c>
      <c r="I48" s="522">
        <f t="shared" si="31"/>
        <v>1197907</v>
      </c>
      <c r="J48" s="522">
        <f t="shared" si="31"/>
        <v>1259219</v>
      </c>
      <c r="K48" s="522">
        <f t="shared" si="31"/>
        <v>1112373</v>
      </c>
      <c r="L48" s="522">
        <f>+L49</f>
        <v>0</v>
      </c>
      <c r="M48" s="538">
        <f>+M49</f>
        <v>11523499</v>
      </c>
      <c r="N48" s="4408"/>
    </row>
    <row r="49" spans="1:15" ht="13.5" customHeight="1">
      <c r="A49" s="3661"/>
      <c r="B49" s="1714" t="s">
        <v>302</v>
      </c>
      <c r="C49" s="4396"/>
      <c r="D49" s="1641">
        <f>E49+L49+F49+G49+H49+I49+J49+K49</f>
        <v>20814434</v>
      </c>
      <c r="E49" s="1711">
        <f>3792526+2362386</f>
        <v>6154912</v>
      </c>
      <c r="F49" s="1712">
        <f>5090000-3499250-532994+1025255+1416989-127260-236717</f>
        <v>3136023</v>
      </c>
      <c r="G49" s="1712">
        <f>1590750+2545250</f>
        <v>4136000</v>
      </c>
      <c r="H49" s="1712">
        <f>1730997+2087003</f>
        <v>3818000</v>
      </c>
      <c r="I49" s="1712">
        <f>1730997-708494+175404</f>
        <v>1197907</v>
      </c>
      <c r="J49" s="1712">
        <f>1730997-708495+236717</f>
        <v>1259219</v>
      </c>
      <c r="K49" s="1712">
        <f>865499+119614+127260</f>
        <v>1112373</v>
      </c>
      <c r="L49" s="1712">
        <v>0</v>
      </c>
      <c r="M49" s="1713">
        <f>SUM(G49:K49)</f>
        <v>11523499</v>
      </c>
      <c r="N49" s="4408"/>
      <c r="O49" s="377">
        <f>D55-D49</f>
        <v>0</v>
      </c>
    </row>
    <row r="50" spans="1:15" s="1783" customFormat="1" ht="14.25" customHeight="1">
      <c r="A50" s="3661"/>
      <c r="B50" s="1705" t="s">
        <v>20</v>
      </c>
      <c r="C50" s="1655"/>
      <c r="D50" s="1581">
        <f>+D51+D54</f>
        <v>32711308</v>
      </c>
      <c r="E50" s="1581">
        <f t="shared" ref="E50" si="32">+E51+E54</f>
        <v>9672975</v>
      </c>
      <c r="F50" s="1581">
        <f t="shared" ref="F50:K50" si="33">+F51+F54</f>
        <v>4928529</v>
      </c>
      <c r="G50" s="1581">
        <f t="shared" si="33"/>
        <v>6500000</v>
      </c>
      <c r="H50" s="1581">
        <f t="shared" si="33"/>
        <v>6000000</v>
      </c>
      <c r="I50" s="1581">
        <f t="shared" si="33"/>
        <v>1883242</v>
      </c>
      <c r="J50" s="1581">
        <f t="shared" si="33"/>
        <v>1979049</v>
      </c>
      <c r="K50" s="1581">
        <f t="shared" si="33"/>
        <v>1747513</v>
      </c>
      <c r="L50" s="1581">
        <f>+L51+L54</f>
        <v>0</v>
      </c>
      <c r="M50" s="4397" t="s">
        <v>52</v>
      </c>
      <c r="N50" s="4408"/>
    </row>
    <row r="51" spans="1:15" s="1783" customFormat="1" ht="13.5" customHeight="1">
      <c r="A51" s="3661"/>
      <c r="B51" s="1707" t="s">
        <v>10</v>
      </c>
      <c r="C51" s="4398" t="s">
        <v>156</v>
      </c>
      <c r="D51" s="522">
        <f>+D52</f>
        <v>11896874</v>
      </c>
      <c r="E51" s="522">
        <f t="shared" ref="E51:K51" si="34">+E52</f>
        <v>3518063</v>
      </c>
      <c r="F51" s="1708">
        <f t="shared" si="34"/>
        <v>1792506</v>
      </c>
      <c r="G51" s="1708">
        <f t="shared" si="34"/>
        <v>2364000</v>
      </c>
      <c r="H51" s="1708">
        <f t="shared" si="34"/>
        <v>2182000</v>
      </c>
      <c r="I51" s="1708">
        <f t="shared" si="34"/>
        <v>685335</v>
      </c>
      <c r="J51" s="1708">
        <f t="shared" si="34"/>
        <v>719830</v>
      </c>
      <c r="K51" s="1708">
        <f t="shared" si="34"/>
        <v>635140</v>
      </c>
      <c r="L51" s="1708">
        <f>+L52</f>
        <v>0</v>
      </c>
      <c r="M51" s="4397"/>
      <c r="N51" s="4408"/>
    </row>
    <row r="52" spans="1:15" s="1783" customFormat="1" ht="12.75" customHeight="1">
      <c r="A52" s="3661"/>
      <c r="B52" s="1714" t="s">
        <v>218</v>
      </c>
      <c r="C52" s="4398"/>
      <c r="D52" s="1641">
        <f>E52+L52+F52+G52+H52+I52+J52+K52</f>
        <v>11896874</v>
      </c>
      <c r="E52" s="1711">
        <f>2167756+1350307</f>
        <v>3518063</v>
      </c>
      <c r="F52" s="1712">
        <f>2910000-2000750-303396+585470+808676-72740-134754</f>
        <v>1792506</v>
      </c>
      <c r="G52" s="1712">
        <f>909250+1454750</f>
        <v>2364000</v>
      </c>
      <c r="H52" s="1712">
        <f>989414+1192586</f>
        <v>2182000</v>
      </c>
      <c r="I52" s="1712">
        <f>989414-404338+100259</f>
        <v>685335</v>
      </c>
      <c r="J52" s="1712">
        <f>989414-404338+134754</f>
        <v>719830</v>
      </c>
      <c r="K52" s="1712">
        <f>494707+67693+72740</f>
        <v>635140</v>
      </c>
      <c r="L52" s="1712">
        <v>0</v>
      </c>
      <c r="M52" s="4397"/>
      <c r="N52" s="4408"/>
    </row>
    <row r="53" spans="1:15" s="1783" customFormat="1" ht="13.5" hidden="1" customHeight="1">
      <c r="A53" s="3661"/>
      <c r="B53" s="1710" t="s">
        <v>23</v>
      </c>
      <c r="C53" s="4398"/>
      <c r="D53" s="1641">
        <f>E53+L53+F53+G53+H53+I53+J53+K53</f>
        <v>0</v>
      </c>
      <c r="E53" s="1711">
        <v>0</v>
      </c>
      <c r="F53" s="1712"/>
      <c r="G53" s="1712"/>
      <c r="H53" s="1712"/>
      <c r="I53" s="1712"/>
      <c r="J53" s="1712"/>
      <c r="K53" s="1712"/>
      <c r="L53" s="1712"/>
      <c r="M53" s="4397"/>
      <c r="N53" s="4408"/>
    </row>
    <row r="54" spans="1:15" s="1783" customFormat="1" ht="12.75" customHeight="1">
      <c r="A54" s="3661"/>
      <c r="B54" s="1715" t="s">
        <v>17</v>
      </c>
      <c r="C54" s="4398"/>
      <c r="D54" s="522">
        <f>+D55</f>
        <v>20814434</v>
      </c>
      <c r="E54" s="522">
        <f t="shared" ref="E54:K54" si="35">+E55</f>
        <v>6154912</v>
      </c>
      <c r="F54" s="1708">
        <f t="shared" si="35"/>
        <v>3136023</v>
      </c>
      <c r="G54" s="1708">
        <f t="shared" si="35"/>
        <v>4136000</v>
      </c>
      <c r="H54" s="1708">
        <f t="shared" si="35"/>
        <v>3818000</v>
      </c>
      <c r="I54" s="1708">
        <f t="shared" si="35"/>
        <v>1197907</v>
      </c>
      <c r="J54" s="1708">
        <f t="shared" si="35"/>
        <v>1259219</v>
      </c>
      <c r="K54" s="1708">
        <f t="shared" si="35"/>
        <v>1112373</v>
      </c>
      <c r="L54" s="1708">
        <f>+L55</f>
        <v>0</v>
      </c>
      <c r="M54" s="4397"/>
      <c r="N54" s="4408"/>
    </row>
    <row r="55" spans="1:15" s="1783" customFormat="1" ht="12.75" customHeight="1" thickBot="1">
      <c r="A55" s="3668"/>
      <c r="B55" s="1642" t="s">
        <v>302</v>
      </c>
      <c r="C55" s="4399"/>
      <c r="D55" s="1785">
        <f>E55+L55+F55+G55+H55+I55+J55+K55</f>
        <v>20814434</v>
      </c>
      <c r="E55" s="1656">
        <f>3792526+2362386</f>
        <v>6154912</v>
      </c>
      <c r="F55" s="3424">
        <f>5090000-3499250-532994+1025255+1416989-127260-236717</f>
        <v>3136023</v>
      </c>
      <c r="G55" s="3424">
        <f>1590750+2545250</f>
        <v>4136000</v>
      </c>
      <c r="H55" s="3424">
        <f>1730997+2087003</f>
        <v>3818000</v>
      </c>
      <c r="I55" s="3424">
        <f>1730997-708494+175404</f>
        <v>1197907</v>
      </c>
      <c r="J55" s="3424">
        <f>1730997-708495+236717</f>
        <v>1259219</v>
      </c>
      <c r="K55" s="3424">
        <f>865499+119614+127260</f>
        <v>1112373</v>
      </c>
      <c r="L55" s="3424">
        <v>0</v>
      </c>
      <c r="M55" s="3937"/>
      <c r="N55" s="3799"/>
    </row>
    <row r="56" spans="1:15" ht="11.25" hidden="1" customHeight="1" thickBot="1">
      <c r="A56" s="1773"/>
      <c r="B56" s="539" t="s">
        <v>18</v>
      </c>
      <c r="C56" s="2571"/>
      <c r="D56" s="2110">
        <f>E56+L56+F56+G56+H56+I56+J56+K56</f>
        <v>0</v>
      </c>
      <c r="E56" s="540"/>
      <c r="F56" s="540"/>
      <c r="G56" s="540"/>
      <c r="H56" s="540"/>
      <c r="I56" s="540"/>
      <c r="J56" s="540"/>
      <c r="K56" s="540"/>
      <c r="L56" s="540"/>
      <c r="M56" s="541"/>
      <c r="N56" s="1774"/>
    </row>
    <row r="57" spans="1:15" s="1783" customFormat="1" ht="27" customHeight="1">
      <c r="A57" s="3661" t="s">
        <v>55</v>
      </c>
      <c r="B57" s="3425" t="s">
        <v>434</v>
      </c>
      <c r="C57" s="2116" t="s">
        <v>99</v>
      </c>
      <c r="D57" s="2117"/>
      <c r="E57" s="2117"/>
      <c r="F57" s="2103"/>
      <c r="G57" s="2103"/>
      <c r="H57" s="2103"/>
      <c r="I57" s="2103"/>
      <c r="J57" s="2103"/>
      <c r="K57" s="50"/>
      <c r="L57" s="2103"/>
      <c r="M57" s="1784"/>
      <c r="N57" s="4408" t="s">
        <v>282</v>
      </c>
    </row>
    <row r="58" spans="1:15" s="1783" customFormat="1" ht="13.5" customHeight="1">
      <c r="A58" s="3661"/>
      <c r="B58" s="1705" t="s">
        <v>9</v>
      </c>
      <c r="C58" s="1655"/>
      <c r="D58" s="519">
        <f t="shared" ref="D58:M58" si="36">+D59+D61</f>
        <v>5976322</v>
      </c>
      <c r="E58" s="519">
        <f t="shared" si="36"/>
        <v>2654543</v>
      </c>
      <c r="F58" s="1581">
        <f t="shared" si="36"/>
        <v>1018552</v>
      </c>
      <c r="G58" s="1581">
        <f t="shared" si="36"/>
        <v>1200000</v>
      </c>
      <c r="H58" s="1581">
        <f t="shared" si="36"/>
        <v>981448</v>
      </c>
      <c r="I58" s="1581">
        <f t="shared" si="36"/>
        <v>50000</v>
      </c>
      <c r="J58" s="1581">
        <f t="shared" si="36"/>
        <v>50000</v>
      </c>
      <c r="K58" s="1581">
        <f t="shared" si="36"/>
        <v>21779</v>
      </c>
      <c r="L58" s="1581">
        <f>+L59+L61</f>
        <v>0</v>
      </c>
      <c r="M58" s="1706">
        <f t="shared" si="36"/>
        <v>2303227</v>
      </c>
      <c r="N58" s="4408"/>
    </row>
    <row r="59" spans="1:15" s="1783" customFormat="1" ht="13.5" customHeight="1">
      <c r="A59" s="3661"/>
      <c r="B59" s="1707" t="s">
        <v>10</v>
      </c>
      <c r="C59" s="4396" t="s">
        <v>433</v>
      </c>
      <c r="D59" s="522">
        <f>+D60</f>
        <v>1494081</v>
      </c>
      <c r="E59" s="522">
        <f t="shared" ref="E59:J59" si="37">+E60</f>
        <v>663635</v>
      </c>
      <c r="F59" s="522">
        <f t="shared" si="37"/>
        <v>254638</v>
      </c>
      <c r="G59" s="522">
        <f t="shared" si="37"/>
        <v>300000</v>
      </c>
      <c r="H59" s="522">
        <f t="shared" si="37"/>
        <v>245362</v>
      </c>
      <c r="I59" s="522">
        <f t="shared" si="37"/>
        <v>12500</v>
      </c>
      <c r="J59" s="522">
        <f t="shared" si="37"/>
        <v>12500</v>
      </c>
      <c r="K59" s="522">
        <f>+K60</f>
        <v>5446</v>
      </c>
      <c r="L59" s="522">
        <f>+L60</f>
        <v>0</v>
      </c>
      <c r="M59" s="1709">
        <f>SUM(M60:M60)</f>
        <v>575808</v>
      </c>
      <c r="N59" s="4408"/>
    </row>
    <row r="60" spans="1:15" s="1783" customFormat="1" ht="13.5" customHeight="1">
      <c r="A60" s="3661"/>
      <c r="B60" s="1714" t="s">
        <v>218</v>
      </c>
      <c r="C60" s="4396"/>
      <c r="D60" s="1641">
        <f>E60+L60+F60+G60+H60+I60+J60+K60</f>
        <v>1494081</v>
      </c>
      <c r="E60" s="1711">
        <f>371080+292555</f>
        <v>663635</v>
      </c>
      <c r="F60" s="1712">
        <f>350000-85000-10362</f>
        <v>254638</v>
      </c>
      <c r="G60" s="1712">
        <v>300000</v>
      </c>
      <c r="H60" s="1712">
        <f>150000+85000+10362</f>
        <v>245362</v>
      </c>
      <c r="I60" s="1712">
        <v>12500</v>
      </c>
      <c r="J60" s="1712">
        <v>12500</v>
      </c>
      <c r="K60" s="1712">
        <v>5446</v>
      </c>
      <c r="L60" s="1712">
        <v>0</v>
      </c>
      <c r="M60" s="1713">
        <f>SUM(G60:K60)</f>
        <v>575808</v>
      </c>
      <c r="N60" s="4408"/>
    </row>
    <row r="61" spans="1:15" s="1783" customFormat="1" ht="13.5" customHeight="1">
      <c r="A61" s="3661"/>
      <c r="B61" s="1715" t="s">
        <v>17</v>
      </c>
      <c r="C61" s="4396"/>
      <c r="D61" s="522">
        <f>+D62</f>
        <v>4482241</v>
      </c>
      <c r="E61" s="522">
        <f t="shared" ref="E61:K61" si="38">+E62</f>
        <v>1990908</v>
      </c>
      <c r="F61" s="522">
        <f t="shared" si="38"/>
        <v>763914</v>
      </c>
      <c r="G61" s="522">
        <f t="shared" si="38"/>
        <v>900000</v>
      </c>
      <c r="H61" s="522">
        <f t="shared" si="38"/>
        <v>736086</v>
      </c>
      <c r="I61" s="522">
        <f t="shared" si="38"/>
        <v>37500</v>
      </c>
      <c r="J61" s="522">
        <f t="shared" si="38"/>
        <v>37500</v>
      </c>
      <c r="K61" s="522">
        <f t="shared" si="38"/>
        <v>16333</v>
      </c>
      <c r="L61" s="522">
        <f>+L62</f>
        <v>0</v>
      </c>
      <c r="M61" s="538">
        <f>+M62</f>
        <v>1727419</v>
      </c>
      <c r="N61" s="4408"/>
    </row>
    <row r="62" spans="1:15" s="1783" customFormat="1" ht="13.5" customHeight="1">
      <c r="A62" s="3661"/>
      <c r="B62" s="1714" t="s">
        <v>302</v>
      </c>
      <c r="C62" s="4396"/>
      <c r="D62" s="1641">
        <f>E62+L62+F62+G62+H62+I62+J62+K62</f>
        <v>4482241</v>
      </c>
      <c r="E62" s="1711">
        <f>1113241+877667</f>
        <v>1990908</v>
      </c>
      <c r="F62" s="1712">
        <f>1050000-255000-31086</f>
        <v>763914</v>
      </c>
      <c r="G62" s="1712">
        <v>900000</v>
      </c>
      <c r="H62" s="1712">
        <f>450000+255000+31086</f>
        <v>736086</v>
      </c>
      <c r="I62" s="1712">
        <v>37500</v>
      </c>
      <c r="J62" s="1712">
        <v>37500</v>
      </c>
      <c r="K62" s="1712">
        <v>16333</v>
      </c>
      <c r="L62" s="1712">
        <v>0</v>
      </c>
      <c r="M62" s="1713">
        <f>SUM(G62:K62)</f>
        <v>1727419</v>
      </c>
      <c r="N62" s="4408"/>
    </row>
    <row r="63" spans="1:15" s="1783" customFormat="1" ht="13.5" customHeight="1">
      <c r="A63" s="3661"/>
      <c r="B63" s="1705" t="s">
        <v>20</v>
      </c>
      <c r="C63" s="1655"/>
      <c r="D63" s="1581">
        <f t="shared" ref="D63:K63" si="39">+D64+D66</f>
        <v>5976322</v>
      </c>
      <c r="E63" s="1581">
        <f t="shared" si="39"/>
        <v>2654543</v>
      </c>
      <c r="F63" s="1581">
        <f t="shared" si="39"/>
        <v>1018552</v>
      </c>
      <c r="G63" s="1581">
        <f t="shared" si="39"/>
        <v>1200000</v>
      </c>
      <c r="H63" s="1581">
        <f t="shared" si="39"/>
        <v>981448</v>
      </c>
      <c r="I63" s="1581">
        <f t="shared" si="39"/>
        <v>50000</v>
      </c>
      <c r="J63" s="1581">
        <f t="shared" si="39"/>
        <v>50000</v>
      </c>
      <c r="K63" s="1581">
        <f t="shared" si="39"/>
        <v>21779</v>
      </c>
      <c r="L63" s="1581">
        <f>+L64+L66</f>
        <v>0</v>
      </c>
      <c r="M63" s="4397" t="s">
        <v>52</v>
      </c>
      <c r="N63" s="4408"/>
    </row>
    <row r="64" spans="1:15" s="1783" customFormat="1" ht="13.5" customHeight="1">
      <c r="A64" s="3661"/>
      <c r="B64" s="1707" t="s">
        <v>10</v>
      </c>
      <c r="C64" s="4398" t="s">
        <v>433</v>
      </c>
      <c r="D64" s="522">
        <f>+D65</f>
        <v>1494081</v>
      </c>
      <c r="E64" s="522">
        <f t="shared" ref="E64:K64" si="40">+E65</f>
        <v>663635</v>
      </c>
      <c r="F64" s="522">
        <f t="shared" si="40"/>
        <v>254638</v>
      </c>
      <c r="G64" s="522">
        <f t="shared" si="40"/>
        <v>300000</v>
      </c>
      <c r="H64" s="522">
        <f t="shared" si="40"/>
        <v>245362</v>
      </c>
      <c r="I64" s="522">
        <f t="shared" si="40"/>
        <v>12500</v>
      </c>
      <c r="J64" s="522">
        <f t="shared" si="40"/>
        <v>12500</v>
      </c>
      <c r="K64" s="522">
        <f t="shared" si="40"/>
        <v>5446</v>
      </c>
      <c r="L64" s="522">
        <f>+L65</f>
        <v>0</v>
      </c>
      <c r="M64" s="4397"/>
      <c r="N64" s="4408"/>
    </row>
    <row r="65" spans="1:15" s="1783" customFormat="1" ht="13.5" customHeight="1">
      <c r="A65" s="3661"/>
      <c r="B65" s="1714" t="s">
        <v>218</v>
      </c>
      <c r="C65" s="4398"/>
      <c r="D65" s="1641">
        <f>E65+L65+F65+G65+H65+I65+J65+K65</f>
        <v>1494081</v>
      </c>
      <c r="E65" s="1711">
        <f>371080+292555</f>
        <v>663635</v>
      </c>
      <c r="F65" s="1711">
        <f>350000-85000-10362</f>
        <v>254638</v>
      </c>
      <c r="G65" s="1711">
        <v>300000</v>
      </c>
      <c r="H65" s="1711">
        <f>150000+85000+10362</f>
        <v>245362</v>
      </c>
      <c r="I65" s="1711">
        <v>12500</v>
      </c>
      <c r="J65" s="1711">
        <v>12500</v>
      </c>
      <c r="K65" s="1711">
        <v>5446</v>
      </c>
      <c r="L65" s="1711">
        <v>0</v>
      </c>
      <c r="M65" s="4397"/>
      <c r="N65" s="4408"/>
    </row>
    <row r="66" spans="1:15" s="1783" customFormat="1" ht="13.5" customHeight="1">
      <c r="A66" s="3661"/>
      <c r="B66" s="1715" t="s">
        <v>17</v>
      </c>
      <c r="C66" s="4398"/>
      <c r="D66" s="522">
        <f>+D67</f>
        <v>4482241</v>
      </c>
      <c r="E66" s="522">
        <f t="shared" ref="E66:K66" si="41">+E67</f>
        <v>1990908</v>
      </c>
      <c r="F66" s="522">
        <f t="shared" si="41"/>
        <v>763914</v>
      </c>
      <c r="G66" s="522">
        <f t="shared" si="41"/>
        <v>900000</v>
      </c>
      <c r="H66" s="522">
        <f t="shared" si="41"/>
        <v>736086</v>
      </c>
      <c r="I66" s="522">
        <f t="shared" si="41"/>
        <v>37500</v>
      </c>
      <c r="J66" s="522">
        <f t="shared" si="41"/>
        <v>37500</v>
      </c>
      <c r="K66" s="522">
        <f t="shared" si="41"/>
        <v>16333</v>
      </c>
      <c r="L66" s="522">
        <f>+L67</f>
        <v>0</v>
      </c>
      <c r="M66" s="4397"/>
      <c r="N66" s="4408"/>
    </row>
    <row r="67" spans="1:15" s="1783" customFormat="1" ht="13.5" customHeight="1" thickBot="1">
      <c r="A67" s="3668"/>
      <c r="B67" s="1642" t="s">
        <v>302</v>
      </c>
      <c r="C67" s="4399"/>
      <c r="D67" s="1785">
        <f>E67+L67+F67+G67+H67+I67+J67+K67</f>
        <v>4482241</v>
      </c>
      <c r="E67" s="1656">
        <f>1113241+877667</f>
        <v>1990908</v>
      </c>
      <c r="F67" s="1656">
        <f>1050000-255000-31086</f>
        <v>763914</v>
      </c>
      <c r="G67" s="1656">
        <v>900000</v>
      </c>
      <c r="H67" s="1656">
        <f>450000+255000+31086</f>
        <v>736086</v>
      </c>
      <c r="I67" s="1656">
        <v>37500</v>
      </c>
      <c r="J67" s="1656">
        <v>37500</v>
      </c>
      <c r="K67" s="1656">
        <v>16333</v>
      </c>
      <c r="L67" s="1656">
        <v>0</v>
      </c>
      <c r="M67" s="3937"/>
      <c r="N67" s="3799"/>
    </row>
    <row r="68" spans="1:15" ht="52.5" customHeight="1">
      <c r="A68" s="3661" t="s">
        <v>56</v>
      </c>
      <c r="B68" s="1415" t="s">
        <v>470</v>
      </c>
      <c r="C68" s="2113" t="s">
        <v>72</v>
      </c>
      <c r="D68" s="1646"/>
      <c r="E68" s="2120"/>
      <c r="F68" s="2114"/>
      <c r="G68" s="2114"/>
      <c r="H68" s="1646"/>
      <c r="I68" s="1646"/>
      <c r="J68" s="1646"/>
      <c r="K68" s="2115"/>
      <c r="L68" s="2114"/>
      <c r="M68" s="556"/>
      <c r="N68" s="3709" t="s">
        <v>563</v>
      </c>
    </row>
    <row r="69" spans="1:15" ht="15.75" customHeight="1">
      <c r="A69" s="3661"/>
      <c r="B69" s="720" t="s">
        <v>9</v>
      </c>
      <c r="C69" s="1177"/>
      <c r="D69" s="519">
        <f>+D70+D72</f>
        <v>1016020</v>
      </c>
      <c r="E69" s="519">
        <f>+E70+E72</f>
        <v>49100</v>
      </c>
      <c r="F69" s="519">
        <f t="shared" ref="F69:H69" si="42">+F70+F72</f>
        <v>80716</v>
      </c>
      <c r="G69" s="519">
        <f t="shared" si="42"/>
        <v>707804</v>
      </c>
      <c r="H69" s="519">
        <f t="shared" si="42"/>
        <v>178400</v>
      </c>
      <c r="I69" s="519">
        <v>0</v>
      </c>
      <c r="J69" s="519">
        <v>0</v>
      </c>
      <c r="K69" s="519">
        <v>0</v>
      </c>
      <c r="L69" s="519">
        <f>+L70+L72</f>
        <v>0</v>
      </c>
      <c r="M69" s="1570">
        <f>+M70+M72</f>
        <v>886204</v>
      </c>
      <c r="N69" s="3710"/>
      <c r="O69" s="260" t="s">
        <v>366</v>
      </c>
    </row>
    <row r="70" spans="1:15" ht="12.75" customHeight="1">
      <c r="A70" s="3661"/>
      <c r="B70" s="3426" t="s">
        <v>22</v>
      </c>
      <c r="C70" s="3682" t="s">
        <v>201</v>
      </c>
      <c r="D70" s="460">
        <f>+D71</f>
        <v>174504</v>
      </c>
      <c r="E70" s="3427">
        <f>+E71</f>
        <v>29465</v>
      </c>
      <c r="F70" s="3427">
        <f>+F71</f>
        <v>12107</v>
      </c>
      <c r="G70" s="3427">
        <f t="shared" ref="G70:H70" si="43">+G71</f>
        <v>106172</v>
      </c>
      <c r="H70" s="3427">
        <f t="shared" si="43"/>
        <v>26760</v>
      </c>
      <c r="I70" s="3067">
        <v>0</v>
      </c>
      <c r="J70" s="3067">
        <v>0</v>
      </c>
      <c r="K70" s="3067">
        <v>0</v>
      </c>
      <c r="L70" s="3427">
        <f>+L71</f>
        <v>0</v>
      </c>
      <c r="M70" s="459">
        <f>+M71</f>
        <v>132932</v>
      </c>
      <c r="N70" s="3710"/>
    </row>
    <row r="71" spans="1:15" ht="12.75" customHeight="1">
      <c r="A71" s="3661"/>
      <c r="B71" s="905" t="s">
        <v>11</v>
      </c>
      <c r="C71" s="3722"/>
      <c r="D71" s="698">
        <f>E71+L71+F71+G71+H71+I71+J71+K71</f>
        <v>174504</v>
      </c>
      <c r="E71" s="698">
        <v>29465</v>
      </c>
      <c r="F71" s="3063">
        <f>53796+12764-33030-21423</f>
        <v>12107</v>
      </c>
      <c r="G71" s="3063">
        <f>51719+33030+21423</f>
        <v>106172</v>
      </c>
      <c r="H71" s="3063">
        <v>26760</v>
      </c>
      <c r="I71" s="3067">
        <v>0</v>
      </c>
      <c r="J71" s="3067">
        <v>0</v>
      </c>
      <c r="K71" s="3067">
        <v>0</v>
      </c>
      <c r="L71" s="3063">
        <f>16229-16229</f>
        <v>0</v>
      </c>
      <c r="M71" s="1713">
        <f>SUM(G71:K71)</f>
        <v>132932</v>
      </c>
      <c r="N71" s="3710"/>
    </row>
    <row r="72" spans="1:15" ht="14.25" customHeight="1">
      <c r="A72" s="3661"/>
      <c r="B72" s="711" t="s">
        <v>17</v>
      </c>
      <c r="C72" s="3722"/>
      <c r="D72" s="460">
        <f>+D73</f>
        <v>841516</v>
      </c>
      <c r="E72" s="3427">
        <f>+E73</f>
        <v>19635</v>
      </c>
      <c r="F72" s="3427">
        <f t="shared" ref="F72:H72" si="44">+F73</f>
        <v>68609</v>
      </c>
      <c r="G72" s="3427">
        <f t="shared" si="44"/>
        <v>601632</v>
      </c>
      <c r="H72" s="3427">
        <f t="shared" si="44"/>
        <v>151640</v>
      </c>
      <c r="I72" s="3067">
        <v>0</v>
      </c>
      <c r="J72" s="3067">
        <v>0</v>
      </c>
      <c r="K72" s="3067">
        <v>0</v>
      </c>
      <c r="L72" s="3427">
        <f>+L73</f>
        <v>0</v>
      </c>
      <c r="M72" s="459">
        <f>+M73</f>
        <v>753272</v>
      </c>
      <c r="N72" s="3710"/>
    </row>
    <row r="73" spans="1:15" ht="12.75" customHeight="1">
      <c r="A73" s="3661"/>
      <c r="B73" s="2544" t="s">
        <v>19</v>
      </c>
      <c r="C73" s="3789"/>
      <c r="D73" s="698">
        <f>E73+L73+F73+G73+H73+I73+J73+K73</f>
        <v>841516</v>
      </c>
      <c r="E73" s="1576">
        <v>19635</v>
      </c>
      <c r="F73" s="3428">
        <f>304844+72326-187170-121391</f>
        <v>68609</v>
      </c>
      <c r="G73" s="3428">
        <f>293071+187170+121391</f>
        <v>601632</v>
      </c>
      <c r="H73" s="3428">
        <v>151640</v>
      </c>
      <c r="I73" s="3067">
        <v>0</v>
      </c>
      <c r="J73" s="3067">
        <v>0</v>
      </c>
      <c r="K73" s="3067">
        <v>0</v>
      </c>
      <c r="L73" s="3428">
        <f>91961-91961</f>
        <v>0</v>
      </c>
      <c r="M73" s="1713">
        <f>SUM(G73:K73)</f>
        <v>753272</v>
      </c>
      <c r="N73" s="3710"/>
    </row>
    <row r="74" spans="1:15" ht="12" customHeight="1">
      <c r="A74" s="3661"/>
      <c r="B74" s="720" t="s">
        <v>20</v>
      </c>
      <c r="C74" s="1177"/>
      <c r="D74" s="519">
        <f t="shared" ref="D74:H75" si="45">+D75</f>
        <v>841516</v>
      </c>
      <c r="E74" s="2467">
        <f t="shared" si="45"/>
        <v>0</v>
      </c>
      <c r="F74" s="82">
        <f t="shared" si="45"/>
        <v>91961</v>
      </c>
      <c r="G74" s="82">
        <f t="shared" si="45"/>
        <v>597915</v>
      </c>
      <c r="H74" s="82">
        <f t="shared" si="45"/>
        <v>151640</v>
      </c>
      <c r="I74" s="519">
        <v>0</v>
      </c>
      <c r="J74" s="519">
        <v>0</v>
      </c>
      <c r="K74" s="519">
        <v>0</v>
      </c>
      <c r="L74" s="82">
        <f>+L75</f>
        <v>0</v>
      </c>
      <c r="M74" s="3756"/>
      <c r="N74" s="3710" t="s">
        <v>562</v>
      </c>
    </row>
    <row r="75" spans="1:15" ht="13.5" customHeight="1">
      <c r="A75" s="3661"/>
      <c r="B75" s="711" t="s">
        <v>17</v>
      </c>
      <c r="C75" s="3827" t="s">
        <v>204</v>
      </c>
      <c r="D75" s="460">
        <f t="shared" si="45"/>
        <v>841516</v>
      </c>
      <c r="E75" s="3068">
        <f t="shared" si="45"/>
        <v>0</v>
      </c>
      <c r="F75" s="3067">
        <f t="shared" si="45"/>
        <v>91961</v>
      </c>
      <c r="G75" s="3067">
        <f t="shared" si="45"/>
        <v>597915</v>
      </c>
      <c r="H75" s="3067">
        <f t="shared" si="45"/>
        <v>151640</v>
      </c>
      <c r="I75" s="3067">
        <v>0</v>
      </c>
      <c r="J75" s="3067">
        <v>0</v>
      </c>
      <c r="K75" s="3067">
        <v>0</v>
      </c>
      <c r="L75" s="3067">
        <f>+L76</f>
        <v>0</v>
      </c>
      <c r="M75" s="3717"/>
      <c r="N75" s="3710"/>
    </row>
    <row r="76" spans="1:15" ht="13.5" customHeight="1" thickBot="1">
      <c r="A76" s="3668"/>
      <c r="B76" s="2443" t="s">
        <v>19</v>
      </c>
      <c r="C76" s="3666"/>
      <c r="D76" s="698">
        <f>E76+L76+F76+G76+H76+I76+J76+K76</f>
        <v>841516</v>
      </c>
      <c r="E76" s="3075">
        <v>0</v>
      </c>
      <c r="F76" s="1433">
        <f>304844+91961-187170-117674</f>
        <v>91961</v>
      </c>
      <c r="G76" s="1433">
        <f>293071+187170+117674</f>
        <v>597915</v>
      </c>
      <c r="H76" s="1433">
        <v>151640</v>
      </c>
      <c r="I76" s="1433">
        <v>0</v>
      </c>
      <c r="J76" s="1433">
        <v>0</v>
      </c>
      <c r="K76" s="1433">
        <v>0</v>
      </c>
      <c r="L76" s="1433">
        <f>91961-91961</f>
        <v>0</v>
      </c>
      <c r="M76" s="3718"/>
      <c r="N76" s="3711"/>
    </row>
    <row r="77" spans="1:15" ht="50.25" customHeight="1">
      <c r="A77" s="3660" t="s">
        <v>57</v>
      </c>
      <c r="B77" s="1415" t="s">
        <v>471</v>
      </c>
      <c r="C77" s="2113" t="s">
        <v>160</v>
      </c>
      <c r="D77" s="1646"/>
      <c r="E77" s="1646"/>
      <c r="F77" s="2114"/>
      <c r="G77" s="2114"/>
      <c r="H77" s="1646"/>
      <c r="I77" s="1646"/>
      <c r="J77" s="1646"/>
      <c r="K77" s="2115"/>
      <c r="L77" s="2114"/>
      <c r="M77" s="556"/>
      <c r="N77" s="3709" t="s">
        <v>563</v>
      </c>
    </row>
    <row r="78" spans="1:15" ht="13.5" customHeight="1">
      <c r="A78" s="3661"/>
      <c r="B78" s="720" t="s">
        <v>9</v>
      </c>
      <c r="C78" s="1177"/>
      <c r="D78" s="519">
        <f>+D79+D81</f>
        <v>9980</v>
      </c>
      <c r="E78" s="544">
        <f>+E79+E81</f>
        <v>0</v>
      </c>
      <c r="F78" s="519">
        <f t="shared" ref="F78:G78" si="46">+F79+F81</f>
        <v>3300</v>
      </c>
      <c r="G78" s="519">
        <f t="shared" si="46"/>
        <v>6680</v>
      </c>
      <c r="H78" s="519">
        <v>0</v>
      </c>
      <c r="I78" s="519">
        <v>0</v>
      </c>
      <c r="J78" s="519">
        <v>0</v>
      </c>
      <c r="K78" s="519">
        <v>0</v>
      </c>
      <c r="L78" s="519">
        <f>+L79+L81</f>
        <v>0</v>
      </c>
      <c r="M78" s="1570">
        <f>+M79+M81</f>
        <v>6680</v>
      </c>
      <c r="N78" s="3710"/>
    </row>
    <row r="79" spans="1:15" ht="13.5" customHeight="1">
      <c r="A79" s="3661"/>
      <c r="B79" s="3426" t="s">
        <v>22</v>
      </c>
      <c r="C79" s="3682" t="s">
        <v>201</v>
      </c>
      <c r="D79" s="460">
        <f>+D80</f>
        <v>1497</v>
      </c>
      <c r="E79" s="3429">
        <f>+E80</f>
        <v>0</v>
      </c>
      <c r="F79" s="3427">
        <f t="shared" ref="F79:G79" si="47">+F80</f>
        <v>495</v>
      </c>
      <c r="G79" s="3427">
        <f t="shared" si="47"/>
        <v>1002</v>
      </c>
      <c r="H79" s="3067">
        <v>0</v>
      </c>
      <c r="I79" s="3067">
        <v>0</v>
      </c>
      <c r="J79" s="3067">
        <v>0</v>
      </c>
      <c r="K79" s="3067">
        <v>0</v>
      </c>
      <c r="L79" s="3427">
        <f>+L80</f>
        <v>0</v>
      </c>
      <c r="M79" s="459">
        <f>+M80</f>
        <v>1002</v>
      </c>
      <c r="N79" s="3710"/>
      <c r="O79" s="260" t="s">
        <v>366</v>
      </c>
    </row>
    <row r="80" spans="1:15" ht="13.5" customHeight="1">
      <c r="A80" s="3661"/>
      <c r="B80" s="905" t="s">
        <v>11</v>
      </c>
      <c r="C80" s="3722"/>
      <c r="D80" s="698">
        <f>E80+L80+F80+G80+H80+I80+J80+K80</f>
        <v>1497</v>
      </c>
      <c r="E80" s="3075">
        <v>0</v>
      </c>
      <c r="F80" s="3063">
        <f>495+507-495-12</f>
        <v>495</v>
      </c>
      <c r="G80" s="3063">
        <f>495+495+12</f>
        <v>1002</v>
      </c>
      <c r="H80" s="3067">
        <v>0</v>
      </c>
      <c r="I80" s="3067">
        <v>0</v>
      </c>
      <c r="J80" s="3067">
        <v>0</v>
      </c>
      <c r="K80" s="3067">
        <v>0</v>
      </c>
      <c r="L80" s="3063">
        <f>507-507</f>
        <v>0</v>
      </c>
      <c r="M80" s="1713">
        <f>SUM(G80:K80)</f>
        <v>1002</v>
      </c>
      <c r="N80" s="3710"/>
    </row>
    <row r="81" spans="1:14" ht="13.5" customHeight="1">
      <c r="A81" s="3661"/>
      <c r="B81" s="711" t="s">
        <v>17</v>
      </c>
      <c r="C81" s="3722"/>
      <c r="D81" s="460">
        <f>+D82</f>
        <v>8483</v>
      </c>
      <c r="E81" s="3429">
        <f>+E82</f>
        <v>0</v>
      </c>
      <c r="F81" s="3427">
        <f t="shared" ref="F81:G81" si="48">+F82</f>
        <v>2805</v>
      </c>
      <c r="G81" s="3427">
        <f t="shared" si="48"/>
        <v>5678</v>
      </c>
      <c r="H81" s="3067">
        <v>0</v>
      </c>
      <c r="I81" s="3067">
        <v>0</v>
      </c>
      <c r="J81" s="3067">
        <v>0</v>
      </c>
      <c r="K81" s="3067">
        <v>0</v>
      </c>
      <c r="L81" s="3427">
        <f>+L82</f>
        <v>0</v>
      </c>
      <c r="M81" s="459">
        <f>+M82</f>
        <v>5678</v>
      </c>
      <c r="N81" s="3710"/>
    </row>
    <row r="82" spans="1:14" ht="13.5" customHeight="1">
      <c r="A82" s="3661"/>
      <c r="B82" s="2544" t="s">
        <v>19</v>
      </c>
      <c r="C82" s="3789"/>
      <c r="D82" s="698">
        <f>E82+L82+F82+G82+H82+I82+J82+K82</f>
        <v>8483</v>
      </c>
      <c r="E82" s="3075">
        <v>0</v>
      </c>
      <c r="F82" s="3063">
        <f>2805+2873-2805-68</f>
        <v>2805</v>
      </c>
      <c r="G82" s="3063">
        <f>2805+2805+68</f>
        <v>5678</v>
      </c>
      <c r="H82" s="3067">
        <v>0</v>
      </c>
      <c r="I82" s="3067">
        <v>0</v>
      </c>
      <c r="J82" s="3067">
        <v>0</v>
      </c>
      <c r="K82" s="3067">
        <v>0</v>
      </c>
      <c r="L82" s="3063">
        <f>2873-2873</f>
        <v>0</v>
      </c>
      <c r="M82" s="1713">
        <f>SUM(G82:K82)</f>
        <v>5678</v>
      </c>
      <c r="N82" s="3710"/>
    </row>
    <row r="83" spans="1:14" ht="13.5" customHeight="1">
      <c r="A83" s="3661"/>
      <c r="B83" s="720" t="s">
        <v>20</v>
      </c>
      <c r="C83" s="1177"/>
      <c r="D83" s="519">
        <f t="shared" ref="D83:G84" si="49">+D84</f>
        <v>8483</v>
      </c>
      <c r="E83" s="544">
        <f t="shared" si="49"/>
        <v>0</v>
      </c>
      <c r="F83" s="519">
        <f t="shared" si="49"/>
        <v>2873</v>
      </c>
      <c r="G83" s="519">
        <f t="shared" si="49"/>
        <v>5610</v>
      </c>
      <c r="H83" s="519">
        <v>0</v>
      </c>
      <c r="I83" s="519">
        <v>0</v>
      </c>
      <c r="J83" s="519">
        <v>0</v>
      </c>
      <c r="K83" s="519">
        <v>0</v>
      </c>
      <c r="L83" s="519">
        <f>+L84</f>
        <v>0</v>
      </c>
      <c r="M83" s="3973"/>
      <c r="N83" s="4416" t="s">
        <v>562</v>
      </c>
    </row>
    <row r="84" spans="1:14" ht="13.5" customHeight="1">
      <c r="A84" s="3661"/>
      <c r="B84" s="711" t="s">
        <v>17</v>
      </c>
      <c r="C84" s="3827" t="s">
        <v>204</v>
      </c>
      <c r="D84" s="460">
        <f t="shared" si="49"/>
        <v>8483</v>
      </c>
      <c r="E84" s="3068">
        <f t="shared" si="49"/>
        <v>0</v>
      </c>
      <c r="F84" s="3067">
        <f t="shared" si="49"/>
        <v>2873</v>
      </c>
      <c r="G84" s="3067">
        <f t="shared" si="49"/>
        <v>5610</v>
      </c>
      <c r="H84" s="3067">
        <v>0</v>
      </c>
      <c r="I84" s="3067">
        <v>0</v>
      </c>
      <c r="J84" s="3067">
        <v>0</v>
      </c>
      <c r="K84" s="3067">
        <v>0</v>
      </c>
      <c r="L84" s="3067">
        <f>+L85</f>
        <v>0</v>
      </c>
      <c r="M84" s="3982"/>
      <c r="N84" s="4417"/>
    </row>
    <row r="85" spans="1:14" ht="13.5" customHeight="1" thickBot="1">
      <c r="A85" s="3668"/>
      <c r="B85" s="2443" t="s">
        <v>19</v>
      </c>
      <c r="C85" s="3666"/>
      <c r="D85" s="1636">
        <f>E85+L85+F85+G85+H85+I85+J85+K85</f>
        <v>8483</v>
      </c>
      <c r="E85" s="1909">
        <v>0</v>
      </c>
      <c r="F85" s="1433">
        <f>2805+2873-2805</f>
        <v>2873</v>
      </c>
      <c r="G85" s="1433">
        <f>2805+2805</f>
        <v>5610</v>
      </c>
      <c r="H85" s="1433">
        <v>0</v>
      </c>
      <c r="I85" s="1433">
        <v>0</v>
      </c>
      <c r="J85" s="1433">
        <v>0</v>
      </c>
      <c r="K85" s="1433">
        <v>0</v>
      </c>
      <c r="L85" s="1433">
        <f>2873-2873</f>
        <v>0</v>
      </c>
      <c r="M85" s="3983"/>
      <c r="N85" s="4418"/>
    </row>
    <row r="86" spans="1:14" ht="27" customHeight="1">
      <c r="A86" s="3660" t="s">
        <v>58</v>
      </c>
      <c r="B86" s="1415" t="s">
        <v>436</v>
      </c>
      <c r="C86" s="2113" t="s">
        <v>160</v>
      </c>
      <c r="D86" s="1646"/>
      <c r="E86" s="1646"/>
      <c r="F86" s="2114"/>
      <c r="G86" s="2114"/>
      <c r="H86" s="1646"/>
      <c r="I86" s="1646"/>
      <c r="J86" s="1646"/>
      <c r="K86" s="2115"/>
      <c r="L86" s="2114"/>
      <c r="M86" s="1928"/>
      <c r="N86" s="3709" t="s">
        <v>563</v>
      </c>
    </row>
    <row r="87" spans="1:14" ht="13.5" customHeight="1">
      <c r="A87" s="4395"/>
      <c r="B87" s="720" t="s">
        <v>9</v>
      </c>
      <c r="C87" s="1177"/>
      <c r="D87" s="519">
        <f>+D88+D90</f>
        <v>320000</v>
      </c>
      <c r="E87" s="544">
        <f>+E88+E90</f>
        <v>0</v>
      </c>
      <c r="F87" s="519">
        <f t="shared" ref="F87:H87" si="50">+F88+F90</f>
        <v>141483</v>
      </c>
      <c r="G87" s="519">
        <f t="shared" si="50"/>
        <v>151217</v>
      </c>
      <c r="H87" s="519">
        <f t="shared" si="50"/>
        <v>27300</v>
      </c>
      <c r="I87" s="519">
        <v>0</v>
      </c>
      <c r="J87" s="519">
        <v>0</v>
      </c>
      <c r="K87" s="519">
        <v>0</v>
      </c>
      <c r="L87" s="519">
        <f>+L88+L90</f>
        <v>0</v>
      </c>
      <c r="M87" s="2036">
        <f>+M88+M90</f>
        <v>178517</v>
      </c>
      <c r="N87" s="3710"/>
    </row>
    <row r="88" spans="1:14" ht="13.5" customHeight="1">
      <c r="A88" s="4395"/>
      <c r="B88" s="3426" t="s">
        <v>22</v>
      </c>
      <c r="C88" s="3682" t="s">
        <v>201</v>
      </c>
      <c r="D88" s="460">
        <f>+D89</f>
        <v>48000</v>
      </c>
      <c r="E88" s="3429">
        <f>+E89</f>
        <v>0</v>
      </c>
      <c r="F88" s="3427">
        <f t="shared" ref="F88:H88" si="51">+F89</f>
        <v>21223</v>
      </c>
      <c r="G88" s="3427">
        <f t="shared" si="51"/>
        <v>22682</v>
      </c>
      <c r="H88" s="3427">
        <f t="shared" si="51"/>
        <v>4095</v>
      </c>
      <c r="I88" s="3067">
        <v>0</v>
      </c>
      <c r="J88" s="3067">
        <v>0</v>
      </c>
      <c r="K88" s="3067">
        <v>0</v>
      </c>
      <c r="L88" s="3427">
        <f>+L89</f>
        <v>0</v>
      </c>
      <c r="M88" s="2035">
        <f>+M89</f>
        <v>26777</v>
      </c>
      <c r="N88" s="3710"/>
    </row>
    <row r="89" spans="1:14" ht="13.5" customHeight="1">
      <c r="A89" s="3661"/>
      <c r="B89" s="905" t="s">
        <v>11</v>
      </c>
      <c r="C89" s="3722"/>
      <c r="D89" s="698">
        <f>SUM(E89:K89)</f>
        <v>48000</v>
      </c>
      <c r="E89" s="3075">
        <v>0</v>
      </c>
      <c r="F89" s="3063">
        <f>27555-6332</f>
        <v>21223</v>
      </c>
      <c r="G89" s="3063">
        <f>16350+6332</f>
        <v>22682</v>
      </c>
      <c r="H89" s="3063">
        <v>4095</v>
      </c>
      <c r="I89" s="3067">
        <v>0</v>
      </c>
      <c r="J89" s="3067">
        <v>0</v>
      </c>
      <c r="K89" s="3067">
        <v>0</v>
      </c>
      <c r="L89" s="3063">
        <f>507-507</f>
        <v>0</v>
      </c>
      <c r="M89" s="1713">
        <f>SUM(G89:K89)</f>
        <v>26777</v>
      </c>
      <c r="N89" s="3710"/>
    </row>
    <row r="90" spans="1:14" ht="13.5" customHeight="1">
      <c r="A90" s="3661"/>
      <c r="B90" s="711" t="s">
        <v>17</v>
      </c>
      <c r="C90" s="3722"/>
      <c r="D90" s="460">
        <f>+D91</f>
        <v>272000</v>
      </c>
      <c r="E90" s="3429">
        <f>+E91</f>
        <v>0</v>
      </c>
      <c r="F90" s="3427">
        <f t="shared" ref="F90:H90" si="52">+F91</f>
        <v>120260</v>
      </c>
      <c r="G90" s="3427">
        <f t="shared" si="52"/>
        <v>128535</v>
      </c>
      <c r="H90" s="3427">
        <f t="shared" si="52"/>
        <v>23205</v>
      </c>
      <c r="I90" s="3067">
        <v>0</v>
      </c>
      <c r="J90" s="3067">
        <v>0</v>
      </c>
      <c r="K90" s="3067">
        <v>0</v>
      </c>
      <c r="L90" s="3427">
        <f>+L91</f>
        <v>0</v>
      </c>
      <c r="M90" s="2035">
        <f>+M91</f>
        <v>151740</v>
      </c>
      <c r="N90" s="3710"/>
    </row>
    <row r="91" spans="1:14" ht="13.5" customHeight="1">
      <c r="A91" s="3661"/>
      <c r="B91" s="2544" t="s">
        <v>19</v>
      </c>
      <c r="C91" s="3789"/>
      <c r="D91" s="698">
        <f>SUM(E91:K91)</f>
        <v>272000</v>
      </c>
      <c r="E91" s="3075">
        <v>0</v>
      </c>
      <c r="F91" s="3063">
        <f>156145-35885</f>
        <v>120260</v>
      </c>
      <c r="G91" s="3063">
        <f>92650+35885</f>
        <v>128535</v>
      </c>
      <c r="H91" s="3063">
        <v>23205</v>
      </c>
      <c r="I91" s="3067">
        <v>0</v>
      </c>
      <c r="J91" s="3067">
        <v>0</v>
      </c>
      <c r="K91" s="3067">
        <v>0</v>
      </c>
      <c r="L91" s="3063">
        <f>2873-2873</f>
        <v>0</v>
      </c>
      <c r="M91" s="1713">
        <f>SUM(G91:K91)</f>
        <v>151740</v>
      </c>
      <c r="N91" s="3710"/>
    </row>
    <row r="92" spans="1:14" ht="13.5" customHeight="1">
      <c r="A92" s="3661"/>
      <c r="B92" s="720" t="s">
        <v>20</v>
      </c>
      <c r="C92" s="1177"/>
      <c r="D92" s="519">
        <f t="shared" ref="D92:H93" si="53">+D93</f>
        <v>272000</v>
      </c>
      <c r="E92" s="544">
        <f t="shared" si="53"/>
        <v>0</v>
      </c>
      <c r="F92" s="519">
        <f t="shared" si="53"/>
        <v>156145</v>
      </c>
      <c r="G92" s="519">
        <f t="shared" si="53"/>
        <v>92650</v>
      </c>
      <c r="H92" s="519">
        <f t="shared" si="53"/>
        <v>23205</v>
      </c>
      <c r="I92" s="519">
        <v>0</v>
      </c>
      <c r="J92" s="519">
        <v>0</v>
      </c>
      <c r="K92" s="519">
        <v>0</v>
      </c>
      <c r="L92" s="519">
        <f>+L93</f>
        <v>0</v>
      </c>
      <c r="M92" s="3973"/>
      <c r="N92" s="4416" t="s">
        <v>562</v>
      </c>
    </row>
    <row r="93" spans="1:14" ht="13.5" customHeight="1">
      <c r="A93" s="4395"/>
      <c r="B93" s="711" t="s">
        <v>17</v>
      </c>
      <c r="C93" s="3827" t="s">
        <v>204</v>
      </c>
      <c r="D93" s="460">
        <f t="shared" si="53"/>
        <v>272000</v>
      </c>
      <c r="E93" s="3068">
        <f t="shared" si="53"/>
        <v>0</v>
      </c>
      <c r="F93" s="3067">
        <f t="shared" si="53"/>
        <v>156145</v>
      </c>
      <c r="G93" s="3067">
        <f t="shared" si="53"/>
        <v>92650</v>
      </c>
      <c r="H93" s="3067">
        <f t="shared" si="53"/>
        <v>23205</v>
      </c>
      <c r="I93" s="3067">
        <v>0</v>
      </c>
      <c r="J93" s="3067">
        <v>0</v>
      </c>
      <c r="K93" s="3067">
        <v>0</v>
      </c>
      <c r="L93" s="3067">
        <f>+L94</f>
        <v>0</v>
      </c>
      <c r="M93" s="3982"/>
      <c r="N93" s="4417"/>
    </row>
    <row r="94" spans="1:14" ht="13.5" customHeight="1" thickBot="1">
      <c r="A94" s="4395"/>
      <c r="B94" s="2544" t="s">
        <v>19</v>
      </c>
      <c r="C94" s="3665"/>
      <c r="D94" s="1115">
        <f>SUM(E94:K94)</f>
        <v>272000</v>
      </c>
      <c r="E94" s="2165">
        <v>0</v>
      </c>
      <c r="F94" s="1210">
        <v>156145</v>
      </c>
      <c r="G94" s="1210">
        <v>92650</v>
      </c>
      <c r="H94" s="1210">
        <v>23205</v>
      </c>
      <c r="I94" s="1210">
        <v>0</v>
      </c>
      <c r="J94" s="1210">
        <v>0</v>
      </c>
      <c r="K94" s="1210">
        <v>0</v>
      </c>
      <c r="L94" s="1210">
        <f>2873-2873</f>
        <v>0</v>
      </c>
      <c r="M94" s="3982"/>
      <c r="N94" s="4418"/>
    </row>
    <row r="95" spans="1:14" ht="39.75" customHeight="1">
      <c r="A95" s="3660" t="s">
        <v>105</v>
      </c>
      <c r="B95" s="1415" t="s">
        <v>437</v>
      </c>
      <c r="C95" s="2113" t="s">
        <v>160</v>
      </c>
      <c r="D95" s="1646"/>
      <c r="E95" s="2120"/>
      <c r="F95" s="2114"/>
      <c r="G95" s="2114"/>
      <c r="H95" s="1646"/>
      <c r="I95" s="1646"/>
      <c r="J95" s="1646"/>
      <c r="K95" s="2115"/>
      <c r="L95" s="2114"/>
      <c r="M95" s="1928"/>
      <c r="N95" s="3709" t="s">
        <v>563</v>
      </c>
    </row>
    <row r="96" spans="1:14" ht="15.75" customHeight="1">
      <c r="A96" s="4395"/>
      <c r="B96" s="1176" t="s">
        <v>9</v>
      </c>
      <c r="C96" s="1999"/>
      <c r="D96" s="1178">
        <f>+D97+D99</f>
        <v>3446020</v>
      </c>
      <c r="E96" s="1421">
        <f>+E97+E99</f>
        <v>0</v>
      </c>
      <c r="F96" s="1178">
        <f t="shared" ref="F96:K96" si="54">+F97+F99</f>
        <v>0</v>
      </c>
      <c r="G96" s="1178">
        <f t="shared" si="54"/>
        <v>298278</v>
      </c>
      <c r="H96" s="1178">
        <f t="shared" si="54"/>
        <v>1324061</v>
      </c>
      <c r="I96" s="1178">
        <f t="shared" si="54"/>
        <v>735528</v>
      </c>
      <c r="J96" s="1178">
        <f t="shared" si="54"/>
        <v>944889</v>
      </c>
      <c r="K96" s="1178">
        <f t="shared" si="54"/>
        <v>143264</v>
      </c>
      <c r="L96" s="1178">
        <f>+L97+L99</f>
        <v>0</v>
      </c>
      <c r="M96" s="2036">
        <f>+M97+M99</f>
        <v>3446020</v>
      </c>
      <c r="N96" s="3710"/>
    </row>
    <row r="97" spans="1:15" ht="13.5" customHeight="1">
      <c r="A97" s="4395"/>
      <c r="B97" s="1180" t="s">
        <v>22</v>
      </c>
      <c r="C97" s="3664" t="s">
        <v>201</v>
      </c>
      <c r="D97" s="1181">
        <f>+D98</f>
        <v>516903</v>
      </c>
      <c r="E97" s="1488">
        <f>+E98</f>
        <v>0</v>
      </c>
      <c r="F97" s="1186">
        <f t="shared" ref="F97:K97" si="55">+F98</f>
        <v>0</v>
      </c>
      <c r="G97" s="1186">
        <f t="shared" si="55"/>
        <v>44742</v>
      </c>
      <c r="H97" s="1186">
        <f t="shared" si="55"/>
        <v>198609</v>
      </c>
      <c r="I97" s="1186">
        <f t="shared" si="55"/>
        <v>110329</v>
      </c>
      <c r="J97" s="1186">
        <f t="shared" si="55"/>
        <v>141733</v>
      </c>
      <c r="K97" s="1186">
        <f t="shared" si="55"/>
        <v>21490</v>
      </c>
      <c r="L97" s="1186">
        <f>+L98</f>
        <v>0</v>
      </c>
      <c r="M97" s="2035">
        <f>+M98</f>
        <v>516903</v>
      </c>
      <c r="N97" s="3710"/>
    </row>
    <row r="98" spans="1:15" ht="13.5" customHeight="1">
      <c r="A98" s="4395"/>
      <c r="B98" s="1183" t="s">
        <v>11</v>
      </c>
      <c r="C98" s="3722"/>
      <c r="D98" s="1115">
        <f>SUM(E98:K98)</f>
        <v>516903</v>
      </c>
      <c r="E98" s="2165">
        <v>0</v>
      </c>
      <c r="F98" s="1184">
        <v>0</v>
      </c>
      <c r="G98" s="1184">
        <v>44742</v>
      </c>
      <c r="H98" s="1184">
        <v>198609</v>
      </c>
      <c r="I98" s="1184">
        <v>110329</v>
      </c>
      <c r="J98" s="1184">
        <v>141733</v>
      </c>
      <c r="K98" s="1184">
        <v>21490</v>
      </c>
      <c r="L98" s="1184">
        <f>507-507</f>
        <v>0</v>
      </c>
      <c r="M98" s="1713">
        <f>SUM(G98:K98)</f>
        <v>516903</v>
      </c>
      <c r="N98" s="3710"/>
    </row>
    <row r="99" spans="1:15" ht="13.5" customHeight="1">
      <c r="A99" s="4395"/>
      <c r="B99" s="1185" t="s">
        <v>17</v>
      </c>
      <c r="C99" s="3722"/>
      <c r="D99" s="1181">
        <f>+D100</f>
        <v>2929117</v>
      </c>
      <c r="E99" s="1488">
        <f>+E100</f>
        <v>0</v>
      </c>
      <c r="F99" s="1186">
        <f t="shared" ref="F99:K99" si="56">+F100</f>
        <v>0</v>
      </c>
      <c r="G99" s="1186">
        <f t="shared" si="56"/>
        <v>253536</v>
      </c>
      <c r="H99" s="1186">
        <f t="shared" si="56"/>
        <v>1125452</v>
      </c>
      <c r="I99" s="1186">
        <f t="shared" si="56"/>
        <v>625199</v>
      </c>
      <c r="J99" s="1186">
        <f t="shared" si="56"/>
        <v>803156</v>
      </c>
      <c r="K99" s="1186">
        <f t="shared" si="56"/>
        <v>121774</v>
      </c>
      <c r="L99" s="1186">
        <f>+L100</f>
        <v>0</v>
      </c>
      <c r="M99" s="2037">
        <f>+M100</f>
        <v>2929117</v>
      </c>
      <c r="N99" s="3710"/>
    </row>
    <row r="100" spans="1:15" ht="13.5" customHeight="1">
      <c r="A100" s="4395"/>
      <c r="B100" s="2572" t="s">
        <v>19</v>
      </c>
      <c r="C100" s="3789"/>
      <c r="D100" s="1155">
        <f>SUM(E100:K100)</f>
        <v>2929117</v>
      </c>
      <c r="E100" s="2802">
        <v>0</v>
      </c>
      <c r="F100" s="1194">
        <v>0</v>
      </c>
      <c r="G100" s="1194">
        <v>253536</v>
      </c>
      <c r="H100" s="1194">
        <v>1125452</v>
      </c>
      <c r="I100" s="1194">
        <v>625199</v>
      </c>
      <c r="J100" s="1194">
        <v>803156</v>
      </c>
      <c r="K100" s="1194">
        <v>121774</v>
      </c>
      <c r="L100" s="1194">
        <f>2873-2873</f>
        <v>0</v>
      </c>
      <c r="M100" s="1713">
        <f>SUM(G100:K100)</f>
        <v>2929117</v>
      </c>
      <c r="N100" s="3710"/>
    </row>
    <row r="101" spans="1:15" ht="16.5" customHeight="1" thickBot="1">
      <c r="A101" s="4395"/>
      <c r="B101" s="68" t="s">
        <v>20</v>
      </c>
      <c r="C101" s="75"/>
      <c r="D101" s="82">
        <f t="shared" ref="D101:K102" si="57">+D102</f>
        <v>2929117</v>
      </c>
      <c r="E101" s="2467">
        <f t="shared" si="57"/>
        <v>0</v>
      </c>
      <c r="F101" s="82">
        <f t="shared" si="57"/>
        <v>0</v>
      </c>
      <c r="G101" s="82">
        <f t="shared" si="57"/>
        <v>253536</v>
      </c>
      <c r="H101" s="82">
        <f t="shared" si="57"/>
        <v>1125452</v>
      </c>
      <c r="I101" s="82">
        <f t="shared" si="57"/>
        <v>625199</v>
      </c>
      <c r="J101" s="82">
        <f t="shared" si="57"/>
        <v>803156</v>
      </c>
      <c r="K101" s="82">
        <f t="shared" si="57"/>
        <v>121774</v>
      </c>
      <c r="L101" s="1947">
        <f>+L102</f>
        <v>0</v>
      </c>
      <c r="M101" s="3983"/>
      <c r="N101" s="4416" t="s">
        <v>562</v>
      </c>
    </row>
    <row r="102" spans="1:15" ht="13.5" customHeight="1">
      <c r="A102" s="4395"/>
      <c r="B102" s="2089" t="s">
        <v>17</v>
      </c>
      <c r="C102" s="4419" t="s">
        <v>204</v>
      </c>
      <c r="D102" s="1489">
        <f t="shared" si="57"/>
        <v>2929117</v>
      </c>
      <c r="E102" s="2090">
        <f t="shared" si="57"/>
        <v>0</v>
      </c>
      <c r="F102" s="1489">
        <f t="shared" si="57"/>
        <v>0</v>
      </c>
      <c r="G102" s="1489">
        <f t="shared" si="57"/>
        <v>253536</v>
      </c>
      <c r="H102" s="1489">
        <f t="shared" si="57"/>
        <v>1125452</v>
      </c>
      <c r="I102" s="1489">
        <f t="shared" si="57"/>
        <v>625199</v>
      </c>
      <c r="J102" s="1489">
        <f t="shared" si="57"/>
        <v>803156</v>
      </c>
      <c r="K102" s="1489">
        <f t="shared" si="57"/>
        <v>121774</v>
      </c>
      <c r="L102" s="2059">
        <f>+L103</f>
        <v>0</v>
      </c>
      <c r="M102" s="3982"/>
      <c r="N102" s="4417"/>
    </row>
    <row r="103" spans="1:15" ht="15" customHeight="1" thickBot="1">
      <c r="A103" s="4400"/>
      <c r="B103" s="3035" t="s">
        <v>19</v>
      </c>
      <c r="C103" s="3976"/>
      <c r="D103" s="1410">
        <f>SUM(E103:K103)</f>
        <v>2929117</v>
      </c>
      <c r="E103" s="1439">
        <v>0</v>
      </c>
      <c r="F103" s="1433">
        <v>0</v>
      </c>
      <c r="G103" s="1433">
        <v>253536</v>
      </c>
      <c r="H103" s="1433">
        <v>1125452</v>
      </c>
      <c r="I103" s="1433">
        <v>625199</v>
      </c>
      <c r="J103" s="1433">
        <v>803156</v>
      </c>
      <c r="K103" s="1433">
        <v>121774</v>
      </c>
      <c r="L103" s="1433">
        <f>2873-2873</f>
        <v>0</v>
      </c>
      <c r="M103" s="3974"/>
      <c r="N103" s="4418"/>
    </row>
    <row r="104" spans="1:15" s="542" customFormat="1" ht="36" hidden="1" customHeight="1">
      <c r="A104" s="1973" t="s">
        <v>157</v>
      </c>
      <c r="B104" s="1974"/>
      <c r="C104" s="1974"/>
      <c r="D104" s="1974"/>
      <c r="E104" s="1974"/>
      <c r="F104" s="1974"/>
      <c r="G104" s="1974"/>
      <c r="H104" s="1974"/>
      <c r="I104" s="1974"/>
      <c r="J104" s="1974"/>
      <c r="K104" s="1974"/>
      <c r="L104" s="1974"/>
      <c r="M104" s="1975"/>
      <c r="N104" s="1976"/>
    </row>
    <row r="105" spans="1:15" s="1208" customFormat="1" ht="19.5" hidden="1" customHeight="1">
      <c r="A105" s="2025"/>
      <c r="B105" s="943" t="s">
        <v>67</v>
      </c>
      <c r="C105" s="943"/>
      <c r="D105" s="2026">
        <f>+D106+D107</f>
        <v>0</v>
      </c>
      <c r="E105" s="2027">
        <f>+E106+E107</f>
        <v>0</v>
      </c>
      <c r="F105" s="2026">
        <f t="shared" ref="F105:M105" si="58">+F106+F107</f>
        <v>0</v>
      </c>
      <c r="G105" s="2026">
        <f t="shared" si="58"/>
        <v>0</v>
      </c>
      <c r="H105" s="2026">
        <f t="shared" si="58"/>
        <v>0</v>
      </c>
      <c r="I105" s="2026">
        <f t="shared" si="58"/>
        <v>0</v>
      </c>
      <c r="J105" s="2026">
        <f t="shared" si="58"/>
        <v>0</v>
      </c>
      <c r="K105" s="2026">
        <f t="shared" si="58"/>
        <v>0</v>
      </c>
      <c r="L105" s="2026">
        <f>+L106+L107</f>
        <v>0</v>
      </c>
      <c r="M105" s="2028">
        <f t="shared" si="58"/>
        <v>0</v>
      </c>
      <c r="N105" s="2029"/>
    </row>
    <row r="106" spans="1:15" s="1208" customFormat="1" ht="12.75" hidden="1" customHeight="1" thickBot="1">
      <c r="A106" s="2019"/>
      <c r="B106" s="514" t="s">
        <v>68</v>
      </c>
      <c r="C106" s="188"/>
      <c r="D106" s="189">
        <f>D131</f>
        <v>0</v>
      </c>
      <c r="E106" s="911">
        <f t="shared" ref="E106:K106" si="59">E131</f>
        <v>0</v>
      </c>
      <c r="F106" s="189">
        <f t="shared" si="59"/>
        <v>0</v>
      </c>
      <c r="G106" s="189">
        <f t="shared" si="59"/>
        <v>0</v>
      </c>
      <c r="H106" s="189">
        <f t="shared" si="59"/>
        <v>0</v>
      </c>
      <c r="I106" s="189">
        <f t="shared" si="59"/>
        <v>0</v>
      </c>
      <c r="J106" s="189">
        <f t="shared" si="59"/>
        <v>0</v>
      </c>
      <c r="K106" s="189">
        <f t="shared" si="59"/>
        <v>0</v>
      </c>
      <c r="L106" s="189">
        <f>L131</f>
        <v>0</v>
      </c>
      <c r="M106" s="1929">
        <f>SUM(F106:G106)</f>
        <v>0</v>
      </c>
      <c r="N106" s="1964"/>
    </row>
    <row r="107" spans="1:15" s="1208" customFormat="1" ht="15" hidden="1" customHeight="1" thickBot="1">
      <c r="A107" s="1911"/>
      <c r="B107" s="912" t="s">
        <v>8</v>
      </c>
      <c r="C107" s="1445"/>
      <c r="D107" s="1446">
        <f>+D135+D122</f>
        <v>0</v>
      </c>
      <c r="E107" s="1447">
        <f t="shared" ref="E107:K107" si="60">+E135+E122</f>
        <v>0</v>
      </c>
      <c r="F107" s="1446">
        <f t="shared" si="60"/>
        <v>0</v>
      </c>
      <c r="G107" s="1446">
        <f t="shared" si="60"/>
        <v>0</v>
      </c>
      <c r="H107" s="1446">
        <f t="shared" si="60"/>
        <v>0</v>
      </c>
      <c r="I107" s="1446">
        <f t="shared" si="60"/>
        <v>0</v>
      </c>
      <c r="J107" s="1446">
        <f t="shared" si="60"/>
        <v>0</v>
      </c>
      <c r="K107" s="1446">
        <f t="shared" si="60"/>
        <v>0</v>
      </c>
      <c r="L107" s="1446">
        <f>+L135+L122</f>
        <v>0</v>
      </c>
      <c r="M107" s="1930">
        <f>SUM(F107:J107)</f>
        <v>0</v>
      </c>
      <c r="N107" s="1938"/>
      <c r="O107" s="261"/>
    </row>
    <row r="108" spans="1:15" ht="14.25" hidden="1" customHeight="1" thickBot="1">
      <c r="A108" s="1911"/>
      <c r="B108" s="475" t="s">
        <v>9</v>
      </c>
      <c r="C108" s="1448"/>
      <c r="D108" s="1449">
        <f>+D109</f>
        <v>0</v>
      </c>
      <c r="E108" s="1450">
        <f t="shared" ref="E108:K108" si="61">+E109</f>
        <v>0</v>
      </c>
      <c r="F108" s="1451">
        <f t="shared" si="61"/>
        <v>0</v>
      </c>
      <c r="G108" s="1451">
        <f t="shared" si="61"/>
        <v>0</v>
      </c>
      <c r="H108" s="1451">
        <f t="shared" si="61"/>
        <v>0</v>
      </c>
      <c r="I108" s="1451">
        <f t="shared" si="61"/>
        <v>0</v>
      </c>
      <c r="J108" s="1451">
        <f t="shared" si="61"/>
        <v>0</v>
      </c>
      <c r="K108" s="1451">
        <f t="shared" si="61"/>
        <v>0</v>
      </c>
      <c r="L108" s="1451">
        <f>+L109</f>
        <v>0</v>
      </c>
      <c r="M108" s="1927">
        <f>+M109</f>
        <v>0</v>
      </c>
      <c r="N108" s="1938"/>
      <c r="O108" s="377"/>
    </row>
    <row r="109" spans="1:15" ht="12.95" hidden="1" customHeight="1" thickBot="1">
      <c r="A109" s="1912"/>
      <c r="B109" s="515" t="s">
        <v>10</v>
      </c>
      <c r="C109" s="1452"/>
      <c r="D109" s="1453">
        <f>+D113+D114+D110</f>
        <v>0</v>
      </c>
      <c r="E109" s="1454">
        <f t="shared" ref="E109:K109" si="62">+E113+E114+E110</f>
        <v>0</v>
      </c>
      <c r="F109" s="1453">
        <f t="shared" si="62"/>
        <v>0</v>
      </c>
      <c r="G109" s="1453">
        <f t="shared" si="62"/>
        <v>0</v>
      </c>
      <c r="H109" s="1453">
        <f t="shared" si="62"/>
        <v>0</v>
      </c>
      <c r="I109" s="1453">
        <f t="shared" si="62"/>
        <v>0</v>
      </c>
      <c r="J109" s="1453">
        <f t="shared" si="62"/>
        <v>0</v>
      </c>
      <c r="K109" s="1453">
        <f t="shared" si="62"/>
        <v>0</v>
      </c>
      <c r="L109" s="1453">
        <f>+L113+L114+L110</f>
        <v>0</v>
      </c>
      <c r="M109" s="1931">
        <f>+M113+M114</f>
        <v>0</v>
      </c>
      <c r="N109" s="1938"/>
    </row>
    <row r="110" spans="1:15" ht="12.95" hidden="1" customHeight="1" thickBot="1">
      <c r="A110" s="1913"/>
      <c r="B110" s="516" t="s">
        <v>11</v>
      </c>
      <c r="C110" s="1455"/>
      <c r="D110" s="1456">
        <f>D132</f>
        <v>0</v>
      </c>
      <c r="E110" s="1457">
        <f t="shared" ref="E110:K110" si="63">E132</f>
        <v>0</v>
      </c>
      <c r="F110" s="1456">
        <f t="shared" si="63"/>
        <v>0</v>
      </c>
      <c r="G110" s="1456">
        <f t="shared" si="63"/>
        <v>0</v>
      </c>
      <c r="H110" s="1456">
        <f t="shared" si="63"/>
        <v>0</v>
      </c>
      <c r="I110" s="1456">
        <f t="shared" si="63"/>
        <v>0</v>
      </c>
      <c r="J110" s="1456">
        <f t="shared" si="63"/>
        <v>0</v>
      </c>
      <c r="K110" s="1456">
        <f t="shared" si="63"/>
        <v>0</v>
      </c>
      <c r="L110" s="1456">
        <f>L132</f>
        <v>0</v>
      </c>
      <c r="M110" s="1932"/>
      <c r="N110" s="1938"/>
    </row>
    <row r="111" spans="1:15" ht="13.5" hidden="1" customHeight="1" thickBot="1">
      <c r="A111" s="1913"/>
      <c r="B111" s="736" t="s">
        <v>12</v>
      </c>
      <c r="C111" s="1459"/>
      <c r="D111" s="1460">
        <v>0</v>
      </c>
      <c r="E111" s="1461">
        <v>0</v>
      </c>
      <c r="F111" s="1460"/>
      <c r="G111" s="1460"/>
      <c r="H111" s="1460"/>
      <c r="I111" s="1460"/>
      <c r="J111" s="1460"/>
      <c r="K111" s="1460"/>
      <c r="L111" s="1460"/>
      <c r="M111" s="1932"/>
      <c r="N111" s="1938"/>
    </row>
    <row r="112" spans="1:15" ht="12.75" hidden="1" customHeight="1" thickBot="1">
      <c r="A112" s="1913"/>
      <c r="B112" s="517" t="s">
        <v>12</v>
      </c>
      <c r="C112" s="1459"/>
      <c r="D112" s="1460">
        <v>0</v>
      </c>
      <c r="E112" s="1461">
        <v>0</v>
      </c>
      <c r="F112" s="1460"/>
      <c r="G112" s="1460"/>
      <c r="H112" s="1460"/>
      <c r="I112" s="1460"/>
      <c r="J112" s="1460"/>
      <c r="K112" s="1460"/>
      <c r="L112" s="1460"/>
      <c r="M112" s="1932"/>
      <c r="N112" s="1938"/>
    </row>
    <row r="113" spans="1:14" s="542" customFormat="1" ht="12.75" hidden="1" customHeight="1" thickBot="1">
      <c r="A113" s="1914"/>
      <c r="B113" s="913" t="s">
        <v>13</v>
      </c>
      <c r="C113" s="1459"/>
      <c r="D113" s="1460">
        <f>+D124</f>
        <v>0</v>
      </c>
      <c r="E113" s="1462">
        <f t="shared" ref="E113:K113" si="64">+E124</f>
        <v>0</v>
      </c>
      <c r="F113" s="1460">
        <f t="shared" si="64"/>
        <v>0</v>
      </c>
      <c r="G113" s="1460">
        <f t="shared" si="64"/>
        <v>0</v>
      </c>
      <c r="H113" s="1460">
        <f t="shared" si="64"/>
        <v>0</v>
      </c>
      <c r="I113" s="1460">
        <f t="shared" si="64"/>
        <v>0</v>
      </c>
      <c r="J113" s="1460">
        <f t="shared" si="64"/>
        <v>0</v>
      </c>
      <c r="K113" s="1460">
        <f t="shared" si="64"/>
        <v>0</v>
      </c>
      <c r="L113" s="1460">
        <f>+L124</f>
        <v>0</v>
      </c>
      <c r="M113" s="1932">
        <f>SUM(F113:K113)</f>
        <v>0</v>
      </c>
      <c r="N113" s="1939"/>
    </row>
    <row r="114" spans="1:14" ht="12.75" hidden="1" customHeight="1">
      <c r="A114" s="1915"/>
      <c r="B114" s="516" t="s">
        <v>53</v>
      </c>
      <c r="C114" s="1463"/>
      <c r="D114" s="1456">
        <f>+D137+D125</f>
        <v>0</v>
      </c>
      <c r="E114" s="1457">
        <f>+E137+E125</f>
        <v>0</v>
      </c>
      <c r="F114" s="1456"/>
      <c r="G114" s="1456"/>
      <c r="H114" s="1456"/>
      <c r="I114" s="1456"/>
      <c r="J114" s="1456"/>
      <c r="K114" s="1456"/>
      <c r="L114" s="1456"/>
      <c r="M114" s="1932">
        <f>SUM(F114:H114)</f>
        <v>0</v>
      </c>
      <c r="N114" s="1940"/>
    </row>
    <row r="115" spans="1:14" ht="15" hidden="1" customHeight="1">
      <c r="A115" s="518"/>
      <c r="B115" s="475" t="s">
        <v>20</v>
      </c>
      <c r="C115" s="1177"/>
      <c r="D115" s="1224">
        <f>+D116</f>
        <v>0</v>
      </c>
      <c r="E115" s="1225">
        <f t="shared" ref="E115:K115" si="65">+E116</f>
        <v>0</v>
      </c>
      <c r="F115" s="1224">
        <f t="shared" si="65"/>
        <v>0</v>
      </c>
      <c r="G115" s="1224">
        <f t="shared" si="65"/>
        <v>0</v>
      </c>
      <c r="H115" s="1224">
        <f t="shared" si="65"/>
        <v>0</v>
      </c>
      <c r="I115" s="1224">
        <f t="shared" si="65"/>
        <v>0</v>
      </c>
      <c r="J115" s="1224">
        <f t="shared" si="65"/>
        <v>0</v>
      </c>
      <c r="K115" s="1224">
        <f t="shared" si="65"/>
        <v>0</v>
      </c>
      <c r="L115" s="1224">
        <f>+L116</f>
        <v>0</v>
      </c>
      <c r="M115" s="4413" t="s">
        <v>21</v>
      </c>
      <c r="N115" s="13"/>
    </row>
    <row r="116" spans="1:14" ht="12" hidden="1" customHeight="1">
      <c r="A116" s="949"/>
      <c r="B116" s="515" t="s">
        <v>10</v>
      </c>
      <c r="C116" s="1452"/>
      <c r="D116" s="1453">
        <f>SUM(D118:D120)</f>
        <v>0</v>
      </c>
      <c r="E116" s="1454">
        <f>SUM(E118:E120)</f>
        <v>0</v>
      </c>
      <c r="F116" s="1453">
        <f t="shared" ref="F116:K116" si="66">SUM(F118:F120)</f>
        <v>0</v>
      </c>
      <c r="G116" s="1453">
        <f t="shared" si="66"/>
        <v>0</v>
      </c>
      <c r="H116" s="1453">
        <f t="shared" si="66"/>
        <v>0</v>
      </c>
      <c r="I116" s="1453">
        <f t="shared" si="66"/>
        <v>0</v>
      </c>
      <c r="J116" s="1453">
        <f t="shared" si="66"/>
        <v>0</v>
      </c>
      <c r="K116" s="1453">
        <f t="shared" si="66"/>
        <v>0</v>
      </c>
      <c r="L116" s="1453">
        <f>SUM(L118:L120)</f>
        <v>0</v>
      </c>
      <c r="M116" s="4414"/>
      <c r="N116" s="13"/>
    </row>
    <row r="117" spans="1:14" ht="13.5" hidden="1" customHeight="1">
      <c r="A117" s="948"/>
      <c r="B117" s="517" t="s">
        <v>12</v>
      </c>
      <c r="C117" s="1463"/>
      <c r="D117" s="1464">
        <v>0</v>
      </c>
      <c r="E117" s="1465">
        <v>0</v>
      </c>
      <c r="F117" s="1456"/>
      <c r="G117" s="1456"/>
      <c r="H117" s="1456"/>
      <c r="I117" s="1456"/>
      <c r="J117" s="1456"/>
      <c r="K117" s="1456"/>
      <c r="L117" s="1456"/>
      <c r="M117" s="4414"/>
      <c r="N117" s="13"/>
    </row>
    <row r="118" spans="1:14" ht="12.95" hidden="1" customHeight="1">
      <c r="A118" s="948"/>
      <c r="B118" s="517" t="s">
        <v>12</v>
      </c>
      <c r="C118" s="1455"/>
      <c r="D118" s="1464">
        <v>0</v>
      </c>
      <c r="E118" s="1465">
        <v>0</v>
      </c>
      <c r="F118" s="1464"/>
      <c r="G118" s="1464"/>
      <c r="H118" s="1464"/>
      <c r="I118" s="1464"/>
      <c r="J118" s="1464"/>
      <c r="K118" s="1464"/>
      <c r="L118" s="1464"/>
      <c r="M118" s="4414"/>
      <c r="N118" s="13"/>
    </row>
    <row r="119" spans="1:14" ht="13.5" hidden="1" customHeight="1">
      <c r="A119" s="948"/>
      <c r="B119" s="516" t="s">
        <v>13</v>
      </c>
      <c r="C119" s="1455"/>
      <c r="D119" s="1464">
        <f>+D128</f>
        <v>0</v>
      </c>
      <c r="E119" s="1465">
        <f t="shared" ref="E119:K119" si="67">+E128</f>
        <v>0</v>
      </c>
      <c r="F119" s="1464">
        <f t="shared" si="67"/>
        <v>0</v>
      </c>
      <c r="G119" s="1464">
        <f t="shared" si="67"/>
        <v>0</v>
      </c>
      <c r="H119" s="1464">
        <f t="shared" si="67"/>
        <v>0</v>
      </c>
      <c r="I119" s="1464">
        <f t="shared" si="67"/>
        <v>0</v>
      </c>
      <c r="J119" s="1464">
        <f t="shared" si="67"/>
        <v>0</v>
      </c>
      <c r="K119" s="1464">
        <f t="shared" si="67"/>
        <v>0</v>
      </c>
      <c r="L119" s="1464">
        <f>+L128</f>
        <v>0</v>
      </c>
      <c r="M119" s="4414"/>
      <c r="N119" s="13"/>
    </row>
    <row r="120" spans="1:14" ht="14.25" hidden="1" customHeight="1" thickBot="1">
      <c r="A120" s="950"/>
      <c r="B120" s="717" t="s">
        <v>53</v>
      </c>
      <c r="C120" s="1466"/>
      <c r="D120" s="1467">
        <f>+D140+D129</f>
        <v>0</v>
      </c>
      <c r="E120" s="1467">
        <f>+E140+E129</f>
        <v>0</v>
      </c>
      <c r="F120" s="1467"/>
      <c r="G120" s="1467"/>
      <c r="H120" s="1467"/>
      <c r="I120" s="1467"/>
      <c r="J120" s="1467"/>
      <c r="K120" s="1467"/>
      <c r="L120" s="1467"/>
      <c r="M120" s="4415"/>
      <c r="N120" s="951"/>
    </row>
    <row r="121" spans="1:14" ht="15.75" hidden="1" customHeight="1">
      <c r="A121" s="3660" t="s">
        <v>54</v>
      </c>
      <c r="B121" s="1639"/>
      <c r="C121" s="914" t="s">
        <v>72</v>
      </c>
      <c r="D121" s="914"/>
      <c r="E121" s="51"/>
      <c r="F121" s="915"/>
      <c r="G121" s="915"/>
      <c r="H121" s="915"/>
      <c r="I121" s="915"/>
      <c r="J121" s="915"/>
      <c r="K121" s="915"/>
      <c r="L121" s="915"/>
      <c r="M121" s="916"/>
      <c r="N121" s="4409" t="s">
        <v>385</v>
      </c>
    </row>
    <row r="122" spans="1:14" ht="15.75" hidden="1" customHeight="1">
      <c r="A122" s="3661"/>
      <c r="B122" s="367" t="s">
        <v>9</v>
      </c>
      <c r="C122" s="1468"/>
      <c r="D122" s="1224">
        <f>+D123</f>
        <v>0</v>
      </c>
      <c r="E122" s="1224">
        <f t="shared" ref="E122:K122" si="68">+E123</f>
        <v>0</v>
      </c>
      <c r="F122" s="1224">
        <f t="shared" si="68"/>
        <v>0</v>
      </c>
      <c r="G122" s="1224">
        <f t="shared" si="68"/>
        <v>0</v>
      </c>
      <c r="H122" s="1224">
        <f t="shared" si="68"/>
        <v>0</v>
      </c>
      <c r="I122" s="1224">
        <f t="shared" si="68"/>
        <v>0</v>
      </c>
      <c r="J122" s="1224">
        <f t="shared" si="68"/>
        <v>0</v>
      </c>
      <c r="K122" s="1224">
        <f t="shared" si="68"/>
        <v>0</v>
      </c>
      <c r="L122" s="1224">
        <f>+L123</f>
        <v>0</v>
      </c>
      <c r="M122" s="1469">
        <f>+M123</f>
        <v>0</v>
      </c>
      <c r="N122" s="3792"/>
    </row>
    <row r="123" spans="1:14" s="542" customFormat="1" ht="15.75" hidden="1" customHeight="1">
      <c r="A123" s="3661"/>
      <c r="B123" s="1480" t="s">
        <v>10</v>
      </c>
      <c r="C123" s="4410" t="s">
        <v>312</v>
      </c>
      <c r="D123" s="1575">
        <f>+D125+D124</f>
        <v>0</v>
      </c>
      <c r="E123" s="1251">
        <f t="shared" ref="E123" si="69">+E125+E124</f>
        <v>0</v>
      </c>
      <c r="F123" s="1416">
        <f t="shared" ref="F123:K123" si="70">+F125+F124</f>
        <v>0</v>
      </c>
      <c r="G123" s="1416">
        <f t="shared" si="70"/>
        <v>0</v>
      </c>
      <c r="H123" s="1251">
        <f t="shared" si="70"/>
        <v>0</v>
      </c>
      <c r="I123" s="1251">
        <f t="shared" si="70"/>
        <v>0</v>
      </c>
      <c r="J123" s="1251">
        <f t="shared" si="70"/>
        <v>0</v>
      </c>
      <c r="K123" s="1251">
        <f t="shared" si="70"/>
        <v>0</v>
      </c>
      <c r="L123" s="1416">
        <f>+L125+L124</f>
        <v>0</v>
      </c>
      <c r="M123" s="1432">
        <f>M125+M124</f>
        <v>0</v>
      </c>
      <c r="N123" s="3792"/>
    </row>
    <row r="124" spans="1:14" s="542" customFormat="1" ht="15.75" hidden="1" customHeight="1">
      <c r="A124" s="3661"/>
      <c r="B124" s="532" t="s">
        <v>13</v>
      </c>
      <c r="C124" s="4411"/>
      <c r="D124" s="1576">
        <f>E124+L124+F124+G124+H124+I124+J124+K124</f>
        <v>0</v>
      </c>
      <c r="E124" s="1160"/>
      <c r="F124" s="1470"/>
      <c r="G124" s="1470"/>
      <c r="H124" s="1470"/>
      <c r="I124" s="1470"/>
      <c r="J124" s="1470"/>
      <c r="K124" s="1470">
        <v>0</v>
      </c>
      <c r="L124" s="1470"/>
      <c r="M124" s="1253">
        <f>SUM(F124:K124)</f>
        <v>0</v>
      </c>
      <c r="N124" s="3792"/>
    </row>
    <row r="125" spans="1:14" ht="13.5" hidden="1" customHeight="1">
      <c r="A125" s="3661"/>
      <c r="B125" s="523" t="s">
        <v>15</v>
      </c>
      <c r="C125" s="4412"/>
      <c r="D125" s="1574"/>
      <c r="E125" s="1471"/>
      <c r="F125" s="1481"/>
      <c r="G125" s="1481"/>
      <c r="H125" s="1252"/>
      <c r="I125" s="1252"/>
      <c r="J125" s="1252"/>
      <c r="K125" s="1252"/>
      <c r="L125" s="1481"/>
      <c r="M125" s="1458">
        <f>SUM(F125:H125)</f>
        <v>0</v>
      </c>
      <c r="N125" s="3792"/>
    </row>
    <row r="126" spans="1:14" ht="15" hidden="1" customHeight="1">
      <c r="A126" s="3661"/>
      <c r="B126" s="367" t="s">
        <v>20</v>
      </c>
      <c r="C126" s="1468"/>
      <c r="D126" s="1224">
        <f>+D127</f>
        <v>0</v>
      </c>
      <c r="E126" s="1224">
        <f t="shared" ref="E126:K126" si="71">+E127</f>
        <v>0</v>
      </c>
      <c r="F126" s="1224">
        <f t="shared" si="71"/>
        <v>0</v>
      </c>
      <c r="G126" s="1224">
        <f t="shared" si="71"/>
        <v>0</v>
      </c>
      <c r="H126" s="1224">
        <f t="shared" si="71"/>
        <v>0</v>
      </c>
      <c r="I126" s="1224">
        <f t="shared" si="71"/>
        <v>0</v>
      </c>
      <c r="J126" s="1224">
        <f t="shared" si="71"/>
        <v>0</v>
      </c>
      <c r="K126" s="1224">
        <f t="shared" si="71"/>
        <v>0</v>
      </c>
      <c r="L126" s="1224">
        <f>+L127</f>
        <v>0</v>
      </c>
      <c r="M126" s="4390" t="s">
        <v>52</v>
      </c>
      <c r="N126" s="3792"/>
    </row>
    <row r="127" spans="1:14" s="542" customFormat="1" ht="15" hidden="1" customHeight="1">
      <c r="A127" s="3661"/>
      <c r="B127" s="1480" t="s">
        <v>10</v>
      </c>
      <c r="C127" s="3759" t="s">
        <v>312</v>
      </c>
      <c r="D127" s="1416">
        <f>+D129+D128</f>
        <v>0</v>
      </c>
      <c r="E127" s="1251">
        <f>+E129+E128</f>
        <v>0</v>
      </c>
      <c r="F127" s="1416">
        <f t="shared" ref="F127:K127" si="72">+F129+F128</f>
        <v>0</v>
      </c>
      <c r="G127" s="1416">
        <f t="shared" si="72"/>
        <v>0</v>
      </c>
      <c r="H127" s="1251">
        <f t="shared" si="72"/>
        <v>0</v>
      </c>
      <c r="I127" s="1251">
        <f t="shared" si="72"/>
        <v>0</v>
      </c>
      <c r="J127" s="1251">
        <f t="shared" si="72"/>
        <v>0</v>
      </c>
      <c r="K127" s="1251">
        <f t="shared" si="72"/>
        <v>0</v>
      </c>
      <c r="L127" s="1416">
        <f>+L129+L128</f>
        <v>0</v>
      </c>
      <c r="M127" s="4391"/>
      <c r="N127" s="3792"/>
    </row>
    <row r="128" spans="1:14" ht="15" hidden="1" customHeight="1" thickBot="1">
      <c r="A128" s="3668"/>
      <c r="B128" s="63" t="s">
        <v>13</v>
      </c>
      <c r="C128" s="3971"/>
      <c r="D128" s="1410">
        <f>E128+L128+F128+G128+H128+I128+J128+K128</f>
        <v>0</v>
      </c>
      <c r="E128" s="1472"/>
      <c r="F128" s="1473"/>
      <c r="G128" s="1473"/>
      <c r="H128" s="1473"/>
      <c r="I128" s="1473"/>
      <c r="J128" s="1473"/>
      <c r="K128" s="1474">
        <v>0</v>
      </c>
      <c r="L128" s="1473"/>
      <c r="M128" s="4392"/>
      <c r="N128" s="4035"/>
    </row>
    <row r="129" spans="1:14" ht="13.5" hidden="1" customHeight="1" thickBot="1">
      <c r="A129" s="917"/>
      <c r="B129" s="918" t="s">
        <v>15</v>
      </c>
      <c r="C129" s="2573"/>
      <c r="D129" s="910"/>
      <c r="E129" s="919"/>
      <c r="F129" s="920"/>
      <c r="G129" s="920"/>
      <c r="H129" s="920"/>
      <c r="I129" s="920"/>
      <c r="J129" s="920"/>
      <c r="K129" s="920"/>
      <c r="L129" s="2438"/>
      <c r="M129" s="921"/>
      <c r="N129" s="922"/>
    </row>
    <row r="130" spans="1:14" s="530" customFormat="1" ht="29.25" hidden="1" customHeight="1">
      <c r="A130" s="4401" t="s">
        <v>55</v>
      </c>
      <c r="B130" s="527" t="s">
        <v>313</v>
      </c>
      <c r="C130" s="536" t="s">
        <v>99</v>
      </c>
      <c r="D130" s="536"/>
      <c r="E130" s="71"/>
      <c r="F130" s="537"/>
      <c r="G130" s="537"/>
      <c r="H130" s="537"/>
      <c r="I130" s="537"/>
      <c r="J130" s="537"/>
      <c r="K130" s="537"/>
      <c r="L130" s="537"/>
      <c r="M130" s="528"/>
      <c r="N130" s="4402" t="s">
        <v>154</v>
      </c>
    </row>
    <row r="131" spans="1:14" s="530" customFormat="1" ht="16.5" hidden="1" customHeight="1">
      <c r="A131" s="4401"/>
      <c r="B131" s="475" t="s">
        <v>9</v>
      </c>
      <c r="C131" s="1468"/>
      <c r="D131" s="1178"/>
      <c r="E131" s="1421"/>
      <c r="F131" s="1421"/>
      <c r="G131" s="1178"/>
      <c r="H131" s="1178"/>
      <c r="I131" s="1178"/>
      <c r="J131" s="1178"/>
      <c r="K131" s="1228"/>
      <c r="L131" s="1421"/>
      <c r="M131" s="1469">
        <f>M132</f>
        <v>0</v>
      </c>
      <c r="N131" s="4402"/>
    </row>
    <row r="132" spans="1:14" s="530" customFormat="1" ht="13.5" hidden="1" customHeight="1">
      <c r="A132" s="4401"/>
      <c r="B132" s="521" t="s">
        <v>10</v>
      </c>
      <c r="C132" s="4403" t="s">
        <v>159</v>
      </c>
      <c r="D132" s="1251"/>
      <c r="E132" s="1663"/>
      <c r="F132" s="1663"/>
      <c r="G132" s="1251"/>
      <c r="H132" s="1251"/>
      <c r="I132" s="1251"/>
      <c r="J132" s="1251"/>
      <c r="K132" s="1251"/>
      <c r="L132" s="1663"/>
      <c r="M132" s="1432">
        <f>M133</f>
        <v>0</v>
      </c>
      <c r="N132" s="4402"/>
    </row>
    <row r="133" spans="1:14" s="530" customFormat="1" ht="13.5" hidden="1" customHeight="1" thickBot="1">
      <c r="A133" s="4406"/>
      <c r="B133" s="67" t="s">
        <v>11</v>
      </c>
      <c r="C133" s="3687"/>
      <c r="D133" s="1664"/>
      <c r="E133" s="1665"/>
      <c r="F133" s="923"/>
      <c r="G133" s="924"/>
      <c r="H133" s="924"/>
      <c r="I133" s="924"/>
      <c r="J133" s="924"/>
      <c r="K133" s="924"/>
      <c r="L133" s="923"/>
      <c r="M133" s="1666">
        <f>SUM(F133:K133)</f>
        <v>0</v>
      </c>
      <c r="N133" s="4407"/>
    </row>
    <row r="134" spans="1:14" ht="19.5" hidden="1" customHeight="1">
      <c r="A134" s="4401"/>
      <c r="B134" s="527"/>
      <c r="C134" s="536" t="s">
        <v>72</v>
      </c>
      <c r="D134" s="718"/>
      <c r="E134" s="71"/>
      <c r="F134" s="537"/>
      <c r="G134" s="537"/>
      <c r="H134" s="537"/>
      <c r="I134" s="537"/>
      <c r="J134" s="537"/>
      <c r="K134" s="537"/>
      <c r="L134" s="71"/>
      <c r="M134" s="528"/>
      <c r="N134" s="4402"/>
    </row>
    <row r="135" spans="1:14" ht="12.75" hidden="1" customHeight="1">
      <c r="A135" s="4401"/>
      <c r="B135" s="475" t="s">
        <v>9</v>
      </c>
      <c r="C135" s="1468"/>
      <c r="D135" s="1449"/>
      <c r="E135" s="1451"/>
      <c r="F135" s="1178"/>
      <c r="G135" s="1178"/>
      <c r="H135" s="1178"/>
      <c r="I135" s="1178"/>
      <c r="J135" s="1178"/>
      <c r="K135" s="1228"/>
      <c r="L135" s="1228"/>
      <c r="M135" s="1469"/>
      <c r="N135" s="4402"/>
    </row>
    <row r="136" spans="1:14" ht="13.5" hidden="1" customHeight="1">
      <c r="A136" s="4401"/>
      <c r="B136" s="521" t="s">
        <v>10</v>
      </c>
      <c r="C136" s="4403" t="s">
        <v>155</v>
      </c>
      <c r="D136" s="1251"/>
      <c r="E136" s="1251"/>
      <c r="F136" s="1251"/>
      <c r="G136" s="1251"/>
      <c r="H136" s="1251"/>
      <c r="I136" s="1251"/>
      <c r="J136" s="1251"/>
      <c r="K136" s="1251"/>
      <c r="L136" s="1251"/>
      <c r="M136" s="1432"/>
      <c r="N136" s="4402"/>
    </row>
    <row r="137" spans="1:14" ht="13.5" hidden="1" customHeight="1">
      <c r="A137" s="4401"/>
      <c r="B137" s="523" t="s">
        <v>15</v>
      </c>
      <c r="C137" s="4404"/>
      <c r="D137" s="1667"/>
      <c r="E137" s="1252"/>
      <c r="F137" s="1252"/>
      <c r="G137" s="1252"/>
      <c r="H137" s="1252"/>
      <c r="I137" s="1252"/>
      <c r="J137" s="1252"/>
      <c r="K137" s="1252"/>
      <c r="L137" s="1252"/>
      <c r="M137" s="1458"/>
      <c r="N137" s="4402"/>
    </row>
    <row r="138" spans="1:14" ht="13.5" hidden="1" customHeight="1">
      <c r="A138" s="4401"/>
      <c r="B138" s="475" t="s">
        <v>20</v>
      </c>
      <c r="C138" s="1468"/>
      <c r="D138" s="1224"/>
      <c r="E138" s="1224"/>
      <c r="F138" s="1178"/>
      <c r="G138" s="1178"/>
      <c r="H138" s="1178"/>
      <c r="I138" s="1178"/>
      <c r="J138" s="1178"/>
      <c r="K138" s="1228"/>
      <c r="L138" s="1178"/>
      <c r="M138" s="1668"/>
      <c r="N138" s="4402"/>
    </row>
    <row r="139" spans="1:14" ht="15.75" hidden="1" customHeight="1">
      <c r="A139" s="4401"/>
      <c r="B139" s="521" t="s">
        <v>10</v>
      </c>
      <c r="C139" s="4403" t="s">
        <v>155</v>
      </c>
      <c r="D139" s="1251">
        <f>+D140</f>
        <v>0</v>
      </c>
      <c r="E139" s="1251">
        <f t="shared" ref="E139" si="73">+E140</f>
        <v>0</v>
      </c>
      <c r="F139" s="1251"/>
      <c r="G139" s="1251"/>
      <c r="H139" s="1251"/>
      <c r="I139" s="1251"/>
      <c r="J139" s="1251"/>
      <c r="K139" s="1251"/>
      <c r="L139" s="1251"/>
      <c r="M139" s="1668"/>
      <c r="N139" s="4402"/>
    </row>
    <row r="140" spans="1:14" ht="10.5" hidden="1" customHeight="1">
      <c r="A140" s="4401"/>
      <c r="B140" s="523" t="s">
        <v>15</v>
      </c>
      <c r="C140" s="4405"/>
      <c r="D140" s="1667"/>
      <c r="E140" s="1252"/>
      <c r="F140" s="1669"/>
      <c r="G140" s="1669"/>
      <c r="H140" s="1669"/>
      <c r="I140" s="1669"/>
      <c r="J140" s="1669"/>
      <c r="K140" s="1669"/>
      <c r="L140" s="1669"/>
      <c r="M140" s="1668"/>
      <c r="N140" s="4402"/>
    </row>
    <row r="142" spans="1:14" hidden="1"/>
    <row r="143" spans="1:14" ht="16.5" hidden="1" customHeight="1">
      <c r="B143" s="1670" t="s">
        <v>347</v>
      </c>
      <c r="C143" s="2512"/>
      <c r="D143" s="2512"/>
      <c r="E143" s="2512"/>
      <c r="F143" s="2512"/>
      <c r="G143" s="2512"/>
      <c r="H143" s="2512"/>
      <c r="I143" s="2512"/>
      <c r="J143" s="2512"/>
      <c r="K143" s="2512"/>
      <c r="L143" s="2512"/>
    </row>
    <row r="144" spans="1:14" ht="16.5" hidden="1" customHeight="1">
      <c r="B144" s="2574" t="s">
        <v>348</v>
      </c>
      <c r="C144" s="2512"/>
      <c r="D144" s="2539">
        <f t="shared" ref="D144:K144" si="74">D50+D83+D63+D92+D101</f>
        <v>41897230</v>
      </c>
      <c r="E144" s="2539">
        <f t="shared" si="74"/>
        <v>12327518</v>
      </c>
      <c r="F144" s="2539">
        <f t="shared" si="74"/>
        <v>6106099</v>
      </c>
      <c r="G144" s="2539">
        <f t="shared" si="74"/>
        <v>8051796</v>
      </c>
      <c r="H144" s="2539">
        <f t="shared" si="74"/>
        <v>8130105</v>
      </c>
      <c r="I144" s="2539">
        <f t="shared" si="74"/>
        <v>2558441</v>
      </c>
      <c r="J144" s="2539">
        <f t="shared" si="74"/>
        <v>2832205</v>
      </c>
      <c r="K144" s="2539">
        <f t="shared" si="74"/>
        <v>1891066</v>
      </c>
      <c r="L144" s="2539">
        <f>L50+L83+L63+L92+L101</f>
        <v>0</v>
      </c>
    </row>
    <row r="145" spans="1:14" ht="15.75" hidden="1" customHeight="1">
      <c r="B145" s="2574" t="s">
        <v>349</v>
      </c>
      <c r="C145" s="2512"/>
      <c r="D145" s="2539">
        <f>D74</f>
        <v>841516</v>
      </c>
      <c r="E145" s="2539">
        <f t="shared" ref="E145:K145" si="75">E74</f>
        <v>0</v>
      </c>
      <c r="F145" s="2539">
        <f t="shared" si="75"/>
        <v>91961</v>
      </c>
      <c r="G145" s="2539">
        <f t="shared" si="75"/>
        <v>597915</v>
      </c>
      <c r="H145" s="2539">
        <f t="shared" si="75"/>
        <v>151640</v>
      </c>
      <c r="I145" s="2539">
        <f t="shared" si="75"/>
        <v>0</v>
      </c>
      <c r="J145" s="2539">
        <f t="shared" si="75"/>
        <v>0</v>
      </c>
      <c r="K145" s="2539">
        <f t="shared" si="75"/>
        <v>0</v>
      </c>
      <c r="L145" s="2539">
        <f>L74</f>
        <v>0</v>
      </c>
    </row>
    <row r="146" spans="1:14" ht="14.25" hidden="1" customHeight="1">
      <c r="B146" s="2574" t="s">
        <v>350</v>
      </c>
      <c r="C146" s="2512"/>
      <c r="D146" s="1565">
        <f>D144+D145</f>
        <v>42738746</v>
      </c>
      <c r="E146" s="1565">
        <f>E144+E145</f>
        <v>12327518</v>
      </c>
      <c r="F146" s="1565">
        <f t="shared" ref="F146:K146" si="76">F144+F145</f>
        <v>6198060</v>
      </c>
      <c r="G146" s="1565">
        <f t="shared" si="76"/>
        <v>8649711</v>
      </c>
      <c r="H146" s="1565">
        <f t="shared" si="76"/>
        <v>8281745</v>
      </c>
      <c r="I146" s="1565">
        <f t="shared" si="76"/>
        <v>2558441</v>
      </c>
      <c r="J146" s="1565">
        <f t="shared" si="76"/>
        <v>2832205</v>
      </c>
      <c r="K146" s="1565">
        <f t="shared" si="76"/>
        <v>1891066</v>
      </c>
      <c r="L146" s="1565">
        <f>L144+L145</f>
        <v>0</v>
      </c>
    </row>
    <row r="147" spans="1:14" s="542" customFormat="1" ht="16.5" hidden="1" customHeight="1">
      <c r="A147" s="1694"/>
      <c r="B147" s="1671" t="s">
        <v>40</v>
      </c>
      <c r="C147" s="1695"/>
      <c r="D147" s="1696">
        <f t="shared" ref="D147:K147" si="77">D146-D21</f>
        <v>0</v>
      </c>
      <c r="E147" s="1696">
        <f t="shared" si="77"/>
        <v>0</v>
      </c>
      <c r="F147" s="1696">
        <f t="shared" si="77"/>
        <v>0</v>
      </c>
      <c r="G147" s="1696">
        <f t="shared" si="77"/>
        <v>0</v>
      </c>
      <c r="H147" s="1696">
        <f t="shared" si="77"/>
        <v>0</v>
      </c>
      <c r="I147" s="1696">
        <f t="shared" si="77"/>
        <v>0</v>
      </c>
      <c r="J147" s="1696">
        <f t="shared" si="77"/>
        <v>0</v>
      </c>
      <c r="K147" s="1696">
        <f t="shared" si="77"/>
        <v>0</v>
      </c>
      <c r="L147" s="1696">
        <f>L146-L21</f>
        <v>0</v>
      </c>
      <c r="N147" s="1697"/>
    </row>
    <row r="148" spans="1:14" hidden="1"/>
    <row r="149" spans="1:14" hidden="1"/>
    <row r="150" spans="1:14" hidden="1"/>
    <row r="151" spans="1:14" hidden="1"/>
    <row r="153" spans="1:14" ht="12.75" thickBot="1">
      <c r="A153" s="1672"/>
      <c r="B153" s="423"/>
      <c r="C153" s="423"/>
      <c r="D153" s="423"/>
      <c r="E153" s="423"/>
      <c r="F153" s="423"/>
      <c r="G153" s="423"/>
      <c r="H153" s="423"/>
      <c r="I153" s="423"/>
      <c r="J153" s="423"/>
      <c r="K153" s="423"/>
      <c r="L153" s="423"/>
      <c r="M153" s="423"/>
      <c r="N153" s="1673"/>
    </row>
    <row r="175" spans="1:1" ht="12.75" thickBot="1">
      <c r="A175" s="1672"/>
    </row>
    <row r="176" spans="1:1" ht="12.75" thickBot="1">
      <c r="A176" s="1896"/>
    </row>
    <row r="177" spans="1:2" ht="12.75" thickBot="1">
      <c r="A177" s="1896"/>
    </row>
    <row r="178" spans="1:2" ht="12.75" thickBot="1">
      <c r="A178" s="1896"/>
    </row>
    <row r="179" spans="1:2" ht="12.75" thickBot="1">
      <c r="A179" s="1896"/>
    </row>
    <row r="180" spans="1:2" ht="12.75" thickBot="1">
      <c r="A180" s="1896"/>
    </row>
    <row r="181" spans="1:2" ht="12.75" thickBot="1">
      <c r="A181" s="1896"/>
    </row>
    <row r="182" spans="1:2" ht="12.75" thickBot="1">
      <c r="A182" s="1896"/>
    </row>
    <row r="183" spans="1:2" ht="12.75" thickBot="1">
      <c r="A183" s="1896"/>
    </row>
    <row r="184" spans="1:2" ht="12.75" thickBot="1">
      <c r="A184" s="1896"/>
    </row>
    <row r="185" spans="1:2" ht="12.75" thickBot="1">
      <c r="A185" s="1896"/>
    </row>
    <row r="186" spans="1:2" ht="12.75" thickBot="1">
      <c r="A186" s="1896"/>
      <c r="B186" s="423"/>
    </row>
    <row r="187" spans="1:2" ht="12.75" thickBot="1">
      <c r="A187" s="1896"/>
      <c r="B187" s="417"/>
    </row>
    <row r="188" spans="1:2" ht="12.75" thickBot="1">
      <c r="A188" s="1896"/>
    </row>
    <row r="189" spans="1:2" ht="12.75" thickBot="1">
      <c r="A189" s="1896"/>
    </row>
    <row r="190" spans="1:2" ht="12.75" thickBot="1">
      <c r="A190" s="1896"/>
    </row>
    <row r="191" spans="1:2" ht="12.75" thickBot="1">
      <c r="A191" s="1896"/>
    </row>
    <row r="192" spans="1:2" ht="12.75" thickBot="1">
      <c r="A192" s="1896"/>
    </row>
    <row r="193" spans="1:14" ht="12.75" thickBot="1">
      <c r="A193" s="1896"/>
    </row>
    <row r="194" spans="1:14" ht="12.75" thickBot="1">
      <c r="A194" s="1896"/>
    </row>
    <row r="195" spans="1:14" ht="12.75" thickBot="1">
      <c r="A195" s="1896"/>
    </row>
    <row r="196" spans="1:14" ht="12.75" thickBot="1">
      <c r="A196" s="1896"/>
    </row>
    <row r="197" spans="1:14" ht="12.75" thickBot="1">
      <c r="A197" s="1896"/>
    </row>
    <row r="198" spans="1:14" ht="12.75" thickBot="1">
      <c r="A198" s="1896"/>
    </row>
    <row r="199" spans="1:14" ht="12.75" thickBot="1">
      <c r="A199" s="1896"/>
    </row>
    <row r="200" spans="1:14" ht="12.75" thickBot="1">
      <c r="A200" s="1896"/>
      <c r="M200" s="423"/>
      <c r="N200" s="1673"/>
    </row>
    <row r="201" spans="1:14" ht="12.75" thickBot="1">
      <c r="A201" s="1896"/>
      <c r="C201" s="423"/>
      <c r="M201" s="1884"/>
      <c r="N201" s="1868"/>
    </row>
    <row r="202" spans="1:14" ht="12.75" thickBot="1">
      <c r="A202" s="1896"/>
      <c r="C202" s="1884"/>
      <c r="M202" s="1884"/>
      <c r="N202" s="1868"/>
    </row>
    <row r="203" spans="1:14" ht="12.75" thickBot="1">
      <c r="A203" s="1896"/>
      <c r="C203" s="1884"/>
      <c r="M203" s="1884"/>
      <c r="N203" s="1868"/>
    </row>
    <row r="204" spans="1:14" ht="12.75" thickBot="1">
      <c r="A204" s="1897"/>
      <c r="C204" s="1884"/>
      <c r="D204" s="423"/>
      <c r="E204" s="423"/>
      <c r="F204" s="423"/>
      <c r="G204" s="423"/>
      <c r="H204" s="423"/>
      <c r="I204" s="423"/>
      <c r="J204" s="423"/>
      <c r="K204" s="423"/>
      <c r="L204" s="423"/>
      <c r="M204" s="1884"/>
      <c r="N204" s="1868"/>
    </row>
    <row r="205" spans="1:14" ht="12.75" thickBot="1">
      <c r="C205" s="417"/>
      <c r="D205" s="417"/>
      <c r="E205" s="417"/>
      <c r="F205" s="417"/>
      <c r="G205" s="417"/>
      <c r="H205" s="417"/>
      <c r="I205" s="417"/>
      <c r="J205" s="417"/>
      <c r="K205" s="417"/>
      <c r="L205" s="417"/>
      <c r="M205" s="417"/>
      <c r="N205" s="1868"/>
    </row>
    <row r="206" spans="1:14" ht="12.75" thickBot="1">
      <c r="N206" s="1868"/>
    </row>
    <row r="207" spans="1:14" ht="12.75" thickBot="1">
      <c r="N207" s="1868"/>
    </row>
    <row r="208" spans="1:14" ht="12.75" thickBot="1">
      <c r="N208" s="1868"/>
    </row>
    <row r="209" spans="14:14" ht="12.75" thickBot="1">
      <c r="N209" s="1868"/>
    </row>
    <row r="210" spans="14:14" ht="12.75" thickBot="1">
      <c r="N210" s="1868"/>
    </row>
    <row r="211" spans="14:14" ht="12.75" thickBot="1">
      <c r="N211" s="1868"/>
    </row>
    <row r="212" spans="14:14" ht="12.75" thickBot="1">
      <c r="N212" s="1868"/>
    </row>
    <row r="213" spans="14:14" ht="12.75" thickBot="1">
      <c r="N213" s="1868"/>
    </row>
    <row r="214" spans="14:14">
      <c r="N214" s="1869"/>
    </row>
    <row r="248" spans="14:14" ht="12.75" thickBot="1">
      <c r="N248" s="1673"/>
    </row>
    <row r="249" spans="14:14" ht="12.75" thickBot="1">
      <c r="N249" s="1868"/>
    </row>
    <row r="250" spans="14:14" ht="12.75" thickBot="1">
      <c r="N250" s="1868"/>
    </row>
    <row r="251" spans="14:14" ht="12.75" thickBot="1">
      <c r="N251" s="1868"/>
    </row>
    <row r="252" spans="14:14" ht="12.75" thickBot="1">
      <c r="N252" s="1868"/>
    </row>
    <row r="253" spans="14:14" ht="12.75" thickBot="1">
      <c r="N253" s="1868"/>
    </row>
    <row r="254" spans="14:14" ht="12.75" thickBot="1">
      <c r="N254" s="1868"/>
    </row>
    <row r="255" spans="14:14" ht="12.75" thickBot="1">
      <c r="N255" s="1868"/>
    </row>
    <row r="256" spans="14:14" ht="12.75" thickBot="1">
      <c r="N256" s="1868"/>
    </row>
    <row r="257" spans="14:14" ht="12.75" thickBot="1">
      <c r="N257" s="1868"/>
    </row>
    <row r="258" spans="14:14" ht="12.75" thickBot="1">
      <c r="N258" s="1868"/>
    </row>
    <row r="259" spans="14:14" ht="12.75" thickBot="1">
      <c r="N259" s="1868"/>
    </row>
    <row r="260" spans="14:14" ht="12.75" thickBot="1">
      <c r="N260" s="1868"/>
    </row>
    <row r="261" spans="14:14" ht="12.75" thickBot="1">
      <c r="N261" s="1868"/>
    </row>
    <row r="262" spans="14:14">
      <c r="N262" s="1869"/>
    </row>
    <row r="401" spans="1:14" ht="12.75" thickBot="1">
      <c r="A401" s="1672"/>
    </row>
    <row r="402" spans="1:14" ht="12.75" thickBot="1">
      <c r="A402" s="1896"/>
    </row>
    <row r="403" spans="1:14" ht="12.75" thickBot="1">
      <c r="A403" s="1896"/>
    </row>
    <row r="404" spans="1:14" ht="12.75" thickBot="1">
      <c r="A404" s="1896"/>
    </row>
    <row r="405" spans="1:14" ht="12.75" thickBot="1">
      <c r="A405" s="1896"/>
    </row>
    <row r="406" spans="1:14" ht="12.75" thickBot="1">
      <c r="A406" s="1896"/>
    </row>
    <row r="407" spans="1:14" ht="12.75" thickBot="1">
      <c r="A407" s="1896"/>
      <c r="M407" s="423"/>
      <c r="N407" s="1673"/>
    </row>
    <row r="408" spans="1:14" ht="12.75" thickBot="1">
      <c r="A408" s="1896"/>
      <c r="C408" s="423"/>
      <c r="M408" s="1884"/>
      <c r="N408" s="1868"/>
    </row>
    <row r="409" spans="1:14" ht="12.75" thickBot="1">
      <c r="A409" s="1896"/>
      <c r="C409" s="1884"/>
      <c r="D409" s="423"/>
      <c r="E409" s="423"/>
      <c r="F409" s="423"/>
      <c r="G409" s="423"/>
      <c r="H409" s="423"/>
      <c r="I409" s="423"/>
      <c r="J409" s="423"/>
      <c r="K409" s="423"/>
      <c r="L409" s="423"/>
      <c r="M409" s="1884"/>
      <c r="N409" s="1868"/>
    </row>
    <row r="410" spans="1:14" ht="12.75" thickBot="1">
      <c r="A410" s="1896"/>
      <c r="C410" s="417"/>
      <c r="D410" s="417"/>
      <c r="E410" s="417"/>
      <c r="F410" s="417"/>
      <c r="G410" s="417"/>
      <c r="H410" s="417"/>
      <c r="I410" s="417"/>
      <c r="J410" s="417"/>
      <c r="K410" s="417"/>
      <c r="L410" s="417"/>
      <c r="M410" s="417"/>
      <c r="N410" s="1868"/>
    </row>
    <row r="411" spans="1:14" ht="12.75" thickBot="1">
      <c r="A411" s="1896"/>
      <c r="N411" s="1868"/>
    </row>
    <row r="412" spans="1:14" ht="12.75" thickBot="1">
      <c r="A412" s="1896"/>
      <c r="N412" s="1868"/>
    </row>
    <row r="413" spans="1:14" ht="12.75" thickBot="1">
      <c r="A413" s="1896"/>
      <c r="N413" s="1868"/>
    </row>
    <row r="414" spans="1:14" ht="12.75" thickBot="1">
      <c r="A414" s="1896"/>
      <c r="N414" s="1868"/>
    </row>
    <row r="415" spans="1:14" ht="12.75" thickBot="1">
      <c r="A415" s="1896"/>
      <c r="N415" s="1869"/>
    </row>
    <row r="416" spans="1:14" ht="12.75" thickBot="1">
      <c r="A416" s="1896"/>
    </row>
    <row r="417" spans="1:1" ht="12.75" thickBot="1">
      <c r="A417" s="1896"/>
    </row>
    <row r="418" spans="1:1">
      <c r="A418" s="1897"/>
    </row>
    <row r="516" spans="1:14" ht="12.75" thickBot="1">
      <c r="N516" s="1673"/>
    </row>
    <row r="517" spans="1:14" ht="12.75" thickBot="1">
      <c r="N517" s="1868"/>
    </row>
    <row r="518" spans="1:14" ht="12.75" thickBot="1">
      <c r="N518" s="1868"/>
    </row>
    <row r="519" spans="1:14" ht="12.75" thickBot="1">
      <c r="N519" s="1868"/>
    </row>
    <row r="520" spans="1:14" ht="12.75" thickBot="1">
      <c r="M520" s="423"/>
      <c r="N520" s="1868"/>
    </row>
    <row r="521" spans="1:14" ht="12.75" thickBot="1">
      <c r="M521" s="1884"/>
      <c r="N521" s="1868"/>
    </row>
    <row r="522" spans="1:14" ht="12.75" thickBot="1">
      <c r="M522" s="1884"/>
      <c r="N522" s="1868"/>
    </row>
    <row r="523" spans="1:14" ht="12.75" thickBot="1">
      <c r="M523" s="1884"/>
      <c r="N523" s="1868"/>
    </row>
    <row r="524" spans="1:14" ht="12.75" thickBot="1">
      <c r="M524" s="1884"/>
      <c r="N524" s="1868"/>
    </row>
    <row r="525" spans="1:14" ht="12.75" thickBot="1">
      <c r="A525" s="1672"/>
      <c r="B525" s="423"/>
      <c r="C525" s="423"/>
      <c r="D525" s="423"/>
      <c r="E525" s="423"/>
      <c r="F525" s="423"/>
      <c r="G525" s="423"/>
      <c r="H525" s="423"/>
      <c r="I525" s="423"/>
      <c r="J525" s="423"/>
      <c r="K525" s="423"/>
      <c r="L525" s="423"/>
      <c r="M525" s="1884"/>
      <c r="N525" s="1868"/>
    </row>
    <row r="526" spans="1:14" ht="12.75" thickBot="1">
      <c r="A526" s="1896"/>
      <c r="B526" s="417"/>
      <c r="C526" s="417"/>
      <c r="D526" s="417"/>
      <c r="E526" s="417"/>
      <c r="F526" s="417"/>
      <c r="G526" s="417"/>
      <c r="H526" s="417"/>
      <c r="I526" s="417"/>
      <c r="J526" s="417"/>
      <c r="K526" s="417"/>
      <c r="L526" s="417"/>
      <c r="M526" s="417"/>
      <c r="N526" s="1868"/>
    </row>
    <row r="527" spans="1:14" ht="12.75" thickBot="1">
      <c r="A527" s="1896"/>
      <c r="N527" s="1868"/>
    </row>
    <row r="528" spans="1:14" ht="12.75" thickBot="1">
      <c r="A528" s="1896"/>
      <c r="N528" s="1868"/>
    </row>
    <row r="529" spans="1:14" ht="12.75" thickBot="1">
      <c r="A529" s="1896"/>
      <c r="N529" s="1868"/>
    </row>
    <row r="530" spans="1:14" ht="12.75" thickBot="1">
      <c r="A530" s="1896"/>
      <c r="N530" s="1868"/>
    </row>
    <row r="531" spans="1:14" ht="12.75" thickBot="1">
      <c r="A531" s="1896"/>
      <c r="N531" s="1868"/>
    </row>
    <row r="532" spans="1:14" ht="12.75" thickBot="1">
      <c r="A532" s="1896"/>
      <c r="N532" s="1868"/>
    </row>
    <row r="533" spans="1:14">
      <c r="A533" s="1897"/>
      <c r="N533" s="1869"/>
    </row>
  </sheetData>
  <mergeCells count="62">
    <mergeCell ref="N32:N42"/>
    <mergeCell ref="C34:C37"/>
    <mergeCell ref="C39:C42"/>
    <mergeCell ref="M38:M42"/>
    <mergeCell ref="M21:M31"/>
    <mergeCell ref="C79:C82"/>
    <mergeCell ref="M83:M85"/>
    <mergeCell ref="N83:N85"/>
    <mergeCell ref="C84:C85"/>
    <mergeCell ref="N68:N73"/>
    <mergeCell ref="C70:C73"/>
    <mergeCell ref="M74:M76"/>
    <mergeCell ref="N74:N76"/>
    <mergeCell ref="C75:C76"/>
    <mergeCell ref="A4:N4"/>
    <mergeCell ref="B5:B6"/>
    <mergeCell ref="C5:C6"/>
    <mergeCell ref="D5:D6"/>
    <mergeCell ref="N5:N6"/>
    <mergeCell ref="M5:M6"/>
    <mergeCell ref="L5:L6"/>
    <mergeCell ref="G5:K5"/>
    <mergeCell ref="F5:F6"/>
    <mergeCell ref="N43:N55"/>
    <mergeCell ref="C45:C49"/>
    <mergeCell ref="C51:C55"/>
    <mergeCell ref="M50:M55"/>
    <mergeCell ref="N121:N128"/>
    <mergeCell ref="C123:C125"/>
    <mergeCell ref="M115:M120"/>
    <mergeCell ref="N57:N67"/>
    <mergeCell ref="N86:N91"/>
    <mergeCell ref="N92:N94"/>
    <mergeCell ref="C97:C100"/>
    <mergeCell ref="C102:C103"/>
    <mergeCell ref="N95:N100"/>
    <mergeCell ref="M101:M103"/>
    <mergeCell ref="N101:N103"/>
    <mergeCell ref="N77:N82"/>
    <mergeCell ref="A134:A140"/>
    <mergeCell ref="N134:N140"/>
    <mergeCell ref="C136:C137"/>
    <mergeCell ref="C139:C140"/>
    <mergeCell ref="A130:A133"/>
    <mergeCell ref="N130:N133"/>
    <mergeCell ref="C132:C133"/>
    <mergeCell ref="A121:A128"/>
    <mergeCell ref="C127:C128"/>
    <mergeCell ref="M126:M128"/>
    <mergeCell ref="A43:A55"/>
    <mergeCell ref="A32:A42"/>
    <mergeCell ref="A68:A76"/>
    <mergeCell ref="A77:A85"/>
    <mergeCell ref="A57:A67"/>
    <mergeCell ref="A86:A94"/>
    <mergeCell ref="C88:C91"/>
    <mergeCell ref="C93:C94"/>
    <mergeCell ref="C59:C62"/>
    <mergeCell ref="M63:M67"/>
    <mergeCell ref="C64:C67"/>
    <mergeCell ref="M92:M94"/>
    <mergeCell ref="A95:A10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69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67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5"/>
  </sheetPr>
  <dimension ref="A1:R1013"/>
  <sheetViews>
    <sheetView zoomScale="98" zoomScaleNormal="98" zoomScaleSheetLayoutView="90" workbookViewId="0">
      <pane xSplit="6" ySplit="7" topLeftCell="G43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L47" sqref="L47"/>
    </sheetView>
  </sheetViews>
  <sheetFormatPr defaultColWidth="9.140625" defaultRowHeight="12.75" outlineLevelCol="1"/>
  <cols>
    <col min="1" max="1" width="13.28515625" style="1018" customWidth="1"/>
    <col min="2" max="2" width="35.85546875" style="745" customWidth="1"/>
    <col min="3" max="3" width="14.7109375" style="1019" customWidth="1"/>
    <col min="4" max="9" width="12.7109375" style="746" customWidth="1"/>
    <col min="10" max="10" width="12.7109375" style="746" hidden="1" customWidth="1"/>
    <col min="11" max="11" width="15.28515625" style="745" customWidth="1"/>
    <col min="12" max="12" width="14.42578125" style="745" customWidth="1"/>
    <col min="13" max="13" width="7.85546875" style="745" customWidth="1"/>
    <col min="14" max="14" width="13.5703125" style="745" customWidth="1"/>
    <col min="15" max="15" width="14.85546875" style="998" bestFit="1" customWidth="1"/>
    <col min="16" max="16" width="11.85546875" style="748" hidden="1" customWidth="1" outlineLevel="1"/>
    <col min="17" max="17" width="13.28515625" style="748" hidden="1" customWidth="1" outlineLevel="1"/>
    <col min="18" max="18" width="20.140625" style="745" customWidth="1" collapsed="1"/>
    <col min="19" max="20" width="9.140625" style="745"/>
    <col min="21" max="21" width="9.7109375" style="745" bestFit="1" customWidth="1"/>
    <col min="22" max="16384" width="9.140625" style="745"/>
  </cols>
  <sheetData>
    <row r="1" spans="1:18" ht="68.25" customHeight="1">
      <c r="A1" s="4467" t="s">
        <v>165</v>
      </c>
      <c r="B1" s="4467"/>
      <c r="C1" s="4467"/>
      <c r="D1" s="4467"/>
      <c r="E1" s="4467"/>
      <c r="F1" s="4467"/>
      <c r="G1" s="4467"/>
      <c r="H1" s="4467"/>
      <c r="I1" s="4467"/>
      <c r="J1" s="4467"/>
      <c r="K1" s="4467"/>
      <c r="L1" s="4468"/>
      <c r="M1" s="1491"/>
      <c r="N1" s="1491"/>
    </row>
    <row r="2" spans="1:18" ht="15.75" customHeight="1" thickBot="1">
      <c r="A2" s="1119"/>
      <c r="B2" s="1119"/>
      <c r="C2" s="1119"/>
      <c r="D2" s="1119"/>
      <c r="E2" s="1119"/>
      <c r="F2" s="1119"/>
      <c r="G2" s="1119"/>
      <c r="H2" s="1119"/>
      <c r="I2" s="1119"/>
      <c r="J2" s="2412"/>
      <c r="K2" s="1119"/>
      <c r="L2" s="1120"/>
      <c r="M2" s="1491"/>
      <c r="N2" s="1491"/>
    </row>
    <row r="3" spans="1:18" ht="34.5" customHeight="1">
      <c r="A3" s="4469" t="s">
        <v>4</v>
      </c>
      <c r="B3" s="4470"/>
      <c r="C3" s="2380" t="s">
        <v>240</v>
      </c>
      <c r="D3" s="2971" t="s">
        <v>556</v>
      </c>
      <c r="E3" s="3786" t="s">
        <v>540</v>
      </c>
      <c r="F3" s="3787"/>
      <c r="G3" s="3787"/>
      <c r="H3" s="3787"/>
      <c r="I3" s="3788"/>
      <c r="J3" s="4475">
        <v>2024</v>
      </c>
      <c r="K3" s="3621" t="s">
        <v>3</v>
      </c>
      <c r="L3" s="3627" t="s">
        <v>541</v>
      </c>
      <c r="M3" s="1492"/>
      <c r="N3" s="1492"/>
    </row>
    <row r="4" spans="1:18" ht="18.75" customHeight="1" thickBot="1">
      <c r="A4" s="4471"/>
      <c r="B4" s="4472"/>
      <c r="C4" s="1107" t="s">
        <v>538</v>
      </c>
      <c r="D4" s="2379" t="s">
        <v>5</v>
      </c>
      <c r="E4" s="2379" t="s">
        <v>193</v>
      </c>
      <c r="F4" s="2379" t="s">
        <v>194</v>
      </c>
      <c r="G4" s="2379" t="s">
        <v>234</v>
      </c>
      <c r="H4" s="2379" t="s">
        <v>235</v>
      </c>
      <c r="I4" s="2379" t="s">
        <v>233</v>
      </c>
      <c r="J4" s="4476"/>
      <c r="K4" s="3622"/>
      <c r="L4" s="3628"/>
      <c r="M4" s="1492"/>
      <c r="N4" s="1492"/>
    </row>
    <row r="5" spans="1:18" s="767" customFormat="1" ht="14.25" customHeight="1" thickBot="1">
      <c r="A5" s="4473">
        <v>1</v>
      </c>
      <c r="B5" s="4474"/>
      <c r="C5" s="999">
        <v>2</v>
      </c>
      <c r="D5" s="1000">
        <v>3</v>
      </c>
      <c r="E5" s="1000">
        <v>4</v>
      </c>
      <c r="F5" s="1000">
        <v>5</v>
      </c>
      <c r="G5" s="1000">
        <v>6</v>
      </c>
      <c r="H5" s="1000">
        <v>7</v>
      </c>
      <c r="I5" s="1000">
        <v>8</v>
      </c>
      <c r="J5" s="2393"/>
      <c r="K5" s="1000">
        <v>9</v>
      </c>
      <c r="L5" s="1001">
        <v>10</v>
      </c>
      <c r="M5" s="1493"/>
      <c r="N5" s="1493"/>
      <c r="O5" s="1002"/>
      <c r="P5" s="196"/>
      <c r="Q5" s="196"/>
    </row>
    <row r="6" spans="1:18" s="775" customFormat="1" ht="24.75" customHeight="1" thickBot="1">
      <c r="A6" s="4437" t="s">
        <v>166</v>
      </c>
      <c r="B6" s="4438"/>
      <c r="C6" s="1003">
        <f>'Tab. 6A -Drogi'!E35+'Tab. 6B Polit społ i rozwój prz'!E62+'Tab. 6B Polit społ i rozwój prz'!E103+'Tab. 6B Polit społ i rozwój prz'!E115+'Tab. 6B Polit społ i rozwój prz'!E140+'Tab. 6B Polit społ i rozwój prz'!E153+'Tab. 6B Polit społ i rozwój prz'!E165+'Tab. 6B Polit społ i rozwój prz'!E175+'Tab. 6B Polit społ i rozwój prz'!E193+'Tab. 6B Polit społ i rozwój prz'!E205+'Tab. 6B Polit społ i rozwój prz'!E238+'Tab. 6B Polit społ i rozwój prz'!E256+'Tab. 6B Polit społ i rozwój prz'!E271+'Tab. 6E - Administracja'!E97-'Tab. 6E - Administracja'!E105+'Tab. 6E - Administracja'!E127+'Tab. 6E - Administracja'!E141+'Tab. 6G - Roln i ochrona środ.'!E69+'Tab. 6G - Roln i ochrona środ.'!E78+'Tab. 6G - Roln i ochrona środ.'!E87+'Tab. 6G - Roln i ochrona środ.'!E96+'Tab. 6H - Kultura fiz. i turyst'!E26+'Tab. 6H - Kultura fiz. i turyst'!E38+'Tab. 6H - Kultura fiz. i turyst'!E50+'Tab. 6H - Kultura fiz. i turyst'!E86+'Tab. 6H - Kultura fiz. i turyst'!E95+'Tab. 6H - Kultura fiz. i turyst'!E136+'Tab. 6H - Kultura fiz. i turyst'!E145+'Tab. 6B Polit społ i rozwój prz'!E127-'Tab. 6B Polit społ i rozwój prz'!E131+'Tab. 6H - Kultura fiz. i turyst'!E111+'Tab. 6C - Ochrona zdrowia'!E22-'Tab. 6C - Ochrona zdrowia'!E25+'Tab. 6C - Ochrona zdrowia'!E35+'Tab.6I - Planow. przestrz.'!E74+'Tab. 6H - Kultura fiz. i turyst'!E74+'Tab. 6H - Kultura fiz. i turyst'!E127+'Tab. 6H - Kultura fiz. i turyst'!E62</f>
        <v>135767500</v>
      </c>
      <c r="D6" s="1003">
        <f>'Tab. 6A -Drogi'!F35+'Tab. 6B Polit społ i rozwój prz'!F62+'Tab. 6B Polit społ i rozwój prz'!F103+'Tab. 6B Polit społ i rozwój prz'!F115+'Tab. 6B Polit społ i rozwój prz'!F140+'Tab. 6B Polit społ i rozwój prz'!F153+'Tab. 6B Polit społ i rozwój prz'!F165+'Tab. 6B Polit społ i rozwój prz'!F175+'Tab. 6B Polit społ i rozwój prz'!F193+'Tab. 6B Polit społ i rozwój prz'!F205+'Tab. 6B Polit społ i rozwój prz'!F238+'Tab. 6B Polit społ i rozwój prz'!F256+'Tab. 6B Polit społ i rozwój prz'!F271+'Tab. 6E - Administracja'!F97-'Tab. 6E - Administracja'!F105+'Tab. 6E - Administracja'!F127+'Tab. 6E - Administracja'!F141+'Tab. 6G - Roln i ochrona środ.'!F69+'Tab. 6G - Roln i ochrona środ.'!F78+'Tab. 6G - Roln i ochrona środ.'!F87+'Tab. 6G - Roln i ochrona środ.'!F96+'Tab. 6H - Kultura fiz. i turyst'!F26+'Tab. 6H - Kultura fiz. i turyst'!F38+'Tab. 6H - Kultura fiz. i turyst'!F50+'Tab. 6H - Kultura fiz. i turyst'!F86+'Tab. 6H - Kultura fiz. i turyst'!F95+'Tab. 6H - Kultura fiz. i turyst'!F136+'Tab. 6H - Kultura fiz. i turyst'!F145+'Tab. 6B Polit społ i rozwój prz'!F127-'Tab. 6B Polit społ i rozwój prz'!F131+'Tab. 6H - Kultura fiz. i turyst'!F111+'Tab. 6C - Ochrona zdrowia'!F22-'Tab. 6C - Ochrona zdrowia'!F25+'Tab. 6C - Ochrona zdrowia'!F35+'Tab.6I - Planow. przestrz.'!F74+'Tab. 6H - Kultura fiz. i turyst'!F74+'Tab. 6H - Kultura fiz. i turyst'!F127+'Tab. 6H - Kultura fiz. i turyst'!F62</f>
        <v>124532081</v>
      </c>
      <c r="E6" s="1003">
        <f>'Tab. 6A -Drogi'!G35+'Tab. 6B Polit społ i rozwój prz'!G62+'Tab. 6B Polit społ i rozwój prz'!G103+'Tab. 6B Polit społ i rozwój prz'!G115+'Tab. 6B Polit społ i rozwój prz'!G140+'Tab. 6B Polit społ i rozwój prz'!G153+'Tab. 6B Polit społ i rozwój prz'!G165+'Tab. 6B Polit społ i rozwój prz'!G175+'Tab. 6B Polit społ i rozwój prz'!G193+'Tab. 6B Polit społ i rozwój prz'!G205+'Tab. 6B Polit społ i rozwój prz'!G238+'Tab. 6B Polit społ i rozwój prz'!G256+'Tab. 6B Polit społ i rozwój prz'!G271+'Tab. 6E - Administracja'!G97-'Tab. 6E - Administracja'!G105+'Tab. 6E - Administracja'!G127+'Tab. 6E - Administracja'!G141+'Tab. 6G - Roln i ochrona środ.'!G69+'Tab. 6G - Roln i ochrona środ.'!G78+'Tab. 6G - Roln i ochrona środ.'!G87+'Tab. 6G - Roln i ochrona środ.'!G96+'Tab. 6H - Kultura fiz. i turyst'!G26+'Tab. 6H - Kultura fiz. i turyst'!G38+'Tab. 6H - Kultura fiz. i turyst'!G50+'Tab. 6H - Kultura fiz. i turyst'!G86+'Tab. 6H - Kultura fiz. i turyst'!G95+'Tab. 6H - Kultura fiz. i turyst'!G136+'Tab. 6H - Kultura fiz. i turyst'!G145+'Tab. 6B Polit społ i rozwój prz'!G127-'Tab. 6B Polit społ i rozwój prz'!G131+'Tab. 6H - Kultura fiz. i turyst'!G111+'Tab. 6C - Ochrona zdrowia'!G22-'Tab. 6C - Ochrona zdrowia'!G25+'Tab. 6C - Ochrona zdrowia'!G35+'Tab.6I - Planow. przestrz.'!G74+'Tab. 6H - Kultura fiz. i turyst'!G74+'Tab. 6H - Kultura fiz. i turyst'!G127+'Tab. 6H - Kultura fiz. i turyst'!G62</f>
        <v>344866978</v>
      </c>
      <c r="F6" s="1003">
        <f>'Tab. 6A -Drogi'!H35+'Tab. 6B Polit społ i rozwój prz'!H62+'Tab. 6B Polit społ i rozwój prz'!H103+'Tab. 6B Polit społ i rozwój prz'!H115+'Tab. 6B Polit społ i rozwój prz'!H140+'Tab. 6B Polit społ i rozwój prz'!H153+'Tab. 6B Polit społ i rozwój prz'!H165+'Tab. 6B Polit społ i rozwój prz'!H175+'Tab. 6B Polit społ i rozwój prz'!H193+'Tab. 6B Polit społ i rozwój prz'!H205+'Tab. 6B Polit społ i rozwój prz'!H238+'Tab. 6B Polit społ i rozwój prz'!H256+'Tab. 6B Polit społ i rozwój prz'!H271+'Tab. 6E - Administracja'!H97-'Tab. 6E - Administracja'!H105+'Tab. 6E - Administracja'!H127+'Tab. 6E - Administracja'!H141+'Tab. 6G - Roln i ochrona środ.'!H69+'Tab. 6G - Roln i ochrona środ.'!H78+'Tab. 6G - Roln i ochrona środ.'!H87+'Tab. 6G - Roln i ochrona środ.'!H96+'Tab. 6H - Kultura fiz. i turyst'!H26+'Tab. 6H - Kultura fiz. i turyst'!H38+'Tab. 6H - Kultura fiz. i turyst'!H50+'Tab. 6H - Kultura fiz. i turyst'!H86+'Tab. 6H - Kultura fiz. i turyst'!H95+'Tab. 6H - Kultura fiz. i turyst'!H136+'Tab. 6H - Kultura fiz. i turyst'!H145+'Tab. 6B Polit społ i rozwój prz'!H127-'Tab. 6B Polit społ i rozwój prz'!H131+'Tab. 6H - Kultura fiz. i turyst'!H111+'Tab. 6C - Ochrona zdrowia'!H22-'Tab. 6C - Ochrona zdrowia'!H25+'Tab. 6C - Ochrona zdrowia'!H35+'Tab.6I - Planow. przestrz.'!H74+'Tab. 6H - Kultura fiz. i turyst'!H74+'Tab. 6H - Kultura fiz. i turyst'!H127+'Tab. 6H - Kultura fiz. i turyst'!H62</f>
        <v>327397015</v>
      </c>
      <c r="G6" s="1003">
        <f>'Tab. 6A -Drogi'!I35+'Tab. 6B Polit społ i rozwój prz'!I62+'Tab. 6B Polit społ i rozwój prz'!I103+'Tab. 6B Polit społ i rozwój prz'!I115+'Tab. 6B Polit społ i rozwój prz'!I140+'Tab. 6B Polit społ i rozwój prz'!I153+'Tab. 6B Polit społ i rozwój prz'!I165+'Tab. 6B Polit społ i rozwój prz'!I175+'Tab. 6B Polit społ i rozwój prz'!I193+'Tab. 6B Polit społ i rozwój prz'!I205+'Tab. 6B Polit społ i rozwój prz'!I238+'Tab. 6B Polit społ i rozwój prz'!I256+'Tab. 6B Polit społ i rozwój prz'!I271+'Tab. 6E - Administracja'!I97-'Tab. 6E - Administracja'!I105+'Tab. 6E - Administracja'!I127+'Tab. 6E - Administracja'!I141+'Tab. 6G - Roln i ochrona środ.'!I69+'Tab. 6G - Roln i ochrona środ.'!I78+'Tab. 6G - Roln i ochrona środ.'!I87+'Tab. 6G - Roln i ochrona środ.'!I96+'Tab. 6H - Kultura fiz. i turyst'!I26+'Tab. 6H - Kultura fiz. i turyst'!I38+'Tab. 6H - Kultura fiz. i turyst'!I50+'Tab. 6H - Kultura fiz. i turyst'!I86+'Tab. 6H - Kultura fiz. i turyst'!I95+'Tab. 6H - Kultura fiz. i turyst'!I136+'Tab. 6H - Kultura fiz. i turyst'!I145+'Tab. 6B Polit społ i rozwój prz'!I127-'Tab. 6B Polit społ i rozwój prz'!I131+'Tab. 6H - Kultura fiz. i turyst'!I111+'Tab. 6C - Ochrona zdrowia'!I22-'Tab. 6C - Ochrona zdrowia'!I25+'Tab. 6C - Ochrona zdrowia'!I35+'Tab.6I - Planow. przestrz.'!I74+'Tab. 6H - Kultura fiz. i turyst'!I74+'Tab. 6H - Kultura fiz. i turyst'!I127+'Tab. 6H - Kultura fiz. i turyst'!I62</f>
        <v>135977973</v>
      </c>
      <c r="H6" s="1003">
        <f>'Tab. 6A -Drogi'!J35+'Tab. 6B Polit społ i rozwój prz'!J62+'Tab. 6B Polit społ i rozwój prz'!J103+'Tab. 6B Polit społ i rozwój prz'!J115+'Tab. 6B Polit społ i rozwój prz'!J140+'Tab. 6B Polit społ i rozwój prz'!J153+'Tab. 6B Polit społ i rozwój prz'!J165+'Tab. 6B Polit społ i rozwój prz'!J175+'Tab. 6B Polit społ i rozwój prz'!J193+'Tab. 6B Polit społ i rozwój prz'!J205+'Tab. 6B Polit społ i rozwój prz'!J238+'Tab. 6B Polit społ i rozwój prz'!J256+'Tab. 6B Polit społ i rozwój prz'!J271+'Tab. 6E - Administracja'!J97-'Tab. 6E - Administracja'!J105+'Tab. 6E - Administracja'!J127+'Tab. 6E - Administracja'!J141+'Tab. 6G - Roln i ochrona środ.'!J69+'Tab. 6G - Roln i ochrona środ.'!J78+'Tab. 6G - Roln i ochrona środ.'!J87+'Tab. 6G - Roln i ochrona środ.'!J96+'Tab. 6H - Kultura fiz. i turyst'!J26+'Tab. 6H - Kultura fiz. i turyst'!J38+'Tab. 6H - Kultura fiz. i turyst'!J50+'Tab. 6H - Kultura fiz. i turyst'!J86+'Tab. 6H - Kultura fiz. i turyst'!J95+'Tab. 6H - Kultura fiz. i turyst'!J136+'Tab. 6H - Kultura fiz. i turyst'!J145+'Tab. 6B Polit społ i rozwój prz'!J127-'Tab. 6B Polit społ i rozwój prz'!J131+'Tab. 6H - Kultura fiz. i turyst'!J111+'Tab. 6C - Ochrona zdrowia'!J22-'Tab. 6C - Ochrona zdrowia'!J25+'Tab. 6C - Ochrona zdrowia'!J35+'Tab.6I - Planow. przestrz.'!J74+'Tab. 6H - Kultura fiz. i turyst'!J74+'Tab. 6H - Kultura fiz. i turyst'!J127+'Tab. 6H - Kultura fiz. i turyst'!J62</f>
        <v>53829214</v>
      </c>
      <c r="I6" s="1003">
        <f>'Tab. 6A -Drogi'!K35+'Tab. 6B Polit społ i rozwój prz'!K62+'Tab. 6B Polit społ i rozwój prz'!K103+'Tab. 6B Polit społ i rozwój prz'!K115+'Tab. 6B Polit społ i rozwój prz'!K140+'Tab. 6B Polit społ i rozwój prz'!K153+'Tab. 6B Polit społ i rozwój prz'!K165+'Tab. 6B Polit społ i rozwój prz'!K175+'Tab. 6B Polit społ i rozwój prz'!K193+'Tab. 6B Polit społ i rozwój prz'!K205+'Tab. 6B Polit społ i rozwój prz'!K238+'Tab. 6B Polit społ i rozwój prz'!K256+'Tab. 6B Polit społ i rozwój prz'!K271+'Tab. 6E - Administracja'!K97-'Tab. 6E - Administracja'!K105+'Tab. 6E - Administracja'!K127+'Tab. 6E - Administracja'!K141+'Tab. 6G - Roln i ochrona środ.'!K69+'Tab. 6G - Roln i ochrona środ.'!K78+'Tab. 6G - Roln i ochrona środ.'!K87+'Tab. 6G - Roln i ochrona środ.'!K96+'Tab. 6H - Kultura fiz. i turyst'!K26+'Tab. 6H - Kultura fiz. i turyst'!K38+'Tab. 6H - Kultura fiz. i turyst'!K50+'Tab. 6H - Kultura fiz. i turyst'!K86+'Tab. 6H - Kultura fiz. i turyst'!K95+'Tab. 6H - Kultura fiz. i turyst'!K136+'Tab. 6H - Kultura fiz. i turyst'!K145+'Tab. 6B Polit społ i rozwój prz'!K127-'Tab. 6B Polit społ i rozwój prz'!K131+'Tab. 6H - Kultura fiz. i turyst'!K111+'Tab. 6C - Ochrona zdrowia'!K22-'Tab. 6C - Ochrona zdrowia'!K25+'Tab. 6C - Ochrona zdrowia'!K35+'Tab.6I - Planow. przestrz.'!K74+'Tab. 6H - Kultura fiz. i turyst'!K74+'Tab. 6H - Kultura fiz. i turyst'!K127+'Tab. 6H - Kultura fiz. i turyst'!K62</f>
        <v>30975818</v>
      </c>
      <c r="J6" s="2394">
        <f>'Tab. 6A -Drogi'!L35+'Tab. 6B Polit społ i rozwój prz'!L62+'Tab. 6B Polit społ i rozwój prz'!L103+'Tab. 6B Polit społ i rozwój prz'!L115+'Tab. 6B Polit społ i rozwój prz'!L140+'Tab. 6B Polit społ i rozwój prz'!L153+'Tab. 6B Polit społ i rozwój prz'!L165+'Tab. 6B Polit społ i rozwój prz'!L175+'Tab. 6B Polit społ i rozwój prz'!L193+'Tab. 6B Polit społ i rozwój prz'!L205+'Tab. 6B Polit społ i rozwój prz'!L238+'Tab. 6B Polit społ i rozwój prz'!L256+'Tab. 6B Polit społ i rozwój prz'!L271+'Tab. 6E - Administracja'!L97-'Tab. 6E - Administracja'!L105+'Tab. 6E - Administracja'!L127+'Tab. 6E - Administracja'!L141+'Tab. 6G - Roln i ochrona środ.'!L69+'Tab. 6G - Roln i ochrona środ.'!L78+'Tab. 6G - Roln i ochrona środ.'!L87+'Tab. 6G - Roln i ochrona środ.'!L96+'Tab. 6H - Kultura fiz. i turyst'!L26+'Tab. 6H - Kultura fiz. i turyst'!L38+'Tab. 6H - Kultura fiz. i turyst'!L50+'Tab. 6H - Kultura fiz. i turyst'!L86+'Tab. 6H - Kultura fiz. i turyst'!L95+'Tab. 6H - Kultura fiz. i turyst'!L136+'Tab. 6H - Kultura fiz. i turyst'!L145+'Tab. 6B Polit społ i rozwój prz'!L127-'Tab. 6B Polit społ i rozwój prz'!L131+'Tab. 6H - Kultura fiz. i turyst'!L111+'Tab. 6C - Ochrona zdrowia'!L22-'Tab. 6C - Ochrona zdrowia'!L25+'Tab. 6C - Ochrona zdrowia'!L35</f>
        <v>0</v>
      </c>
      <c r="K6" s="1003">
        <f>C6+J6+D6+E6+F6+G6+H6+I6</f>
        <v>1153346579</v>
      </c>
      <c r="L6" s="1004">
        <f>+E6+F6+G6+H6+I6</f>
        <v>893046998</v>
      </c>
      <c r="M6" s="1502">
        <f>D6/$D$46%</f>
        <v>90.775837615069278</v>
      </c>
      <c r="N6" s="1502">
        <f>D6/$N$49%</f>
        <v>10.408157983339112</v>
      </c>
      <c r="O6" s="1005"/>
      <c r="P6" s="793"/>
      <c r="Q6" s="793"/>
      <c r="R6" s="794"/>
    </row>
    <row r="7" spans="1:18" s="775" customFormat="1" ht="24.75" customHeight="1" thickBot="1">
      <c r="A7" s="4439" t="s">
        <v>167</v>
      </c>
      <c r="B7" s="4440"/>
      <c r="C7" s="1006">
        <f>'Tab. 6A -Drogi'!E43+'Tab. 6B Polit społ i rozwój prz'!E72+'Tab. 6B Polit społ i rozwój prz'!E109+'Tab. 6B Polit społ i rozwój prz'!E121+'Tab. 6B Polit społ i rozwój prz'!E149+'Tab. 6B Polit społ i rozwój prz'!E161+'Tab. 6B Polit społ i rozwój prz'!E171+'Tab. 6B Polit społ i rozwój prz'!E187+'Tab. 6B Polit społ i rozwój prz'!E199+'Tab. 6B Polit społ i rozwój prz'!E217+'Tab. 6B Polit społ i rozwój prz'!E250+'Tab. 6B Polit społ i rozwój prz'!E265+'Tab. 6B Polit społ i rozwój prz'!E276+'Tab. 6E - Administracja'!E118+'Tab. 6E - Administracja'!E137+'Tab. 6E - Administracja'!E150+'Tab. 6G - Roln i ochrona środ.'!E74+'Tab. 6G - Roln i ochrona środ.'!E83+'Tab. 6G - Roln i ochrona środ.'!E92+'Tab. 6G - Roln i ochrona środ.'!E101+'Tab. 6H - Kultura fiz. i turyst'!E32+'Tab. 6H - Kultura fiz. i turyst'!E44+'Tab. 6H - Kultura fiz. i turyst'!E56+'Tab. 6H - Kultura fiz. i turyst'!E91+'Tab. 6H - Kultura fiz. i turyst'!E105+'Tab. 6H - Kultura fiz. i turyst'!E141+'Tab. 6H - Kultura fiz. i turyst'!E151+'Tab. 6B Polit społ i rozwój prz'!E134+'Tab. 6C - Ochrona zdrowia'!E29+'Tab. 6C - Ochrona zdrowia'!E41+'Tab. 6H - Kultura fiz. i turyst'!E121+'Tab.6I - Planow. przestrz.'!E80+'Tab. 6H - Kultura fiz. i turyst'!E80+'Tab. 6H - Kultura fiz. i turyst'!E132+'Tab. 6H - Kultura fiz. i turyst'!E68</f>
        <v>98687121</v>
      </c>
      <c r="D7" s="1006">
        <f>'Tab. 6A -Drogi'!F43+'Tab. 6B Polit społ i rozwój prz'!F72+'Tab. 6B Polit społ i rozwój prz'!F109+'Tab. 6B Polit społ i rozwój prz'!F121+'Tab. 6B Polit społ i rozwój prz'!F149+'Tab. 6B Polit społ i rozwój prz'!F161+'Tab. 6B Polit społ i rozwój prz'!F171+'Tab. 6B Polit społ i rozwój prz'!F187+'Tab. 6B Polit społ i rozwój prz'!F199+'Tab. 6B Polit społ i rozwój prz'!F217+'Tab. 6B Polit społ i rozwój prz'!F250+'Tab. 6B Polit społ i rozwój prz'!F265+'Tab. 6B Polit społ i rozwój prz'!F276+'Tab. 6E - Administracja'!F118+'Tab. 6E - Administracja'!F137+'Tab. 6E - Administracja'!F150+'Tab. 6G - Roln i ochrona środ.'!F74+'Tab. 6G - Roln i ochrona środ.'!F83+'Tab. 6G - Roln i ochrona środ.'!F92+'Tab. 6G - Roln i ochrona środ.'!F101+'Tab. 6H - Kultura fiz. i turyst'!F32+'Tab. 6H - Kultura fiz. i turyst'!F44+'Tab. 6H - Kultura fiz. i turyst'!F56+'Tab. 6H - Kultura fiz. i turyst'!F91+'Tab. 6H - Kultura fiz. i turyst'!F105+'Tab. 6H - Kultura fiz. i turyst'!F141+'Tab. 6H - Kultura fiz. i turyst'!F151+'Tab. 6B Polit społ i rozwój prz'!F134+'Tab. 6C - Ochrona zdrowia'!F29+'Tab. 6C - Ochrona zdrowia'!F41+'Tab. 6H - Kultura fiz. i turyst'!F121+'Tab.6I - Planow. przestrz.'!F80+'Tab. 6H - Kultura fiz. i turyst'!F80+'Tab. 6H - Kultura fiz. i turyst'!F132+'Tab. 6H - Kultura fiz. i turyst'!F68</f>
        <v>119145114</v>
      </c>
      <c r="E7" s="1006">
        <f>'Tab. 6A -Drogi'!G43+'Tab. 6B Polit społ i rozwój prz'!G72+'Tab. 6B Polit społ i rozwój prz'!G109+'Tab. 6B Polit społ i rozwój prz'!G121+'Tab. 6B Polit społ i rozwój prz'!G149+'Tab. 6B Polit społ i rozwój prz'!G161+'Tab. 6B Polit społ i rozwój prz'!G171+'Tab. 6B Polit społ i rozwój prz'!G187+'Tab. 6B Polit społ i rozwój prz'!G199+'Tab. 6B Polit społ i rozwój prz'!G217+'Tab. 6B Polit społ i rozwój prz'!G250+'Tab. 6B Polit społ i rozwój prz'!G265+'Tab. 6B Polit społ i rozwój prz'!G276+'Tab. 6E - Administracja'!G118+'Tab. 6E - Administracja'!G137+'Tab. 6E - Administracja'!G150+'Tab. 6G - Roln i ochrona środ.'!G74+'Tab. 6G - Roln i ochrona środ.'!G83+'Tab. 6G - Roln i ochrona środ.'!G92+'Tab. 6G - Roln i ochrona środ.'!G101+'Tab. 6H - Kultura fiz. i turyst'!G32+'Tab. 6H - Kultura fiz. i turyst'!G44+'Tab. 6H - Kultura fiz. i turyst'!G56+'Tab. 6H - Kultura fiz. i turyst'!G91+'Tab. 6H - Kultura fiz. i turyst'!G105+'Tab. 6H - Kultura fiz. i turyst'!G141+'Tab. 6H - Kultura fiz. i turyst'!G151+'Tab. 6B Polit społ i rozwój prz'!G134+'Tab. 6C - Ochrona zdrowia'!G29+'Tab. 6C - Ochrona zdrowia'!G41+'Tab. 6H - Kultura fiz. i turyst'!G121+'Tab.6I - Planow. przestrz.'!G80+'Tab. 6H - Kultura fiz. i turyst'!G80+'Tab. 6H - Kultura fiz. i turyst'!G132+'Tab. 6H - Kultura fiz. i turyst'!G68</f>
        <v>287633178</v>
      </c>
      <c r="F7" s="1006">
        <f>'Tab. 6A -Drogi'!H43+'Tab. 6B Polit społ i rozwój prz'!H72+'Tab. 6B Polit społ i rozwój prz'!H109+'Tab. 6B Polit społ i rozwój prz'!H121+'Tab. 6B Polit społ i rozwój prz'!H149+'Tab. 6B Polit społ i rozwój prz'!H161+'Tab. 6B Polit społ i rozwój prz'!H171+'Tab. 6B Polit społ i rozwój prz'!H187+'Tab. 6B Polit społ i rozwój prz'!H199+'Tab. 6B Polit społ i rozwój prz'!H217+'Tab. 6B Polit społ i rozwój prz'!H250+'Tab. 6B Polit społ i rozwój prz'!H265+'Tab. 6B Polit społ i rozwój prz'!H276+'Tab. 6E - Administracja'!H118+'Tab. 6E - Administracja'!H137+'Tab. 6E - Administracja'!H150+'Tab. 6G - Roln i ochrona środ.'!H74+'Tab. 6G - Roln i ochrona środ.'!H83+'Tab. 6G - Roln i ochrona środ.'!H92+'Tab. 6G - Roln i ochrona środ.'!H101+'Tab. 6H - Kultura fiz. i turyst'!H32+'Tab. 6H - Kultura fiz. i turyst'!H44+'Tab. 6H - Kultura fiz. i turyst'!H56+'Tab. 6H - Kultura fiz. i turyst'!H91+'Tab. 6H - Kultura fiz. i turyst'!H105+'Tab. 6H - Kultura fiz. i turyst'!H141+'Tab. 6H - Kultura fiz. i turyst'!H151+'Tab. 6B Polit społ i rozwój prz'!H134+'Tab. 6C - Ochrona zdrowia'!H29+'Tab. 6C - Ochrona zdrowia'!H41+'Tab. 6H - Kultura fiz. i turyst'!H121+'Tab.6I - Planow. przestrz.'!H80+'Tab. 6H - Kultura fiz. i turyst'!H80+'Tab. 6H - Kultura fiz. i turyst'!H132+'Tab. 6H - Kultura fiz. i turyst'!H68</f>
        <v>249737772</v>
      </c>
      <c r="G7" s="1006">
        <f>'Tab. 6A -Drogi'!I43+'Tab. 6B Polit społ i rozwój prz'!I72+'Tab. 6B Polit społ i rozwój prz'!I109+'Tab. 6B Polit społ i rozwój prz'!I121+'Tab. 6B Polit społ i rozwój prz'!I149+'Tab. 6B Polit społ i rozwój prz'!I161+'Tab. 6B Polit społ i rozwój prz'!I171+'Tab. 6B Polit społ i rozwój prz'!I187+'Tab. 6B Polit społ i rozwój prz'!I199+'Tab. 6B Polit społ i rozwój prz'!I217+'Tab. 6B Polit społ i rozwój prz'!I250+'Tab. 6B Polit społ i rozwój prz'!I265+'Tab. 6B Polit społ i rozwój prz'!I276+'Tab. 6E - Administracja'!I118+'Tab. 6E - Administracja'!I137+'Tab. 6E - Administracja'!I150+'Tab. 6G - Roln i ochrona środ.'!I74+'Tab. 6G - Roln i ochrona środ.'!I83+'Tab. 6G - Roln i ochrona środ.'!I92+'Tab. 6G - Roln i ochrona środ.'!I101+'Tab. 6H - Kultura fiz. i turyst'!I32+'Tab. 6H - Kultura fiz. i turyst'!I44+'Tab. 6H - Kultura fiz. i turyst'!I56+'Tab. 6H - Kultura fiz. i turyst'!I91+'Tab. 6H - Kultura fiz. i turyst'!I105+'Tab. 6H - Kultura fiz. i turyst'!I141+'Tab. 6H - Kultura fiz. i turyst'!I151+'Tab. 6B Polit społ i rozwój prz'!I134+'Tab. 6C - Ochrona zdrowia'!I29+'Tab. 6C - Ochrona zdrowia'!I41+'Tab. 6H - Kultura fiz. i turyst'!I121+'Tab.6I - Planow. przestrz.'!I80+'Tab. 6H - Kultura fiz. i turyst'!I80+'Tab. 6H - Kultura fiz. i turyst'!I132+'Tab. 6H - Kultura fiz. i turyst'!I68</f>
        <v>117742973</v>
      </c>
      <c r="H7" s="1006">
        <f>'Tab. 6A -Drogi'!J43+'Tab. 6B Polit społ i rozwój prz'!J72+'Tab. 6B Polit społ i rozwój prz'!J109+'Tab. 6B Polit społ i rozwój prz'!J121+'Tab. 6B Polit społ i rozwój prz'!J149+'Tab. 6B Polit społ i rozwój prz'!J161+'Tab. 6B Polit społ i rozwój prz'!J171+'Tab. 6B Polit społ i rozwój prz'!J187+'Tab. 6B Polit społ i rozwój prz'!J199+'Tab. 6B Polit społ i rozwój prz'!J217+'Tab. 6B Polit społ i rozwój prz'!J250+'Tab. 6B Polit społ i rozwój prz'!J265+'Tab. 6B Polit społ i rozwój prz'!J276+'Tab. 6E - Administracja'!J118+'Tab. 6E - Administracja'!J137+'Tab. 6E - Administracja'!J150+'Tab. 6G - Roln i ochrona środ.'!J74+'Tab. 6G - Roln i ochrona środ.'!J83+'Tab. 6G - Roln i ochrona środ.'!J92+'Tab. 6G - Roln i ochrona środ.'!J101+'Tab. 6H - Kultura fiz. i turyst'!J32+'Tab. 6H - Kultura fiz. i turyst'!J44+'Tab. 6H - Kultura fiz. i turyst'!J56+'Tab. 6H - Kultura fiz. i turyst'!J91+'Tab. 6H - Kultura fiz. i turyst'!J105+'Tab. 6H - Kultura fiz. i turyst'!J141+'Tab. 6H - Kultura fiz. i turyst'!J151+'Tab. 6B Polit społ i rozwój prz'!J134+'Tab. 6C - Ochrona zdrowia'!J29+'Tab. 6C - Ochrona zdrowia'!J41+'Tab. 6H - Kultura fiz. i turyst'!J121+'Tab.6I - Planow. przestrz.'!J80+'Tab. 6H - Kultura fiz. i turyst'!J80+'Tab. 6H - Kultura fiz. i turyst'!J132+'Tab. 6H - Kultura fiz. i turyst'!J68</f>
        <v>39803156</v>
      </c>
      <c r="I7" s="1006">
        <f>'Tab. 6A -Drogi'!K43+'Tab. 6B Polit społ i rozwój prz'!K72+'Tab. 6B Polit społ i rozwój prz'!K109+'Tab. 6B Polit społ i rozwój prz'!K121+'Tab. 6B Polit społ i rozwój prz'!K149+'Tab. 6B Polit społ i rozwój prz'!K161+'Tab. 6B Polit społ i rozwój prz'!K171+'Tab. 6B Polit społ i rozwój prz'!K187+'Tab. 6B Polit społ i rozwój prz'!K199+'Tab. 6B Polit społ i rozwój prz'!K217+'Tab. 6B Polit społ i rozwój prz'!K250+'Tab. 6B Polit społ i rozwój prz'!K265+'Tab. 6B Polit społ i rozwój prz'!K276+'Tab. 6E - Administracja'!K118+'Tab. 6E - Administracja'!K137+'Tab. 6E - Administracja'!K150+'Tab. 6G - Roln i ochrona środ.'!K74+'Tab. 6G - Roln i ochrona środ.'!K83+'Tab. 6G - Roln i ochrona środ.'!K92+'Tab. 6G - Roln i ochrona środ.'!K101+'Tab. 6H - Kultura fiz. i turyst'!K32+'Tab. 6H - Kultura fiz. i turyst'!K44+'Tab. 6H - Kultura fiz. i turyst'!K56+'Tab. 6H - Kultura fiz. i turyst'!K91+'Tab. 6H - Kultura fiz. i turyst'!K105+'Tab. 6H - Kultura fiz. i turyst'!K141+'Tab. 6H - Kultura fiz. i turyst'!K151+'Tab. 6B Polit społ i rozwój prz'!K134+'Tab. 6C - Ochrona zdrowia'!K29+'Tab. 6C - Ochrona zdrowia'!K41+'Tab. 6H - Kultura fiz. i turyst'!K121+'Tab.6I - Planow. przestrz.'!K80+'Tab. 6H - Kultura fiz. i turyst'!K80+'Tab. 6H - Kultura fiz. i turyst'!K132+'Tab. 6H - Kultura fiz. i turyst'!K68</f>
        <v>31121774</v>
      </c>
      <c r="J7" s="1006">
        <f>'Tab. 6A -Drogi'!L43+'Tab. 6B Polit społ i rozwój prz'!L72+'Tab. 6B Polit społ i rozwój prz'!L109+'Tab. 6B Polit społ i rozwój prz'!L121+'Tab. 6B Polit społ i rozwój prz'!L149+'Tab. 6B Polit społ i rozwój prz'!L161+'Tab. 6B Polit społ i rozwój prz'!L171+'Tab. 6B Polit społ i rozwój prz'!L187+'Tab. 6B Polit społ i rozwój prz'!L199+'Tab. 6B Polit społ i rozwój prz'!L217+'Tab. 6B Polit społ i rozwój prz'!L250+'Tab. 6B Polit społ i rozwój prz'!L265+'Tab. 6B Polit społ i rozwój prz'!L276+'Tab. 6E - Administracja'!L118+'Tab. 6E - Administracja'!L137+'Tab. 6E - Administracja'!L150+'Tab. 6G - Roln i ochrona środ.'!L74+'Tab. 6G - Roln i ochrona środ.'!L83+'Tab. 6G - Roln i ochrona środ.'!L92+'Tab. 6G - Roln i ochrona środ.'!L101+'Tab. 6H - Kultura fiz. i turyst'!L32+'Tab. 6H - Kultura fiz. i turyst'!L44+'Tab. 6H - Kultura fiz. i turyst'!L56+'Tab. 6H - Kultura fiz. i turyst'!L91+'Tab. 6H - Kultura fiz. i turyst'!L105+'Tab. 6H - Kultura fiz. i turyst'!L141+'Tab. 6H - Kultura fiz. i turyst'!L151+'Tab. 6B Polit społ i rozwój prz'!L134+'Tab. 6C - Ochrona zdrowia'!L29+'Tab. 6C - Ochrona zdrowia'!L41+'Tab. 6H - Kultura fiz. i turyst'!L121+'Tab.6I - Planow. przestrz.'!L80+'Tab. 6H - Kultura fiz. i turyst'!L80+'Tab. 6H - Kultura fiz. i turyst'!L132+'Tab. 6H - Kultura fiz. i turyst'!L68</f>
        <v>0</v>
      </c>
      <c r="K7" s="1006">
        <f>+C7+J7+D7+E7+F7+G7+H7+I7+2029435+2998719+2055406+3812897+2520257-11253840</f>
        <v>946033962</v>
      </c>
      <c r="L7" s="1007" t="s">
        <v>52</v>
      </c>
      <c r="M7" s="1495"/>
      <c r="N7" s="1495"/>
      <c r="O7" s="1005"/>
      <c r="P7" s="793"/>
      <c r="Q7" s="793"/>
      <c r="R7" s="794"/>
    </row>
    <row r="8" spans="1:18" s="775" customFormat="1" ht="24.75" hidden="1" customHeight="1" thickBot="1">
      <c r="A8" s="1117" t="s">
        <v>168</v>
      </c>
      <c r="B8" s="1118"/>
      <c r="C8" s="1003"/>
      <c r="D8" s="1003"/>
      <c r="E8" s="1003"/>
      <c r="F8" s="1003"/>
      <c r="G8" s="1003"/>
      <c r="H8" s="1003"/>
      <c r="I8" s="1003"/>
      <c r="J8" s="2394"/>
      <c r="K8" s="1003"/>
      <c r="L8" s="1004">
        <f>+D8+E8+F8+G8+H8+I8</f>
        <v>0</v>
      </c>
      <c r="M8" s="1494"/>
      <c r="N8" s="1494"/>
      <c r="O8" s="1005"/>
      <c r="P8" s="793"/>
      <c r="Q8" s="793"/>
      <c r="R8" s="1005"/>
    </row>
    <row r="9" spans="1:18" s="775" customFormat="1" ht="24.75" hidden="1" customHeight="1" thickBot="1">
      <c r="A9" s="4439" t="s">
        <v>169</v>
      </c>
      <c r="B9" s="4440"/>
      <c r="C9" s="1006"/>
      <c r="D9" s="1006"/>
      <c r="E9" s="1006"/>
      <c r="F9" s="1006"/>
      <c r="G9" s="1006"/>
      <c r="H9" s="1006"/>
      <c r="I9" s="1006"/>
      <c r="J9" s="2395"/>
      <c r="K9" s="1006"/>
      <c r="L9" s="1007" t="s">
        <v>52</v>
      </c>
      <c r="M9" s="1495"/>
      <c r="N9" s="1495"/>
      <c r="O9" s="1005"/>
      <c r="P9" s="793"/>
      <c r="Q9" s="793"/>
    </row>
    <row r="10" spans="1:18" s="775" customFormat="1" ht="24.75" hidden="1" customHeight="1" thickBot="1">
      <c r="A10" s="4437" t="s">
        <v>170</v>
      </c>
      <c r="B10" s="4438"/>
      <c r="C10" s="1003"/>
      <c r="D10" s="1003"/>
      <c r="E10" s="1003"/>
      <c r="F10" s="1003"/>
      <c r="G10" s="1003"/>
      <c r="H10" s="1003"/>
      <c r="I10" s="1003"/>
      <c r="J10" s="2394"/>
      <c r="K10" s="1003"/>
      <c r="L10" s="1004">
        <f>+D10+E10+F10+G10+H10+I10</f>
        <v>0</v>
      </c>
      <c r="M10" s="1494"/>
      <c r="N10" s="1494"/>
      <c r="O10" s="1005"/>
      <c r="P10" s="793"/>
      <c r="Q10" s="793"/>
    </row>
    <row r="11" spans="1:18" s="775" customFormat="1" ht="24.75" hidden="1" customHeight="1" thickBot="1">
      <c r="A11" s="4439" t="s">
        <v>171</v>
      </c>
      <c r="B11" s="4440"/>
      <c r="C11" s="1006"/>
      <c r="D11" s="1006"/>
      <c r="E11" s="1006"/>
      <c r="F11" s="1006"/>
      <c r="G11" s="1006"/>
      <c r="H11" s="1006"/>
      <c r="I11" s="1006"/>
      <c r="J11" s="2395"/>
      <c r="K11" s="1006"/>
      <c r="L11" s="1007" t="s">
        <v>52</v>
      </c>
      <c r="M11" s="1495"/>
      <c r="N11" s="1495"/>
      <c r="O11" s="1005"/>
      <c r="P11" s="793"/>
      <c r="Q11" s="793"/>
    </row>
    <row r="12" spans="1:18" s="775" customFormat="1" ht="24.75" customHeight="1" thickBot="1">
      <c r="A12" s="4437" t="s">
        <v>172</v>
      </c>
      <c r="B12" s="4438"/>
      <c r="C12" s="1003">
        <f>+'Tab. 6G - Roln i ochrona środ.'!E44</f>
        <v>9672975</v>
      </c>
      <c r="D12" s="1003">
        <f>+'Tab. 6G - Roln i ochrona środ.'!F44</f>
        <v>4928529</v>
      </c>
      <c r="E12" s="1003">
        <f>+'Tab. 6G - Roln i ochrona środ.'!G44</f>
        <v>6500000</v>
      </c>
      <c r="F12" s="1003">
        <f>+'Tab. 6G - Roln i ochrona środ.'!H44</f>
        <v>6000000</v>
      </c>
      <c r="G12" s="1003">
        <f>+'Tab. 6G - Roln i ochrona środ.'!I44</f>
        <v>1883242</v>
      </c>
      <c r="H12" s="1003">
        <f>+'Tab. 6G - Roln i ochrona środ.'!J44</f>
        <v>1979049</v>
      </c>
      <c r="I12" s="1003">
        <f>+'Tab. 6G - Roln i ochrona środ.'!K44</f>
        <v>1747513</v>
      </c>
      <c r="J12" s="2394">
        <f>+'Tab. 6G - Roln i ochrona środ.'!L44</f>
        <v>0</v>
      </c>
      <c r="K12" s="1003">
        <f>C12+J12+D12+E12+F12+G12+H12+I12</f>
        <v>32711308</v>
      </c>
      <c r="L12" s="1004">
        <f>+E12+F12+G12+H12+I12</f>
        <v>18109804</v>
      </c>
      <c r="M12" s="1502">
        <f>D12/$D$46%</f>
        <v>3.5925790735413776</v>
      </c>
      <c r="N12" s="1502">
        <f>D12/$N$49%</f>
        <v>0.41191721880459331</v>
      </c>
      <c r="O12" s="1005"/>
      <c r="P12" s="793"/>
      <c r="Q12" s="793"/>
    </row>
    <row r="13" spans="1:18" s="775" customFormat="1" ht="24.75" customHeight="1" thickBot="1">
      <c r="A13" s="4439" t="s">
        <v>173</v>
      </c>
      <c r="B13" s="4440"/>
      <c r="C13" s="1006">
        <f>+'Tab. 6G - Roln i ochrona środ.'!E50</f>
        <v>9672975</v>
      </c>
      <c r="D13" s="1006">
        <f>+'Tab. 6G - Roln i ochrona środ.'!F50</f>
        <v>4928529</v>
      </c>
      <c r="E13" s="1006">
        <f>+'Tab. 6G - Roln i ochrona środ.'!G50</f>
        <v>6500000</v>
      </c>
      <c r="F13" s="1006">
        <f>+'Tab. 6G - Roln i ochrona środ.'!H50</f>
        <v>6000000</v>
      </c>
      <c r="G13" s="1006">
        <f>+'Tab. 6G - Roln i ochrona środ.'!I50</f>
        <v>1883242</v>
      </c>
      <c r="H13" s="1006">
        <f>+'Tab. 6G - Roln i ochrona środ.'!J50</f>
        <v>1979049</v>
      </c>
      <c r="I13" s="1006">
        <f>+'Tab. 6G - Roln i ochrona środ.'!K50</f>
        <v>1747513</v>
      </c>
      <c r="J13" s="2395">
        <f>+'Tab. 6G - Roln i ochrona środ.'!L50</f>
        <v>0</v>
      </c>
      <c r="K13" s="1006">
        <f>+C13+J13+D13+E13+F13+G13+H13+I13</f>
        <v>32711308</v>
      </c>
      <c r="L13" s="1007" t="s">
        <v>52</v>
      </c>
      <c r="M13" s="1495"/>
      <c r="N13" s="1495"/>
      <c r="O13" s="1005"/>
      <c r="P13" s="793"/>
      <c r="Q13" s="793"/>
    </row>
    <row r="14" spans="1:18" s="775" customFormat="1" ht="24.75" customHeight="1" thickBot="1">
      <c r="A14" s="1117" t="s">
        <v>174</v>
      </c>
      <c r="B14" s="1118"/>
      <c r="C14" s="1003">
        <f>'Tab. 6G - Roln i ochrona środ.'!E58</f>
        <v>2654543</v>
      </c>
      <c r="D14" s="1003">
        <f>'Tab. 6G - Roln i ochrona środ.'!F58</f>
        <v>1018552</v>
      </c>
      <c r="E14" s="1003">
        <f>'Tab. 6G - Roln i ochrona środ.'!G58</f>
        <v>1200000</v>
      </c>
      <c r="F14" s="1003">
        <f>'Tab. 6G - Roln i ochrona środ.'!H58</f>
        <v>981448</v>
      </c>
      <c r="G14" s="1003">
        <f>'Tab. 6G - Roln i ochrona środ.'!I58</f>
        <v>50000</v>
      </c>
      <c r="H14" s="1003">
        <f>'Tab. 6G - Roln i ochrona środ.'!J58</f>
        <v>50000</v>
      </c>
      <c r="I14" s="1003">
        <f>'Tab. 6G - Roln i ochrona środ.'!K58</f>
        <v>21779</v>
      </c>
      <c r="J14" s="2394">
        <f>'Tab. 6G - Roln i ochrona środ.'!L58</f>
        <v>0</v>
      </c>
      <c r="K14" s="1003">
        <f>C14+J14+D14+E14+F14+G14+H14+I14</f>
        <v>5976322</v>
      </c>
      <c r="L14" s="1004">
        <f>+E14+F14+G14+H14+I14</f>
        <v>2303227</v>
      </c>
      <c r="M14" s="1494"/>
      <c r="N14" s="1494"/>
      <c r="O14" s="1005"/>
      <c r="P14" s="793"/>
      <c r="Q14" s="793"/>
    </row>
    <row r="15" spans="1:18" s="775" customFormat="1" ht="24.75" customHeight="1" thickBot="1">
      <c r="A15" s="4439" t="s">
        <v>175</v>
      </c>
      <c r="B15" s="4440"/>
      <c r="C15" s="1006">
        <f>'Tab. 6G - Roln i ochrona środ.'!E63</f>
        <v>2654543</v>
      </c>
      <c r="D15" s="1006">
        <f>'Tab. 6G - Roln i ochrona środ.'!F63</f>
        <v>1018552</v>
      </c>
      <c r="E15" s="1006">
        <f>'Tab. 6G - Roln i ochrona środ.'!G63</f>
        <v>1200000</v>
      </c>
      <c r="F15" s="1006">
        <f>'Tab. 6G - Roln i ochrona środ.'!H63</f>
        <v>981448</v>
      </c>
      <c r="G15" s="1006">
        <f>'Tab. 6G - Roln i ochrona środ.'!I63</f>
        <v>50000</v>
      </c>
      <c r="H15" s="1006">
        <f>'Tab. 6G - Roln i ochrona środ.'!J63</f>
        <v>50000</v>
      </c>
      <c r="I15" s="1006">
        <f>'Tab. 6G - Roln i ochrona środ.'!K63</f>
        <v>21779</v>
      </c>
      <c r="J15" s="2395">
        <f>'Tab. 6G - Roln i ochrona środ.'!L63</f>
        <v>0</v>
      </c>
      <c r="K15" s="1006">
        <f>+C15+J15+D15+E15+F15+G15+H15+I15</f>
        <v>5976322</v>
      </c>
      <c r="L15" s="1007" t="s">
        <v>52</v>
      </c>
      <c r="M15" s="1495"/>
      <c r="N15" s="1495"/>
      <c r="O15" s="1005"/>
      <c r="P15" s="793"/>
      <c r="Q15" s="793"/>
    </row>
    <row r="16" spans="1:18" s="775" customFormat="1" ht="24.75" hidden="1" customHeight="1" thickBot="1">
      <c r="A16" s="4445" t="s">
        <v>176</v>
      </c>
      <c r="B16" s="4446"/>
      <c r="C16" s="1003">
        <f>+'Tab. 6G - Roln i ochrona środ.'!E33</f>
        <v>0</v>
      </c>
      <c r="D16" s="1003">
        <f>+'Tab. 6G - Roln i ochrona środ.'!F33</f>
        <v>0</v>
      </c>
      <c r="E16" s="1003">
        <f>+'Tab. 6G - Roln i ochrona środ.'!G33</f>
        <v>0</v>
      </c>
      <c r="F16" s="1003">
        <f>+'Tab. 6G - Roln i ochrona środ.'!H33</f>
        <v>0</v>
      </c>
      <c r="G16" s="1003">
        <f>+'Tab. 6G - Roln i ochrona środ.'!I33</f>
        <v>0</v>
      </c>
      <c r="H16" s="1003">
        <f>+'Tab. 6G - Roln i ochrona środ.'!J33</f>
        <v>0</v>
      </c>
      <c r="I16" s="1003">
        <f>+'Tab. 6G - Roln i ochrona środ.'!K33</f>
        <v>0</v>
      </c>
      <c r="J16" s="2394">
        <f>+'Tab. 6G - Roln i ochrona środ.'!L33</f>
        <v>0</v>
      </c>
      <c r="K16" s="1003">
        <f>C16+J16+D16+E16+F16+G16+H16+I16</f>
        <v>0</v>
      </c>
      <c r="L16" s="1004">
        <f>+D16+E16+F16+G16+H16+I16</f>
        <v>0</v>
      </c>
      <c r="M16" s="1502">
        <f>D16/$D$46%</f>
        <v>0</v>
      </c>
      <c r="N16" s="1502">
        <f>D16/$N$49%</f>
        <v>0</v>
      </c>
      <c r="O16" s="1005"/>
      <c r="P16" s="793"/>
      <c r="Q16" s="793"/>
    </row>
    <row r="17" spans="1:18" s="775" customFormat="1" ht="24.75" hidden="1" customHeight="1" thickBot="1">
      <c r="A17" s="4439" t="s">
        <v>177</v>
      </c>
      <c r="B17" s="4440"/>
      <c r="C17" s="1006">
        <f>+'Tab. 6G - Roln i ochrona środ.'!E38</f>
        <v>0</v>
      </c>
      <c r="D17" s="1006">
        <f>+'Tab. 6G - Roln i ochrona środ.'!F38</f>
        <v>0</v>
      </c>
      <c r="E17" s="1006">
        <f>+'Tab. 6G - Roln i ochrona środ.'!G38</f>
        <v>0</v>
      </c>
      <c r="F17" s="1006">
        <f>+'Tab. 6G - Roln i ochrona środ.'!H38</f>
        <v>0</v>
      </c>
      <c r="G17" s="1006">
        <f>+'Tab. 6G - Roln i ochrona środ.'!I38</f>
        <v>0</v>
      </c>
      <c r="H17" s="1006">
        <f>+'Tab. 6G - Roln i ochrona środ.'!J38</f>
        <v>0</v>
      </c>
      <c r="I17" s="1006">
        <f>+'Tab. 6G - Roln i ochrona środ.'!K38</f>
        <v>0</v>
      </c>
      <c r="J17" s="2395">
        <f>+'Tab. 6G - Roln i ochrona środ.'!L38</f>
        <v>0</v>
      </c>
      <c r="K17" s="1006">
        <f>+C17+J17+D17+E17+F17+G17+H17+I17</f>
        <v>0</v>
      </c>
      <c r="L17" s="1007" t="s">
        <v>52</v>
      </c>
      <c r="M17" s="1495"/>
      <c r="N17" s="1495"/>
      <c r="O17" s="1005"/>
      <c r="P17" s="793"/>
      <c r="Q17" s="793"/>
    </row>
    <row r="18" spans="1:18" s="775" customFormat="1" ht="24.75" customHeight="1" thickBot="1">
      <c r="A18" s="4441" t="s">
        <v>178</v>
      </c>
      <c r="B18" s="4442"/>
      <c r="C18" s="1003">
        <f>+'Tab. 6E - Administracja'!E75+'Tab. 6E - Administracja'!E86+'Tab. 6E - Administracja'!E218+'Tab. 6E - Administracja'!E219+'Tab. 6E - Administracja'!E222+'Tab. 6E - Administracja'!E229</f>
        <v>4150547</v>
      </c>
      <c r="D18" s="1003">
        <f>+'Tab. 6E - Administracja'!F75+'Tab. 6E - Administracja'!F86+'Tab. 6E - Administracja'!F218+'Tab. 6E - Administracja'!F219+'Tab. 6E - Administracja'!F222+'Tab. 6E - Administracja'!F229</f>
        <v>1557585</v>
      </c>
      <c r="E18" s="1003">
        <f>+'Tab. 6E - Administracja'!G75+'Tab. 6E - Administracja'!G86+'Tab. 6E - Administracja'!G218+'Tab. 6E - Administracja'!G219+'Tab. 6E - Administracja'!G222+'Tab. 6E - Administracja'!G229</f>
        <v>1500000</v>
      </c>
      <c r="F18" s="1003">
        <f>+'Tab. 6E - Administracja'!H75+'Tab. 6E - Administracja'!H86+'Tab. 6E - Administracja'!H218+'Tab. 6E - Administracja'!H219+'Tab. 6E - Administracja'!H222+'Tab. 6E - Administracja'!H229</f>
        <v>1400000</v>
      </c>
      <c r="G18" s="1003">
        <f>+'Tab. 6E - Administracja'!I75+'Tab. 6E - Administracja'!I86+'Tab. 6E - Administracja'!I218+'Tab. 6E - Administracja'!I219+'Tab. 6E - Administracja'!I222+'Tab. 6E - Administracja'!I229</f>
        <v>0</v>
      </c>
      <c r="H18" s="1003">
        <f>+'Tab. 6E - Administracja'!J75+'Tab. 6E - Administracja'!J86+'Tab. 6E - Administracja'!J218+'Tab. 6E - Administracja'!J219+'Tab. 6E - Administracja'!J222+'Tab. 6E - Administracja'!J229</f>
        <v>0</v>
      </c>
      <c r="I18" s="1003">
        <f>+'Tab. 6E - Administracja'!K75+'Tab. 6E - Administracja'!K86+'Tab. 6E - Administracja'!K218+'Tab. 6E - Administracja'!K219+'Tab. 6E - Administracja'!K222+'Tab. 6E - Administracja'!K229</f>
        <v>0</v>
      </c>
      <c r="J18" s="2394">
        <f>+'Tab. 6E - Administracja'!L75+'Tab. 6E - Administracja'!L86+'Tab. 6E - Administracja'!L218+'Tab. 6E - Administracja'!L219+'Tab. 6E - Administracja'!L222+'Tab. 6E - Administracja'!L229</f>
        <v>0</v>
      </c>
      <c r="K18" s="1003">
        <f>C18+J18+D18+E18+F18+G18+H18+I18</f>
        <v>8608132</v>
      </c>
      <c r="L18" s="1004">
        <f>+E18+F18+G18+H18+I18</f>
        <v>2900000</v>
      </c>
      <c r="M18" s="1502">
        <f>D18/$D$46%</f>
        <v>1.1353787867053124</v>
      </c>
      <c r="N18" s="1502">
        <f>D18/$N$49%</f>
        <v>0.13018003571689493</v>
      </c>
      <c r="O18" s="1005"/>
      <c r="P18" s="793"/>
      <c r="Q18" s="793"/>
    </row>
    <row r="19" spans="1:18" s="775" customFormat="1" ht="24.75" customHeight="1" thickBot="1">
      <c r="A19" s="4439" t="s">
        <v>179</v>
      </c>
      <c r="B19" s="4440"/>
      <c r="C19" s="1006">
        <f>+'Tab. 6E - Administracja'!E80+'Tab. 6E - Administracja'!E91+'Tab. 6E - Administracja'!E223+'Tab. 6E - Administracja'!E234</f>
        <v>4150547</v>
      </c>
      <c r="D19" s="1006">
        <f>+'Tab. 6E - Administracja'!F80+'Tab. 6E - Administracja'!F91+'Tab. 6E - Administracja'!F223+'Tab. 6E - Administracja'!F234</f>
        <v>1557585</v>
      </c>
      <c r="E19" s="1006">
        <f>+'Tab. 6E - Administracja'!G80+'Tab. 6E - Administracja'!G91+'Tab. 6E - Administracja'!G223+'Tab. 6E - Administracja'!G234</f>
        <v>1500000</v>
      </c>
      <c r="F19" s="1006">
        <f>+'Tab. 6E - Administracja'!H80+'Tab. 6E - Administracja'!H91+'Tab. 6E - Administracja'!H223+'Tab. 6E - Administracja'!H234</f>
        <v>1400000</v>
      </c>
      <c r="G19" s="1006">
        <f>+'Tab. 6E - Administracja'!I80+'Tab. 6E - Administracja'!I91+'Tab. 6E - Administracja'!I223+'Tab. 6E - Administracja'!I234</f>
        <v>0</v>
      </c>
      <c r="H19" s="1006">
        <f>+'Tab. 6E - Administracja'!J80+'Tab. 6E - Administracja'!J91+'Tab. 6E - Administracja'!J223+'Tab. 6E - Administracja'!J234</f>
        <v>0</v>
      </c>
      <c r="I19" s="1006">
        <f>+'Tab. 6E - Administracja'!K80+'Tab. 6E - Administracja'!K91+'Tab. 6E - Administracja'!K223+'Tab. 6E - Administracja'!K234</f>
        <v>0</v>
      </c>
      <c r="J19" s="2395">
        <f>+'Tab. 6E - Administracja'!L80+'Tab. 6E - Administracja'!L91+'Tab. 6E - Administracja'!L223+'Tab. 6E - Administracja'!L234</f>
        <v>0</v>
      </c>
      <c r="K19" s="1006">
        <f>+C19+J19+D19+E19+F19+G19+H19+I19</f>
        <v>8608132</v>
      </c>
      <c r="L19" s="1007" t="s">
        <v>52</v>
      </c>
      <c r="M19" s="1495"/>
      <c r="N19" s="1495"/>
      <c r="O19" s="1005"/>
      <c r="P19" s="793"/>
      <c r="Q19" s="793"/>
    </row>
    <row r="20" spans="1:18" s="775" customFormat="1" ht="24.75" hidden="1" customHeight="1" thickBot="1">
      <c r="A20" s="4441" t="s">
        <v>180</v>
      </c>
      <c r="B20" s="4442"/>
      <c r="C20" s="1003"/>
      <c r="D20" s="1003"/>
      <c r="E20" s="1003"/>
      <c r="F20" s="1003"/>
      <c r="G20" s="1003"/>
      <c r="H20" s="1003"/>
      <c r="I20" s="1003"/>
      <c r="J20" s="2394"/>
      <c r="K20" s="1003">
        <f>C20+J20+D20+E20+F20+G20+H20+I20</f>
        <v>0</v>
      </c>
      <c r="L20" s="1004">
        <f>+D20+E20+F20+G20+H20+I20</f>
        <v>0</v>
      </c>
      <c r="M20" s="1502">
        <f>D20/$D$46%</f>
        <v>0</v>
      </c>
      <c r="N20" s="1502">
        <f>D20/$N$49%</f>
        <v>0</v>
      </c>
      <c r="O20" s="1005"/>
      <c r="P20" s="793"/>
      <c r="Q20" s="793"/>
    </row>
    <row r="21" spans="1:18" s="775" customFormat="1" ht="22.5" hidden="1" customHeight="1" thickBot="1">
      <c r="A21" s="4443" t="s">
        <v>181</v>
      </c>
      <c r="B21" s="4444"/>
      <c r="C21" s="1006"/>
      <c r="D21" s="1006"/>
      <c r="E21" s="1006"/>
      <c r="F21" s="1006"/>
      <c r="G21" s="1006"/>
      <c r="H21" s="1006"/>
      <c r="I21" s="1006"/>
      <c r="J21" s="2395"/>
      <c r="K21" s="1006"/>
      <c r="L21" s="1007" t="s">
        <v>52</v>
      </c>
      <c r="M21" s="1495"/>
      <c r="N21" s="1495"/>
      <c r="O21" s="1005"/>
      <c r="P21" s="793"/>
      <c r="Q21" s="793"/>
    </row>
    <row r="22" spans="1:18" s="775" customFormat="1" ht="23.25" customHeight="1" thickBot="1">
      <c r="A22" s="4441" t="s">
        <v>419</v>
      </c>
      <c r="B22" s="4442"/>
      <c r="C22" s="1003">
        <f>'Tab. 6B Polit społ i rozwój prz'!E79+'Tab. 6B Polit społ i rozwój prz'!E91+'Tab. 6B Polit społ i rozwój prz'!E223+'Tab. 6B Polit społ i rozwój prz'!E282+'Tab. 6D - Oświata'!E76</f>
        <v>3043969</v>
      </c>
      <c r="D22" s="1003">
        <f>'Tab. 6B Polit społ i rozwój prz'!F79+'Tab. 6B Polit społ i rozwój prz'!F91+'Tab. 6B Polit społ i rozwój prz'!F223+'Tab. 6B Polit społ i rozwój prz'!F282+'Tab. 6D - Oświata'!F76</f>
        <v>2452749</v>
      </c>
      <c r="E22" s="1003">
        <f>'Tab. 6B Polit społ i rozwój prz'!G79+'Tab. 6B Polit społ i rozwój prz'!G91+'Tab. 6B Polit społ i rozwój prz'!G223+'Tab. 6B Polit społ i rozwój prz'!G282+'Tab. 6D - Oświata'!G76</f>
        <v>6678152</v>
      </c>
      <c r="F22" s="1003">
        <f>'Tab. 6B Polit społ i rozwój prz'!H79+'Tab. 6B Polit społ i rozwój prz'!H91+'Tab. 6B Polit społ i rozwój prz'!H223+'Tab. 6B Polit społ i rozwój prz'!H282+'Tab. 6D - Oświata'!H76</f>
        <v>4876540</v>
      </c>
      <c r="G22" s="1003">
        <f>'Tab. 6B Polit społ i rozwój prz'!I79+'Tab. 6B Polit społ i rozwój prz'!I91+'Tab. 6B Polit społ i rozwój prz'!I223+'Tab. 6B Polit społ i rozwój prz'!I282+'Tab. 6D - Oświata'!I76</f>
        <v>4257485</v>
      </c>
      <c r="H22" s="1003">
        <f>'Tab. 6B Polit społ i rozwój prz'!J79+'Tab. 6B Polit społ i rozwój prz'!J91+'Tab. 6B Polit społ i rozwój prz'!J223+'Tab. 6B Polit społ i rozwój prz'!J282+'Tab. 6D - Oświata'!J76</f>
        <v>1323384</v>
      </c>
      <c r="I22" s="1003">
        <f>'Tab. 6B Polit społ i rozwój prz'!K79+'Tab. 6B Polit społ i rozwój prz'!K91+'Tab. 6B Polit społ i rozwój prz'!K223+'Tab. 6B Polit społ i rozwój prz'!K282+'Tab. 6D - Oświata'!K76</f>
        <v>886135</v>
      </c>
      <c r="J22" s="2394">
        <f>'Tab. 6B Polit społ i rozwój prz'!L79+'Tab. 6B Polit społ i rozwój prz'!L91+'Tab. 6B Polit społ i rozwój prz'!L223+'Tab. 6B Polit społ i rozwój prz'!L282+'Tab. 6D - Oświata'!L76</f>
        <v>0</v>
      </c>
      <c r="K22" s="1003">
        <f>C22+J22+D22+E22+F22+G22+H22+I22</f>
        <v>23518414</v>
      </c>
      <c r="L22" s="1004">
        <f>+E22+F22+G22+H22+I22</f>
        <v>18021696</v>
      </c>
      <c r="M22" s="1502">
        <f>D22/$D$46%</f>
        <v>1.7878954816030381</v>
      </c>
      <c r="N22" s="1502">
        <f>D22/$N$49%</f>
        <v>0.20499616548989513</v>
      </c>
      <c r="O22" s="1005"/>
      <c r="P22" s="793"/>
      <c r="Q22" s="793"/>
    </row>
    <row r="23" spans="1:18" s="775" customFormat="1" ht="25.5" customHeight="1" thickBot="1">
      <c r="A23" s="4439" t="s">
        <v>418</v>
      </c>
      <c r="B23" s="4440"/>
      <c r="C23" s="1006">
        <f>'Tab. 6B Polit społ i rozwój prz'!E85+'Tab. 6B Polit społ i rozwój prz'!E97+'Tab. 6B Polit społ i rozwój prz'!E232+'Tab. 6B Polit społ i rozwój prz'!E294+'Tab. 6D - Oświata'!E81</f>
        <v>2565457</v>
      </c>
      <c r="D23" s="1006">
        <f>'Tab. 6B Polit społ i rozwój prz'!F85+'Tab. 6B Polit społ i rozwój prz'!F97+'Tab. 6B Polit społ i rozwój prz'!F232+'Tab. 6B Polit społ i rozwój prz'!F294+'Tab. 6D - Oświata'!F81</f>
        <v>2266344</v>
      </c>
      <c r="E23" s="1006">
        <f>'Tab. 6B Polit społ i rozwój prz'!G85+'Tab. 6B Polit społ i rozwój prz'!G97+'Tab. 6B Polit społ i rozwój prz'!G232+'Tab. 6B Polit społ i rozwój prz'!G294+'Tab. 6D - Oświata'!G81</f>
        <v>6271583</v>
      </c>
      <c r="F23" s="1006">
        <f>'Tab. 6B Polit społ i rozwój prz'!H85+'Tab. 6B Polit społ i rozwój prz'!H97+'Tab. 6B Polit społ i rozwój prz'!H232+'Tab. 6B Polit społ i rozwój prz'!H294+'Tab. 6D - Oświata'!H81</f>
        <v>4595878</v>
      </c>
      <c r="G23" s="1006">
        <f>'Tab. 6B Polit społ i rozwój prz'!I85+'Tab. 6B Polit społ i rozwój prz'!I97+'Tab. 6B Polit społ i rozwój prz'!I232+'Tab. 6B Polit społ i rozwój prz'!I294+'Tab. 6D - Oświata'!I81</f>
        <v>3965766</v>
      </c>
      <c r="H23" s="1006">
        <f>'Tab. 6B Polit społ i rozwój prz'!J85+'Tab. 6B Polit społ i rozwój prz'!J97+'Tab. 6B Polit społ i rozwój prz'!J232+'Tab. 6B Polit społ i rozwój prz'!J294+'Tab. 6D - Oświata'!J81</f>
        <v>1184084</v>
      </c>
      <c r="I23" s="1006">
        <f>'Tab. 6B Polit społ i rozwój prz'!K85+'Tab. 6B Polit społ i rozwój prz'!K97+'Tab. 6B Polit społ i rozwój prz'!K232+'Tab. 6B Polit społ i rozwój prz'!K294+'Tab. 6D - Oświata'!K81</f>
        <v>746835</v>
      </c>
      <c r="J23" s="2395">
        <f>'Tab. 6B Polit społ i rozwój prz'!L85+'Tab. 6B Polit społ i rozwój prz'!L97+'Tab. 6B Polit społ i rozwój prz'!L232+'Tab. 6B Polit społ i rozwój prz'!L294+'Tab. 6D - Oświata'!L81</f>
        <v>0</v>
      </c>
      <c r="K23" s="1006">
        <f>+C23+J23+D23+E23+F23+G23+H23+I23</f>
        <v>21595947</v>
      </c>
      <c r="L23" s="1007" t="s">
        <v>52</v>
      </c>
      <c r="M23" s="1495"/>
      <c r="N23" s="1495"/>
      <c r="O23" s="1005"/>
      <c r="P23" s="793"/>
      <c r="Q23" s="793"/>
    </row>
    <row r="24" spans="1:18" s="812" customFormat="1" ht="24" customHeight="1" thickBot="1">
      <c r="A24" s="4441" t="s">
        <v>182</v>
      </c>
      <c r="B24" s="4442"/>
      <c r="C24" s="1003">
        <f>C27+C29+C31+C33+C35+C39+C37</f>
        <v>3371589</v>
      </c>
      <c r="D24" s="1003">
        <f t="shared" ref="D24:J24" si="0">D27+D29+D31+D33+D35+D39+D37</f>
        <v>2490867</v>
      </c>
      <c r="E24" s="1003">
        <f t="shared" si="0"/>
        <v>36004125</v>
      </c>
      <c r="F24" s="1003">
        <f t="shared" si="0"/>
        <v>23856272</v>
      </c>
      <c r="G24" s="1003">
        <f t="shared" si="0"/>
        <v>746785</v>
      </c>
      <c r="H24" s="1003">
        <f t="shared" si="0"/>
        <v>461825</v>
      </c>
      <c r="I24" s="1003">
        <f t="shared" si="0"/>
        <v>0</v>
      </c>
      <c r="J24" s="1003">
        <f t="shared" si="0"/>
        <v>0</v>
      </c>
      <c r="K24" s="1003">
        <f>C24+J24+D24+E24+F24+G24+H24+I24</f>
        <v>66931463</v>
      </c>
      <c r="L24" s="1004">
        <f>+E24+F24+G24+H24+I24</f>
        <v>61069007</v>
      </c>
      <c r="M24" s="1502">
        <f>D24/$D$46%</f>
        <v>1.8156810397534011</v>
      </c>
      <c r="N24" s="1502">
        <f>D24/$N$49%</f>
        <v>0.20818199650486807</v>
      </c>
      <c r="O24" s="1008"/>
      <c r="P24" s="811"/>
      <c r="Q24" s="811"/>
    </row>
    <row r="25" spans="1:18" s="812" customFormat="1" ht="24" customHeight="1" thickBot="1">
      <c r="A25" s="4443" t="s">
        <v>183</v>
      </c>
      <c r="B25" s="4444"/>
      <c r="C25" s="1006">
        <f>C28+C30+C32+C34+C36+C40+C38</f>
        <v>820158</v>
      </c>
      <c r="D25" s="1006">
        <f t="shared" ref="D25:J25" si="1">D28+D30+D32+D34+D36+D40+D38</f>
        <v>1910411</v>
      </c>
      <c r="E25" s="1006">
        <f t="shared" si="1"/>
        <v>10085715</v>
      </c>
      <c r="F25" s="1006">
        <f t="shared" si="1"/>
        <v>16686566</v>
      </c>
      <c r="G25" s="1006">
        <f t="shared" si="1"/>
        <v>11113873</v>
      </c>
      <c r="H25" s="1006">
        <f t="shared" si="1"/>
        <v>572488</v>
      </c>
      <c r="I25" s="1006">
        <f t="shared" si="1"/>
        <v>227177</v>
      </c>
      <c r="J25" s="1006">
        <f t="shared" si="1"/>
        <v>0</v>
      </c>
      <c r="K25" s="1006">
        <f>+C25+J25+D25+E25+F25+G25+H25+I25</f>
        <v>41416388</v>
      </c>
      <c r="L25" s="1007" t="s">
        <v>52</v>
      </c>
      <c r="M25" s="1495"/>
      <c r="N25" s="1495"/>
      <c r="O25" s="1008"/>
      <c r="P25" s="811"/>
      <c r="Q25" s="811"/>
      <c r="R25" s="1008"/>
    </row>
    <row r="26" spans="1:18" s="812" customFormat="1" ht="15">
      <c r="A26" s="4449" t="s">
        <v>139</v>
      </c>
      <c r="B26" s="4450"/>
      <c r="C26" s="1009"/>
      <c r="D26" s="1009"/>
      <c r="E26" s="1009"/>
      <c r="F26" s="1009"/>
      <c r="G26" s="1009"/>
      <c r="H26" s="1009"/>
      <c r="I26" s="1009"/>
      <c r="J26" s="2396"/>
      <c r="K26" s="1009"/>
      <c r="L26" s="1010"/>
      <c r="M26" s="1496"/>
      <c r="N26" s="1496"/>
      <c r="O26" s="1005"/>
      <c r="P26" s="811"/>
      <c r="Q26" s="811"/>
    </row>
    <row r="27" spans="1:18" s="812" customFormat="1" ht="17.25" customHeight="1">
      <c r="A27" s="4459" t="s">
        <v>322</v>
      </c>
      <c r="B27" s="4460"/>
      <c r="C27" s="1011">
        <f>'Tab. 6A -Drogi'!E363-'Tab. 6A -Drogi'!E435-'Tab. 6A -Drogi'!E450</f>
        <v>395660</v>
      </c>
      <c r="D27" s="1011">
        <f>'Tab. 6A -Drogi'!F363-'Tab. 6A -Drogi'!F435-'Tab. 6A -Drogi'!F450</f>
        <v>0</v>
      </c>
      <c r="E27" s="1011">
        <f>'Tab. 6A -Drogi'!G363-'Tab. 6A -Drogi'!G435-'Tab. 6A -Drogi'!G450</f>
        <v>21798802</v>
      </c>
      <c r="F27" s="1011">
        <f>'Tab. 6A -Drogi'!H363-'Tab. 6A -Drogi'!H435-'Tab. 6A -Drogi'!H450</f>
        <v>14965866</v>
      </c>
      <c r="G27" s="1011">
        <f>'Tab. 6A -Drogi'!I363-'Tab. 6A -Drogi'!I435</f>
        <v>0</v>
      </c>
      <c r="H27" s="1011">
        <f>'Tab. 6A -Drogi'!J363-'Tab. 6A -Drogi'!J435</f>
        <v>0</v>
      </c>
      <c r="I27" s="1011">
        <f>'Tab. 6A -Drogi'!K363-'Tab. 6A -Drogi'!K435</f>
        <v>0</v>
      </c>
      <c r="J27" s="2397">
        <f>'Tab. 6A -Drogi'!L363-'Tab. 6A -Drogi'!L435-'Tab. 6A -Drogi'!L450</f>
        <v>0</v>
      </c>
      <c r="K27" s="1011">
        <f>C27+J27+D27+E27+F27+G27+H27+I27</f>
        <v>37160328</v>
      </c>
      <c r="L27" s="1012">
        <f>+E27+F27+G27+H27+I27</f>
        <v>36764668</v>
      </c>
      <c r="M27" s="1497"/>
      <c r="N27" s="1497"/>
      <c r="O27" s="1005"/>
      <c r="P27" s="811"/>
      <c r="Q27" s="811"/>
    </row>
    <row r="28" spans="1:18" s="812" customFormat="1" ht="17.25" customHeight="1">
      <c r="A28" s="4461" t="s">
        <v>323</v>
      </c>
      <c r="B28" s="4462"/>
      <c r="C28" s="1013">
        <f>'Tab. 6A -Drogi'!E370-'Tab. 6A -Drogi'!E446-'Tab. 6A -Drogi'!E461</f>
        <v>57003</v>
      </c>
      <c r="D28" s="1013">
        <f>'Tab. 6A -Drogi'!F370-'Tab. 6A -Drogi'!F446-'Tab. 6A -Drogi'!F461</f>
        <v>0</v>
      </c>
      <c r="E28" s="1013">
        <f>'Tab. 6A -Drogi'!G370-'Tab. 6A -Drogi'!G446-'Tab. 6A -Drogi'!G461</f>
        <v>4730563</v>
      </c>
      <c r="F28" s="1013">
        <f>'Tab. 6A -Drogi'!H370-'Tab. 6A -Drogi'!H446-'Tab. 6A -Drogi'!H461</f>
        <v>6307416</v>
      </c>
      <c r="G28" s="1013">
        <f>'Tab. 6A -Drogi'!I370-'Tab. 6A -Drogi'!I446-'Tab. 6A -Drogi'!I461</f>
        <v>4730563</v>
      </c>
      <c r="H28" s="1013">
        <f>'Tab. 6A -Drogi'!J370-'Tab. 6A -Drogi'!J446-'Tab. 6A -Drogi'!J461</f>
        <v>0</v>
      </c>
      <c r="I28" s="1013">
        <f>'Tab. 6A -Drogi'!K370-'Tab. 6A -Drogi'!K446-'Tab. 6A -Drogi'!K461</f>
        <v>0</v>
      </c>
      <c r="J28" s="2398">
        <f>'Tab. 6A -Drogi'!L370-'Tab. 6A -Drogi'!L446-'Tab. 6A -Drogi'!L461</f>
        <v>0</v>
      </c>
      <c r="K28" s="1013">
        <f>+C28+J28+D28+E28+F28+G28+H28+I28</f>
        <v>15825545</v>
      </c>
      <c r="L28" s="1014" t="s">
        <v>52</v>
      </c>
      <c r="M28" s="1498"/>
      <c r="N28" s="1498"/>
      <c r="O28" s="1005"/>
      <c r="P28" s="811"/>
      <c r="Q28" s="811"/>
    </row>
    <row r="29" spans="1:18" s="812" customFormat="1" ht="42" customHeight="1">
      <c r="A29" s="4455" t="s">
        <v>613</v>
      </c>
      <c r="B29" s="4456"/>
      <c r="C29" s="1015">
        <f>'Tab. 6E - Administracja'!E27+'Tab.6I - Planow. przestrz.'!E45+'Tab.6I - Planow. przestrz.'!E63+'Tab. 6E - Administracja'!E42+'Tab. 6E - Administracja'!E63+'Tab. 6H - Kultura fiz. i turyst'!E192+'Tab. 6H - Kultura fiz. i turyst'!E205</f>
        <v>874493</v>
      </c>
      <c r="D29" s="1015">
        <f>'Tab. 6E - Administracja'!F27+'Tab.6I - Planow. przestrz.'!F45+'Tab.6I - Planow. przestrz.'!F63+'Tab. 6E - Administracja'!F42+'Tab. 6E - Administracja'!F63+'Tab. 6H - Kultura fiz. i turyst'!F192+'Tab. 6H - Kultura fiz. i turyst'!F205</f>
        <v>503481</v>
      </c>
      <c r="E29" s="1015">
        <f>'Tab. 6E - Administracja'!G27+'Tab.6I - Planow. przestrz.'!G45+'Tab.6I - Planow. przestrz.'!G63+'Tab. 6E - Administracja'!G42+'Tab. 6E - Administracja'!G63+'Tab. 6H - Kultura fiz. i turyst'!G192+'Tab. 6H - Kultura fiz. i turyst'!G205</f>
        <v>3072264</v>
      </c>
      <c r="F29" s="1015">
        <f>'Tab. 6E - Administracja'!H27+'Tab.6I - Planow. przestrz.'!H45+'Tab.6I - Planow. przestrz.'!H63+'Tab. 6E - Administracja'!H42+'Tab. 6E - Administracja'!H63+'Tab. 6H - Kultura fiz. i turyst'!H192+'Tab. 6H - Kultura fiz. i turyst'!H205</f>
        <v>3030457</v>
      </c>
      <c r="G29" s="1015">
        <f>'Tab. 6E - Administracja'!I27+'Tab.6I - Planow. przestrz.'!I45+'Tab.6I - Planow. przestrz.'!I63+'Tab. 6E - Administracja'!I42+'Tab. 6E - Administracja'!I63+'Tab. 6H - Kultura fiz. i turyst'!I192+'Tab. 6H - Kultura fiz. i turyst'!I205</f>
        <v>492980</v>
      </c>
      <c r="H29" s="1015">
        <f>'Tab. 6E - Administracja'!J27+'Tab.6I - Planow. przestrz.'!J45+'Tab.6I - Planow. przestrz.'!J63+'Tab. 6E - Administracja'!J42+'Tab. 6E - Administracja'!J63+'Tab. 6H - Kultura fiz. i turyst'!J192+'Tab. 6H - Kultura fiz. i turyst'!J205</f>
        <v>450114</v>
      </c>
      <c r="I29" s="1015">
        <f>'Tab. 6E - Administracja'!K27+'Tab.6I - Planow. przestrz.'!K45+'Tab.6I - Planow. przestrz.'!K63+'Tab. 6E - Administracja'!K42+'Tab. 6E - Administracja'!K63+'Tab. 6H - Kultura fiz. i turyst'!K192+'Tab. 6H - Kultura fiz. i turyst'!K205</f>
        <v>0</v>
      </c>
      <c r="J29" s="2399">
        <f>'Tab. 6E - Administracja'!L27+'Tab.6I - Planow. przestrz.'!L45+'Tab.6I - Planow. przestrz.'!L63+'Tab. 6E - Administracja'!L42+'Tab. 6E - Administracja'!L63</f>
        <v>0</v>
      </c>
      <c r="K29" s="1011">
        <f>C29+J29+D29+E29+F29+G29+H29+I29</f>
        <v>8423789</v>
      </c>
      <c r="L29" s="1012">
        <f>+E29+F29+G29+H29+I29</f>
        <v>7045815</v>
      </c>
      <c r="M29" s="1497"/>
      <c r="N29" s="1497"/>
      <c r="O29" s="1005"/>
      <c r="P29" s="811"/>
      <c r="Q29" s="811"/>
    </row>
    <row r="30" spans="1:18" s="812" customFormat="1" ht="41.25" customHeight="1">
      <c r="A30" s="4457" t="s">
        <v>614</v>
      </c>
      <c r="B30" s="4458"/>
      <c r="C30" s="1013">
        <f>'Tab. 6E - Administracja'!E38+'Tab.6I - Planow. przestrz.'!E57+'Tab.6I - Planow. przestrz.'!E68+'Tab. 6E - Administracja'!E57+'Tab. 6E - Administracja'!E69+'Tab. 6H - Kultura fiz. i turyst'!E201+'Tab. 6H - Kultura fiz. i turyst'!E214</f>
        <v>92447</v>
      </c>
      <c r="D30" s="1013">
        <f>'Tab. 6E - Administracja'!F38+'Tab.6I - Planow. przestrz.'!F57+'Tab.6I - Planow. przestrz.'!F68+'Tab. 6E - Administracja'!F57+'Tab. 6E - Administracja'!F69+'Tab. 6H - Kultura fiz. i turyst'!F201+'Tab. 6H - Kultura fiz. i turyst'!F214</f>
        <v>867355</v>
      </c>
      <c r="E30" s="1013">
        <f>'Tab. 6E - Administracja'!G38+'Tab.6I - Planow. przestrz.'!G57+'Tab.6I - Planow. przestrz.'!G68+'Tab. 6E - Administracja'!G57+'Tab. 6E - Administracja'!G69+'Tab. 6H - Kultura fiz. i turyst'!G201+'Tab. 6H - Kultura fiz. i turyst'!G214</f>
        <v>601327</v>
      </c>
      <c r="F30" s="1013">
        <f>'Tab. 6E - Administracja'!H38+'Tab.6I - Planow. przestrz.'!H57+'Tab.6I - Planow. przestrz.'!H68+'Tab. 6E - Administracja'!H57+'Tab. 6E - Administracja'!H69+'Tab. 6H - Kultura fiz. i turyst'!H201+'Tab. 6H - Kultura fiz. i turyst'!H214</f>
        <v>2685413</v>
      </c>
      <c r="G30" s="1013">
        <f>'Tab. 6E - Administracja'!I38+'Tab.6I - Planow. przestrz.'!I57+'Tab.6I - Planow. przestrz.'!I68+'Tab. 6E - Administracja'!I57+'Tab. 6E - Administracja'!I69+'Tab. 6H - Kultura fiz. i turyst'!I201+'Tab. 6H - Kultura fiz. i turyst'!I214</f>
        <v>2702613</v>
      </c>
      <c r="H30" s="1013">
        <f>'Tab. 6E - Administracja'!J38+'Tab.6I - Planow. przestrz.'!J57+'Tab.6I - Planow. przestrz.'!J68+'Tab. 6E - Administracja'!J57+'Tab. 6E - Administracja'!J69+'Tab. 6H - Kultura fiz. i turyst'!J201+'Tab. 6H - Kultura fiz. i turyst'!J214</f>
        <v>365092</v>
      </c>
      <c r="I30" s="1013">
        <f>'Tab. 6E - Administracja'!K38+'Tab.6I - Planow. przestrz.'!K57+'Tab.6I - Planow. przestrz.'!K68+'Tab. 6E - Administracja'!K57+'Tab. 6E - Administracja'!K69+'Tab. 6H - Kultura fiz. i turyst'!K201+'Tab. 6H - Kultura fiz. i turyst'!K214</f>
        <v>227177</v>
      </c>
      <c r="J30" s="2398">
        <f>'Tab. 6E - Administracja'!L38+'Tab.6I - Planow. przestrz.'!L57+'Tab.6I - Planow. przestrz.'!L68+'Tab. 6E - Administracja'!L57+'Tab. 6E - Administracja'!L69</f>
        <v>0</v>
      </c>
      <c r="K30" s="1013">
        <f>+C30+J30+D30+E30+F30+G30+H30+I30</f>
        <v>7541424</v>
      </c>
      <c r="L30" s="1014" t="s">
        <v>52</v>
      </c>
      <c r="M30" s="1498"/>
      <c r="N30" s="1498"/>
      <c r="O30" s="1005"/>
      <c r="P30" s="811"/>
      <c r="Q30" s="811"/>
    </row>
    <row r="31" spans="1:18" s="812" customFormat="1" ht="32.25" customHeight="1">
      <c r="A31" s="4455" t="s">
        <v>611</v>
      </c>
      <c r="B31" s="4456"/>
      <c r="C31" s="1015">
        <f>'Tab. 6A -Drogi'!E435+'Tab. 6A -Drogi'!E450+'Tab. 6B Polit społ i rozwój prz'!E300</f>
        <v>199084</v>
      </c>
      <c r="D31" s="1015">
        <f>'Tab. 6A -Drogi'!F435+'Tab. 6A -Drogi'!F450+'Tab. 6B Polit społ i rozwój prz'!F300</f>
        <v>264484</v>
      </c>
      <c r="E31" s="1015">
        <f>'Tab. 6A -Drogi'!G435+'Tab. 6A -Drogi'!G450+'Tab. 6B Polit społ i rozwój prz'!G300</f>
        <v>506073</v>
      </c>
      <c r="F31" s="1015">
        <f>'Tab. 6A -Drogi'!H435+'Tab. 6A -Drogi'!H450+'Tab. 6B Polit społ i rozwój prz'!H300</f>
        <v>229849</v>
      </c>
      <c r="G31" s="1015">
        <f>'Tab. 6A -Drogi'!I435+'Tab. 6A -Drogi'!I450+'Tab. 6B Polit społ i rozwój prz'!I300</f>
        <v>129127</v>
      </c>
      <c r="H31" s="1015">
        <f>'Tab. 6A -Drogi'!J435+'Tab. 6A -Drogi'!J450+'Tab. 6B Polit społ i rozwój prz'!J300</f>
        <v>11711</v>
      </c>
      <c r="I31" s="1015">
        <f>'Tab. 6A -Drogi'!K435+'Tab. 6A -Drogi'!K450+'Tab. 6B Polit społ i rozwój prz'!K300</f>
        <v>0</v>
      </c>
      <c r="J31" s="2399">
        <f>'Tab. 6A -Drogi'!L435+'Tab. 6A -Drogi'!L450</f>
        <v>0</v>
      </c>
      <c r="K31" s="1011">
        <f>C31+J31+D31+E31+F31+G31+H31+I31</f>
        <v>1340328</v>
      </c>
      <c r="L31" s="1012">
        <f>+E31+F31+G31+H31+I31</f>
        <v>876760</v>
      </c>
      <c r="M31" s="1497"/>
      <c r="N31" s="1497"/>
      <c r="O31" s="1008"/>
      <c r="P31" s="811"/>
      <c r="Q31" s="811"/>
      <c r="R31" s="823"/>
    </row>
    <row r="32" spans="1:18" s="812" customFormat="1" ht="28.5" customHeight="1">
      <c r="A32" s="4457" t="s">
        <v>612</v>
      </c>
      <c r="B32" s="4458"/>
      <c r="C32" s="1013">
        <f>'Tab. 6A -Drogi'!E446+'Tab. 6A -Drogi'!E461+'Tab. 6B Polit społ i rozwój prz'!E309</f>
        <v>45734</v>
      </c>
      <c r="D32" s="1013">
        <f>'Tab. 6A -Drogi'!F446+'Tab. 6A -Drogi'!F461+'Tab. 6B Polit społ i rozwój prz'!F309</f>
        <v>129265</v>
      </c>
      <c r="E32" s="1013">
        <f>'Tab. 6A -Drogi'!G446+'Tab. 6A -Drogi'!G461+'Tab. 6B Polit społ i rozwój prz'!G309</f>
        <v>421675</v>
      </c>
      <c r="F32" s="1013">
        <f>'Tab. 6A -Drogi'!H446+'Tab. 6A -Drogi'!H461+'Tab. 6B Polit społ i rozwój prz'!H309</f>
        <v>314511</v>
      </c>
      <c r="G32" s="1013">
        <f>'Tab. 6A -Drogi'!I446+'Tab. 6A -Drogi'!I461+'Tab. 6B Polit społ i rozwój prz'!I309</f>
        <v>122897</v>
      </c>
      <c r="H32" s="1013">
        <f>'Tab. 6A -Drogi'!J446+'Tab. 6A -Drogi'!J461+'Tab. 6B Polit społ i rozwój prz'!J309</f>
        <v>101419</v>
      </c>
      <c r="I32" s="1013">
        <f>'Tab. 6A -Drogi'!K446+'Tab. 6A -Drogi'!K461+'Tab. 6B Polit społ i rozwój prz'!K309</f>
        <v>0</v>
      </c>
      <c r="J32" s="2398">
        <f>'Tab. 6A -Drogi'!L446+'Tab. 6A -Drogi'!L461</f>
        <v>0</v>
      </c>
      <c r="K32" s="1013">
        <f>+C32+J32+D32+E32+F32+G32+H32+I32</f>
        <v>1135501</v>
      </c>
      <c r="L32" s="1014" t="s">
        <v>52</v>
      </c>
      <c r="M32" s="1498"/>
      <c r="N32" s="1498"/>
      <c r="O32" s="1008"/>
      <c r="P32" s="811"/>
      <c r="Q32" s="811"/>
    </row>
    <row r="33" spans="1:17" s="812" customFormat="1" ht="17.25" customHeight="1">
      <c r="A33" s="4463" t="s">
        <v>324</v>
      </c>
      <c r="B33" s="4464"/>
      <c r="C33" s="1015">
        <f>'Tab. 6B Polit społ i rozwój prz'!E25</f>
        <v>257169</v>
      </c>
      <c r="D33" s="1015">
        <f>'Tab. 6B Polit społ i rozwój prz'!F25</f>
        <v>145875</v>
      </c>
      <c r="E33" s="1015">
        <f>'Tab. 6B Polit społ i rozwój prz'!G25</f>
        <v>67896</v>
      </c>
      <c r="F33" s="1015">
        <f>'Tab. 6B Polit społ i rozwój prz'!H25</f>
        <v>16350</v>
      </c>
      <c r="G33" s="1015">
        <f>'Tab. 6B Polit społ i rozwój prz'!I25</f>
        <v>0</v>
      </c>
      <c r="H33" s="1015">
        <f>'Tab. 6B Polit społ i rozwój prz'!J25</f>
        <v>0</v>
      </c>
      <c r="I33" s="1015">
        <f>'Tab. 6B Polit społ i rozwój prz'!K25</f>
        <v>0</v>
      </c>
      <c r="J33" s="2399">
        <f>'Tab. 6B Polit społ i rozwój prz'!L25</f>
        <v>0</v>
      </c>
      <c r="K33" s="1011">
        <f>C33+J33+D33+E33+F33+G33+H33+I33</f>
        <v>487290</v>
      </c>
      <c r="L33" s="1012">
        <f>+E33+F33+G33+H33+I33</f>
        <v>84246</v>
      </c>
      <c r="M33" s="1497"/>
      <c r="N33" s="1497"/>
      <c r="O33" s="1008"/>
      <c r="P33" s="811"/>
      <c r="Q33" s="811"/>
    </row>
    <row r="34" spans="1:17" s="812" customFormat="1" ht="17.25" customHeight="1">
      <c r="A34" s="4465" t="s">
        <v>325</v>
      </c>
      <c r="B34" s="4466"/>
      <c r="C34" s="1013">
        <f>'Tab. 6B Polit społ i rozwój prz'!E38</f>
        <v>84212</v>
      </c>
      <c r="D34" s="1013">
        <f>'Tab. 6B Polit społ i rozwój prz'!F38</f>
        <v>176736</v>
      </c>
      <c r="E34" s="1013">
        <f>'Tab. 6B Polit społ i rozwój prz'!G38</f>
        <v>91307</v>
      </c>
      <c r="F34" s="1013">
        <f>'Tab. 6B Polit społ i rozwój prz'!H38</f>
        <v>58543</v>
      </c>
      <c r="G34" s="1013">
        <f>'Tab. 6B Polit społ i rozwój prz'!I38</f>
        <v>0</v>
      </c>
      <c r="H34" s="1013">
        <f>'Tab. 6B Polit społ i rozwój prz'!J38</f>
        <v>0</v>
      </c>
      <c r="I34" s="1013">
        <f>'Tab. 6B Polit społ i rozwój prz'!K38</f>
        <v>0</v>
      </c>
      <c r="J34" s="2398">
        <f>'Tab. 6B Polit społ i rozwój prz'!L38</f>
        <v>0</v>
      </c>
      <c r="K34" s="1013">
        <f>+C34+J34+D34+E34+F34+G34+H34+I34</f>
        <v>410798</v>
      </c>
      <c r="L34" s="1014" t="s">
        <v>52</v>
      </c>
      <c r="M34" s="1498"/>
      <c r="N34" s="1498"/>
      <c r="O34" s="1008"/>
      <c r="P34" s="811"/>
      <c r="Q34" s="811"/>
    </row>
    <row r="35" spans="1:17" s="1037" customFormat="1" ht="23.25" customHeight="1">
      <c r="A35" s="4455" t="s">
        <v>360</v>
      </c>
      <c r="B35" s="4456"/>
      <c r="C35" s="1015">
        <f>'Tab. 6H - Kultura fiz. i turyst'!E157+'Tab. 6H - Kultura fiz. i turyst'!E170+'Tab. 6H - Kultura fiz. i turyst'!E179+'Tab.6I - Planow. przestrz.'!E27+'Tab.6I - Planow. przestrz.'!E36+'Tab. 6H - Kultura fiz. i turyst'!E218+'Tab. 6H - Kultura fiz. i turyst'!E231+'Tab. 6H - Kultura fiz. i turyst'!E240</f>
        <v>1138889</v>
      </c>
      <c r="D35" s="1015">
        <f>'Tab. 6H - Kultura fiz. i turyst'!F157+'Tab. 6H - Kultura fiz. i turyst'!F170+'Tab. 6H - Kultura fiz. i turyst'!F179+'Tab.6I - Planow. przestrz.'!F27+'Tab.6I - Planow. przestrz.'!F36+'Tab. 6H - Kultura fiz. i turyst'!F218+'Tab. 6H - Kultura fiz. i turyst'!F231+'Tab. 6H - Kultura fiz. i turyst'!F240</f>
        <v>1491265</v>
      </c>
      <c r="E35" s="1015">
        <f>'Tab. 6H - Kultura fiz. i turyst'!G157+'Tab. 6H - Kultura fiz. i turyst'!G170+'Tab. 6H - Kultura fiz. i turyst'!G179+'Tab.6I - Planow. przestrz.'!G27+'Tab.6I - Planow. przestrz.'!G36+'Tab. 6H - Kultura fiz. i turyst'!G218+'Tab. 6H - Kultura fiz. i turyst'!G231+'Tab. 6H - Kultura fiz. i turyst'!G240</f>
        <v>2246527</v>
      </c>
      <c r="F35" s="1015">
        <f>'Tab. 6H - Kultura fiz. i turyst'!H157+'Tab. 6H - Kultura fiz. i turyst'!H170+'Tab. 6H - Kultura fiz. i turyst'!H179+'Tab.6I - Planow. przestrz.'!H27+'Tab.6I - Planow. przestrz.'!H36+'Tab. 6H - Kultura fiz. i turyst'!H218+'Tab. 6H - Kultura fiz. i turyst'!H231+'Tab. 6H - Kultura fiz. i turyst'!H240</f>
        <v>238881</v>
      </c>
      <c r="G35" s="1015">
        <f>'Tab. 6H - Kultura fiz. i turyst'!I157+'Tab. 6H - Kultura fiz. i turyst'!I170+'Tab. 6H - Kultura fiz. i turyst'!I179+'Tab.6I - Planow. przestrz.'!I27+'Tab.6I - Planow. przestrz.'!I36+'Tab. 6H - Kultura fiz. i turyst'!I218+'Tab. 6H - Kultura fiz. i turyst'!I231+'Tab. 6H - Kultura fiz. i turyst'!I240</f>
        <v>0</v>
      </c>
      <c r="H35" s="1015">
        <f>'Tab. 6H - Kultura fiz. i turyst'!J157+'Tab. 6H - Kultura fiz. i turyst'!J170+'Tab. 6H - Kultura fiz. i turyst'!J179+'Tab.6I - Planow. przestrz.'!J27+'Tab.6I - Planow. przestrz.'!J36+'Tab. 6H - Kultura fiz. i turyst'!J218+'Tab. 6H - Kultura fiz. i turyst'!J231+'Tab. 6H - Kultura fiz. i turyst'!J240</f>
        <v>0</v>
      </c>
      <c r="I35" s="1015">
        <f>'Tab. 6H - Kultura fiz. i turyst'!K157+'Tab. 6H - Kultura fiz. i turyst'!K170+'Tab. 6H - Kultura fiz. i turyst'!K179+'Tab.6I - Planow. przestrz.'!K27+'Tab.6I - Planow. przestrz.'!K36+'Tab. 6H - Kultura fiz. i turyst'!K218+'Tab. 6H - Kultura fiz. i turyst'!K231+'Tab. 6H - Kultura fiz. i turyst'!K240</f>
        <v>0</v>
      </c>
      <c r="J35" s="2399">
        <f>'Tab. 6H - Kultura fiz. i turyst'!L157+'Tab. 6H - Kultura fiz. i turyst'!L170+'Tab. 6H - Kultura fiz. i turyst'!L179+'Tab.6I - Planow. przestrz.'!L27+'Tab.6I - Planow. przestrz.'!L36+'Tab. 6H - Kultura fiz. i turyst'!L218+'Tab. 6H - Kultura fiz. i turyst'!L231+'Tab. 6H - Kultura fiz. i turyst'!L240</f>
        <v>0</v>
      </c>
      <c r="K35" s="1011">
        <f>C35+J35+D35+E35+F35+G35+H35+I35</f>
        <v>5115562</v>
      </c>
      <c r="L35" s="1012">
        <f>+E35+F35+G35+H35+I35</f>
        <v>2485408</v>
      </c>
      <c r="M35" s="1497"/>
      <c r="N35" s="1497"/>
      <c r="O35" s="1035"/>
      <c r="P35" s="1036"/>
      <c r="Q35" s="1036"/>
    </row>
    <row r="36" spans="1:17" s="1037" customFormat="1" ht="26.25" customHeight="1">
      <c r="A36" s="4457" t="s">
        <v>361</v>
      </c>
      <c r="B36" s="4458"/>
      <c r="C36" s="1013">
        <f>'Tab. 6H - Kultura fiz. i turyst'!E166+'Tab. 6H - Kultura fiz. i turyst'!E175+'Tab. 6H - Kultura fiz. i turyst'!E188+'Tab.6I - Planow. przestrz.'!E32+'Tab.6I - Planow. przestrz.'!E41+'Tab. 6H - Kultura fiz. i turyst'!E227+'Tab. 6H - Kultura fiz. i turyst'!E236+'Tab. 6H - Kultura fiz. i turyst'!E249</f>
        <v>390762</v>
      </c>
      <c r="D36" s="1013">
        <f>'Tab. 6H - Kultura fiz. i turyst'!F166+'Tab. 6H - Kultura fiz. i turyst'!F175+'Tab. 6H - Kultura fiz. i turyst'!F188+'Tab.6I - Planow. przestrz.'!F32+'Tab.6I - Planow. przestrz.'!F41+'Tab. 6H - Kultura fiz. i turyst'!F227+'Tab. 6H - Kultura fiz. i turyst'!F236+'Tab. 6H - Kultura fiz. i turyst'!F249</f>
        <v>737055</v>
      </c>
      <c r="E36" s="1013">
        <f>'Tab. 6H - Kultura fiz. i turyst'!G166+'Tab. 6H - Kultura fiz. i turyst'!G175+'Tab. 6H - Kultura fiz. i turyst'!G188+'Tab.6I - Planow. przestrz.'!G32+'Tab.6I - Planow. przestrz.'!G41+'Tab. 6H - Kultura fiz. i turyst'!G227+'Tab. 6H - Kultura fiz. i turyst'!G236+'Tab. 6H - Kultura fiz. i turyst'!G249</f>
        <v>2222432</v>
      </c>
      <c r="F36" s="1013">
        <f>'Tab. 6H - Kultura fiz. i turyst'!H166+'Tab. 6H - Kultura fiz. i turyst'!H175+'Tab. 6H - Kultura fiz. i turyst'!H188+'Tab.6I - Planow. przestrz.'!H32+'Tab.6I - Planow. przestrz.'!H41+'Tab. 6H - Kultura fiz. i turyst'!H227+'Tab. 6H - Kultura fiz. i turyst'!H236+'Tab. 6H - Kultura fiz. i turyst'!H249</f>
        <v>972314</v>
      </c>
      <c r="G36" s="1013">
        <f>'Tab. 6H - Kultura fiz. i turyst'!I166+'Tab. 6H - Kultura fiz. i turyst'!I175+'Tab. 6H - Kultura fiz. i turyst'!I188+'Tab.6I - Planow. przestrz.'!I32+'Tab.6I - Planow. przestrz.'!I41+'Tab. 6H - Kultura fiz. i turyst'!I227+'Tab. 6H - Kultura fiz. i turyst'!I236+'Tab. 6H - Kultura fiz. i turyst'!I249</f>
        <v>10000</v>
      </c>
      <c r="H36" s="1013">
        <f>'Tab. 6H - Kultura fiz. i turyst'!J166+'Tab. 6H - Kultura fiz. i turyst'!J175+'Tab. 6H - Kultura fiz. i turyst'!J188+'Tab.6I - Planow. przestrz.'!J32+'Tab.6I - Planow. przestrz.'!J41+'Tab. 6H - Kultura fiz. i turyst'!J227+'Tab. 6H - Kultura fiz. i turyst'!J236+'Tab. 6H - Kultura fiz. i turyst'!J249</f>
        <v>0</v>
      </c>
      <c r="I36" s="1013">
        <f>'Tab. 6H - Kultura fiz. i turyst'!K166+'Tab. 6H - Kultura fiz. i turyst'!K175+'Tab. 6H - Kultura fiz. i turyst'!K188+'Tab.6I - Planow. przestrz.'!K32+'Tab.6I - Planow. przestrz.'!K41+'Tab. 6H - Kultura fiz. i turyst'!K227+'Tab. 6H - Kultura fiz. i turyst'!K236+'Tab. 6H - Kultura fiz. i turyst'!K249</f>
        <v>0</v>
      </c>
      <c r="J36" s="2398">
        <f>'Tab. 6H - Kultura fiz. i turyst'!L166+'Tab. 6H - Kultura fiz. i turyst'!L175+'Tab. 6H - Kultura fiz. i turyst'!L188+'Tab.6I - Planow. przestrz.'!L32+'Tab.6I - Planow. przestrz.'!L41+'Tab. 6H - Kultura fiz. i turyst'!L227+'Tab. 6H - Kultura fiz. i turyst'!L236+'Tab. 6H - Kultura fiz. i turyst'!L249</f>
        <v>0</v>
      </c>
      <c r="K36" s="1121">
        <f>+C36+J36+D36+E36+F36+G36+H36+I36</f>
        <v>4332563</v>
      </c>
      <c r="L36" s="1016" t="s">
        <v>52</v>
      </c>
      <c r="M36" s="1499"/>
      <c r="N36" s="1499"/>
      <c r="O36" s="1035"/>
      <c r="P36" s="1036"/>
      <c r="Q36" s="1036"/>
    </row>
    <row r="37" spans="1:17" s="1037" customFormat="1" ht="26.25" customHeight="1">
      <c r="A37" s="4455" t="s">
        <v>615</v>
      </c>
      <c r="B37" s="4456"/>
      <c r="C37" s="1015">
        <f>'Tab. 6B Polit społ i rozwój prz'!E45</f>
        <v>0</v>
      </c>
      <c r="D37" s="1015">
        <f>'Tab. 6B Polit społ i rozwój prz'!F45</f>
        <v>0</v>
      </c>
      <c r="E37" s="1015">
        <f>'Tab. 6B Polit społ i rozwój prz'!G45</f>
        <v>192804</v>
      </c>
      <c r="F37" s="1015">
        <f>'Tab. 6B Polit społ i rozwój prz'!H45</f>
        <v>235308</v>
      </c>
      <c r="G37" s="1015">
        <f>'Tab. 6B Polit społ i rozwój prz'!I45</f>
        <v>124678</v>
      </c>
      <c r="H37" s="1015">
        <f>'Tab. 6B Polit społ i rozwój prz'!J45</f>
        <v>0</v>
      </c>
      <c r="I37" s="1015">
        <f>'Tab. 6B Polit społ i rozwój prz'!K45</f>
        <v>0</v>
      </c>
      <c r="J37" s="2399"/>
      <c r="K37" s="1011">
        <f>C37+J37+D37+E37+F37+G37+H37+I37</f>
        <v>552790</v>
      </c>
      <c r="L37" s="1012">
        <f>+E37+F37+G37+H37+I37</f>
        <v>552790</v>
      </c>
      <c r="M37" s="1499"/>
      <c r="N37" s="1499"/>
      <c r="O37" s="1035"/>
      <c r="P37" s="1036"/>
      <c r="Q37" s="1036"/>
    </row>
    <row r="38" spans="1:17" s="1037" customFormat="1" ht="26.25" customHeight="1">
      <c r="A38" s="4457" t="s">
        <v>616</v>
      </c>
      <c r="B38" s="4458"/>
      <c r="C38" s="1013">
        <f>'Tab. 6B Polit społ i rozwój prz'!E57</f>
        <v>0</v>
      </c>
      <c r="D38" s="1013">
        <f>'Tab. 6B Polit społ i rozwój prz'!F57</f>
        <v>0</v>
      </c>
      <c r="E38" s="1013">
        <f>'Tab. 6B Polit społ i rozwój prz'!G57</f>
        <v>0</v>
      </c>
      <c r="F38" s="1013">
        <f>'Tab. 6B Polit społ i rozwój prz'!H57</f>
        <v>163883</v>
      </c>
      <c r="G38" s="1013">
        <f>'Tab. 6B Polit społ i rozwój prz'!I57</f>
        <v>200012</v>
      </c>
      <c r="H38" s="1013">
        <f>'Tab. 6B Polit społ i rozwój prz'!J57</f>
        <v>105977</v>
      </c>
      <c r="I38" s="1013">
        <f>'Tab. 6B Polit społ i rozwój prz'!K57</f>
        <v>0</v>
      </c>
      <c r="J38" s="2398"/>
      <c r="K38" s="1013">
        <f>+C38+J38+D38+E38+F38+G38+H38+I38</f>
        <v>469872</v>
      </c>
      <c r="L38" s="1016" t="s">
        <v>52</v>
      </c>
      <c r="M38" s="1499"/>
      <c r="N38" s="1499"/>
      <c r="O38" s="1035"/>
      <c r="P38" s="1036"/>
      <c r="Q38" s="1036"/>
    </row>
    <row r="39" spans="1:17" s="1037" customFormat="1" ht="26.25" customHeight="1">
      <c r="A39" s="4451" t="s">
        <v>399</v>
      </c>
      <c r="B39" s="4452"/>
      <c r="C39" s="1423">
        <f>'Tab. 6H - Kultura fiz. i turyst'!E253+'Tab. 6H - Kultura fiz. i turyst'!E262+'Tab. 6H - Kultura fiz. i turyst'!E274+'Tab. 6H - Kultura fiz. i turyst'!E283</f>
        <v>506294</v>
      </c>
      <c r="D39" s="1423">
        <f>'Tab. 6H - Kultura fiz. i turyst'!F253+'Tab. 6H - Kultura fiz. i turyst'!F262+'Tab. 6H - Kultura fiz. i turyst'!F274+'Tab. 6H - Kultura fiz. i turyst'!F283</f>
        <v>85762</v>
      </c>
      <c r="E39" s="1423">
        <f>'Tab. 6H - Kultura fiz. i turyst'!G253+'Tab. 6H - Kultura fiz. i turyst'!G262+'Tab. 6H - Kultura fiz. i turyst'!G274+'Tab. 6H - Kultura fiz. i turyst'!G283</f>
        <v>8119759</v>
      </c>
      <c r="F39" s="1423">
        <f>'Tab. 6H - Kultura fiz. i turyst'!H253+'Tab. 6H - Kultura fiz. i turyst'!H262+'Tab. 6H - Kultura fiz. i turyst'!H274+'Tab. 6H - Kultura fiz. i turyst'!H283</f>
        <v>5139561</v>
      </c>
      <c r="G39" s="1423">
        <f>'Tab. 6H - Kultura fiz. i turyst'!I253+'Tab. 6H - Kultura fiz. i turyst'!I262+'Tab. 6H - Kultura fiz. i turyst'!I274+'Tab. 6H - Kultura fiz. i turyst'!I283</f>
        <v>0</v>
      </c>
      <c r="H39" s="1423">
        <f>'Tab. 6H - Kultura fiz. i turyst'!J253+'Tab. 6H - Kultura fiz. i turyst'!J262+'Tab. 6H - Kultura fiz. i turyst'!J274+'Tab. 6H - Kultura fiz. i turyst'!J283</f>
        <v>0</v>
      </c>
      <c r="I39" s="1423">
        <f>'Tab. 6H - Kultura fiz. i turyst'!K253+'Tab. 6H - Kultura fiz. i turyst'!K262+'Tab. 6H - Kultura fiz. i turyst'!K274+'Tab. 6H - Kultura fiz. i turyst'!K283</f>
        <v>0</v>
      </c>
      <c r="J39" s="2399">
        <f>'Tab. 6H - Kultura fiz. i turyst'!L253+'Tab. 6H - Kultura fiz. i turyst'!L262+'Tab. 6H - Kultura fiz. i turyst'!L274+'Tab. 6H - Kultura fiz. i turyst'!L283</f>
        <v>0</v>
      </c>
      <c r="K39" s="1424">
        <f>C39+J39+D39+E39+F39+G39+H39+I39</f>
        <v>13851376</v>
      </c>
      <c r="L39" s="1425">
        <f>+D39+E39+F39+G39+H39+I39</f>
        <v>13345082</v>
      </c>
      <c r="M39" s="1500"/>
      <c r="N39" s="1500"/>
      <c r="O39" s="1035"/>
      <c r="P39" s="1036"/>
      <c r="Q39" s="1036"/>
    </row>
    <row r="40" spans="1:17" s="1037" customFormat="1" ht="26.25" customHeight="1" thickBot="1">
      <c r="A40" s="4453" t="s">
        <v>400</v>
      </c>
      <c r="B40" s="4454"/>
      <c r="C40" s="1426">
        <f>'Tab. 6H - Kultura fiz. i turyst'!E258+'Tab. 6H - Kultura fiz. i turyst'!E268+'Tab. 6H - Kultura fiz. i turyst'!E279+'Tab. 6H - Kultura fiz. i turyst'!E289</f>
        <v>150000</v>
      </c>
      <c r="D40" s="1426">
        <f>'Tab. 6H - Kultura fiz. i turyst'!F258+'Tab. 6H - Kultura fiz. i turyst'!F268+'Tab. 6H - Kultura fiz. i turyst'!F279+'Tab. 6H - Kultura fiz. i turyst'!F289</f>
        <v>0</v>
      </c>
      <c r="E40" s="1426">
        <f>'Tab. 6H - Kultura fiz. i turyst'!G258+'Tab. 6H - Kultura fiz. i turyst'!G268+'Tab. 6H - Kultura fiz. i turyst'!G279+'Tab. 6H - Kultura fiz. i turyst'!G289</f>
        <v>2018411</v>
      </c>
      <c r="F40" s="1426">
        <f>'Tab. 6H - Kultura fiz. i turyst'!H258+'Tab. 6H - Kultura fiz. i turyst'!H268+'Tab. 6H - Kultura fiz. i turyst'!H279+'Tab. 6H - Kultura fiz. i turyst'!H289</f>
        <v>6184486</v>
      </c>
      <c r="G40" s="1426">
        <f>'Tab. 6H - Kultura fiz. i turyst'!I258+'Tab. 6H - Kultura fiz. i turyst'!I268+'Tab. 6H - Kultura fiz. i turyst'!I279+'Tab. 6H - Kultura fiz. i turyst'!I289</f>
        <v>3347788</v>
      </c>
      <c r="H40" s="1426">
        <f>'Tab. 6H - Kultura fiz. i turyst'!J258+'Tab. 6H - Kultura fiz. i turyst'!J268+'Tab. 6H - Kultura fiz. i turyst'!J279+'Tab. 6H - Kultura fiz. i turyst'!J289</f>
        <v>0</v>
      </c>
      <c r="I40" s="1426">
        <f>'Tab. 6H - Kultura fiz. i turyst'!K258+'Tab. 6H - Kultura fiz. i turyst'!K268+'Tab. 6H - Kultura fiz. i turyst'!K279+'Tab. 6H - Kultura fiz. i turyst'!K289</f>
        <v>0</v>
      </c>
      <c r="J40" s="2398">
        <f>'Tab. 6H - Kultura fiz. i turyst'!L258+'Tab. 6H - Kultura fiz. i turyst'!L268+'Tab. 6H - Kultura fiz. i turyst'!L279+'Tab. 6H - Kultura fiz. i turyst'!L289</f>
        <v>0</v>
      </c>
      <c r="K40" s="1427">
        <f>+C40+J40+D40+E40+F40+G40+H40+I40</f>
        <v>11700685</v>
      </c>
      <c r="L40" s="1428" t="s">
        <v>52</v>
      </c>
      <c r="M40" s="1501"/>
      <c r="N40" s="1501"/>
      <c r="O40" s="1035"/>
      <c r="P40" s="1036"/>
      <c r="Q40" s="1036"/>
    </row>
    <row r="41" spans="1:17" s="775" customFormat="1" ht="48" customHeight="1" thickBot="1">
      <c r="A41" s="4447" t="s">
        <v>354</v>
      </c>
      <c r="B41" s="4448"/>
      <c r="C41" s="1017">
        <f>+'Tab. 6D - Oświata'!E26+'Tab. 6D - Oświata'!E37+'Tab. 6D - Oświata'!E48</f>
        <v>738413</v>
      </c>
      <c r="D41" s="1017">
        <f>+'Tab. 6D - Oświata'!F26+'Tab. 6D - Oświata'!F37+'Tab. 6D - Oświata'!F48</f>
        <v>193438</v>
      </c>
      <c r="E41" s="1017">
        <f>+'Tab. 6D - Oświata'!G26+'Tab. 6D - Oświata'!G37+'Tab. 6D - Oświata'!G48</f>
        <v>199084</v>
      </c>
      <c r="F41" s="1017">
        <f>+'Tab. 6D - Oświata'!H26+'Tab. 6D - Oświata'!H37+'Tab. 6D - Oświata'!H48</f>
        <v>199080</v>
      </c>
      <c r="G41" s="1017">
        <f>+'Tab. 6D - Oświata'!I26+'Tab. 6D - Oświata'!I37+'Tab. 6D - Oświata'!I48</f>
        <v>0</v>
      </c>
      <c r="H41" s="1017">
        <f>+'Tab. 6D - Oświata'!J26+'Tab. 6D - Oświata'!J37+'Tab. 6D - Oświata'!J48</f>
        <v>0</v>
      </c>
      <c r="I41" s="1017">
        <f>+'Tab. 6D - Oświata'!K26+'Tab. 6D - Oświata'!K37+'Tab. 6D - Oświata'!K48</f>
        <v>0</v>
      </c>
      <c r="J41" s="2400">
        <f>+'Tab. 6D - Oświata'!L26+'Tab. 6D - Oświata'!L37+'Tab. 6D - Oświata'!L48</f>
        <v>0</v>
      </c>
      <c r="K41" s="1003">
        <f>C41+J41+D41+E41+F41+G41+H41+I41</f>
        <v>1330015</v>
      </c>
      <c r="L41" s="1004">
        <f>+E41+F41+G41+H41+I41</f>
        <v>398164</v>
      </c>
      <c r="M41" s="1502">
        <f>D41/$D$46%</f>
        <v>0.14100379866440818</v>
      </c>
      <c r="N41" s="1502">
        <f>D41/$N$49%</f>
        <v>1.6167185578318179E-2</v>
      </c>
      <c r="O41" s="1005">
        <f>K41-'[6]projekty UE'!$K$40</f>
        <v>-5642</v>
      </c>
      <c r="P41" s="793"/>
      <c r="Q41" s="793"/>
    </row>
    <row r="42" spans="1:17" s="775" customFormat="1" ht="48" customHeight="1" thickBot="1">
      <c r="A42" s="4443" t="s">
        <v>355</v>
      </c>
      <c r="B42" s="4444"/>
      <c r="C42" s="1006">
        <f>+'Tab. 6D - Oświata'!E31+'Tab. 6D - Oświata'!E42+'Tab. 6D - Oświata'!E51</f>
        <v>370466</v>
      </c>
      <c r="D42" s="1006">
        <f>+'Tab. 6D - Oświata'!F31+'Tab. 6D - Oświata'!F42+'Tab. 6D - Oświata'!F51</f>
        <v>90639</v>
      </c>
      <c r="E42" s="1006">
        <f>+'Tab. 6D - Oświata'!G31+'Tab. 6D - Oświata'!G42+'Tab. 6D - Oświata'!G51</f>
        <v>99540</v>
      </c>
      <c r="F42" s="1006">
        <f>+'Tab. 6D - Oświata'!H31+'Tab. 6D - Oświata'!H42+'Tab. 6D - Oświata'!H51</f>
        <v>99540</v>
      </c>
      <c r="G42" s="1006">
        <f>+'Tab. 6D - Oświata'!I31+'Tab. 6D - Oświata'!I42+'Tab. 6D - Oświata'!I51</f>
        <v>35120</v>
      </c>
      <c r="H42" s="1006">
        <f>+'Tab. 6D - Oświata'!J31+'Tab. 6D - Oświata'!J42+'Tab. 6D - Oświata'!J51</f>
        <v>0</v>
      </c>
      <c r="I42" s="1006">
        <f>+'Tab. 6D - Oświata'!K31+'Tab. 6D - Oświata'!K42+'Tab. 6D - Oświata'!K51</f>
        <v>0</v>
      </c>
      <c r="J42" s="2395">
        <f>+'Tab. 6D - Oświata'!L31+'Tab. 6D - Oświata'!L42+'Tab. 6D - Oświata'!L51</f>
        <v>0</v>
      </c>
      <c r="K42" s="1006">
        <f>+C42+J42+D42+E42+F42+G42+H42+I42</f>
        <v>695305</v>
      </c>
      <c r="L42" s="1007" t="s">
        <v>52</v>
      </c>
      <c r="M42" s="1495"/>
      <c r="N42" s="1495"/>
      <c r="O42" s="1005"/>
      <c r="P42" s="793"/>
      <c r="Q42" s="793"/>
    </row>
    <row r="43" spans="1:17" s="775" customFormat="1" ht="35.25" customHeight="1" thickBot="1">
      <c r="A43" s="4447" t="s">
        <v>205</v>
      </c>
      <c r="B43" s="4448"/>
      <c r="C43" s="1017">
        <f>'Tab. 6D - Oświata'!E55+'Tab. 6A -Drogi'!E508+'Tab. 6D - Oświata'!E69+'Tab. 6D - Oświata'!E64</f>
        <v>21094</v>
      </c>
      <c r="D43" s="1017">
        <f>'Tab. 6D - Oświata'!F55+'Tab. 6A -Drogi'!F508+'Tab. 6D - Oświata'!F69+'Tab. 6D - Oświata'!F64</f>
        <v>12574</v>
      </c>
      <c r="E43" s="1017">
        <f>'Tab. 6D - Oświata'!G55+'Tab. 6A -Drogi'!G508+'Tab. 6D - Oświata'!G69+'Tab. 6D - Oświata'!G64</f>
        <v>26103</v>
      </c>
      <c r="F43" s="1017">
        <f>'Tab. 6D - Oświata'!H55+'Tab. 6A -Drogi'!H508+'Tab. 6D - Oświata'!H69+'Tab. 6D - Oświata'!H64</f>
        <v>0</v>
      </c>
      <c r="G43" s="1017">
        <f>'Tab. 6D - Oświata'!I55+'Tab. 6A -Drogi'!I508+'Tab. 6D - Oświata'!I69+'Tab. 6D - Oświata'!I64</f>
        <v>0</v>
      </c>
      <c r="H43" s="1017">
        <f>'Tab. 6D - Oświata'!J55+'Tab. 6A -Drogi'!J508+'Tab. 6D - Oświata'!J69+'Tab. 6D - Oświata'!J64</f>
        <v>0</v>
      </c>
      <c r="I43" s="1017">
        <f>'Tab. 6D - Oświata'!K55+'Tab. 6A -Drogi'!K508+'Tab. 6D - Oświata'!K69+'Tab. 6D - Oświata'!K64</f>
        <v>0</v>
      </c>
      <c r="J43" s="2400">
        <f>'Tab. 6D - Oświata'!L55+'Tab. 6A -Drogi'!L508+'Tab. 6D - Oświata'!L69+'Tab. 6D - Oświata'!L64</f>
        <v>0</v>
      </c>
      <c r="K43" s="1003">
        <f>C43+J43+D43+E43+F43+G43+H43+I43</f>
        <v>59771</v>
      </c>
      <c r="L43" s="1004">
        <f>+E43+F43+G43+H43+I43</f>
        <v>26103</v>
      </c>
      <c r="M43" s="1502">
        <f>D43/$D$46%</f>
        <v>9.165633248928693E-3</v>
      </c>
      <c r="N43" s="1502">
        <f>D43/$N$49%</f>
        <v>1.0509113589975744E-3</v>
      </c>
      <c r="O43" s="1005"/>
      <c r="P43" s="793"/>
      <c r="Q43" s="793"/>
    </row>
    <row r="44" spans="1:17" s="775" customFormat="1" ht="35.25" customHeight="1" thickBot="1">
      <c r="A44" s="4443" t="s">
        <v>206</v>
      </c>
      <c r="B44" s="4444"/>
      <c r="C44" s="1006">
        <f>'Tab. 6D - Oświata'!E58+'Tab. 6A -Drogi'!E513+'Tab. 6D - Oświata'!E72+'Tab. 6D - Oświata'!E65</f>
        <v>28851</v>
      </c>
      <c r="D44" s="1006">
        <f>'Tab. 6D - Oświata'!F58+'Tab. 6A -Drogi'!F513+'Tab. 6D - Oświata'!F72+'Tab. 6D - Oświata'!F65</f>
        <v>9038</v>
      </c>
      <c r="E44" s="1006">
        <f>'Tab. 6D - Oświata'!G58+'Tab. 6A -Drogi'!G513+'Tab. 6D - Oświata'!G72+'Tab. 6D - Oświata'!G65</f>
        <v>21882</v>
      </c>
      <c r="F44" s="1006">
        <f>'Tab. 6D - Oświata'!H58+'Tab. 6A -Drogi'!H513+'Tab. 6D - Oświata'!H72+'Tab. 6D - Oświata'!H65</f>
        <v>0</v>
      </c>
      <c r="G44" s="1006">
        <f>'Tab. 6D - Oświata'!I58+'Tab. 6A -Drogi'!I513+'Tab. 6D - Oświata'!I72+'Tab. 6D - Oświata'!I65</f>
        <v>0</v>
      </c>
      <c r="H44" s="1006">
        <f>'Tab. 6D - Oświata'!J58+'Tab. 6A -Drogi'!J513+'Tab. 6D - Oświata'!J72+'Tab. 6D - Oświata'!J65</f>
        <v>0</v>
      </c>
      <c r="I44" s="1006">
        <f>'Tab. 6D - Oświata'!K58+'Tab. 6A -Drogi'!K513+'Tab. 6D - Oświata'!K72+'Tab. 6D - Oświata'!K65</f>
        <v>0</v>
      </c>
      <c r="J44" s="2395">
        <f>'Tab. 6D - Oświata'!L58+'Tab. 6A -Drogi'!L513+'Tab. 6D - Oświata'!L72+'Tab. 6D - Oświata'!L65</f>
        <v>0</v>
      </c>
      <c r="K44" s="1006">
        <f>+C44+J44+D44+E44+F44+G44+H44+I44</f>
        <v>59771</v>
      </c>
      <c r="L44" s="1007" t="s">
        <v>52</v>
      </c>
      <c r="M44" s="1495"/>
      <c r="N44" s="1495"/>
      <c r="O44" s="1005"/>
      <c r="P44" s="793"/>
      <c r="Q44" s="793"/>
    </row>
    <row r="45" spans="1:17" ht="13.5" thickBot="1">
      <c r="B45" s="746"/>
      <c r="J45" s="2382"/>
      <c r="K45" s="746"/>
      <c r="L45" s="746"/>
      <c r="M45" s="746"/>
      <c r="N45" s="746"/>
    </row>
    <row r="46" spans="1:17" s="775" customFormat="1" ht="21.75" customHeight="1" thickBot="1">
      <c r="A46" s="4441" t="s">
        <v>184</v>
      </c>
      <c r="B46" s="4442"/>
      <c r="C46" s="1003">
        <f t="shared" ref="C46:I46" si="2">C6+C8+C10+C12+C14+C16+C18+C20+C24+C41+C22+C43</f>
        <v>159420630</v>
      </c>
      <c r="D46" s="1003">
        <f t="shared" si="2"/>
        <v>137186375</v>
      </c>
      <c r="E46" s="1003">
        <f t="shared" si="2"/>
        <v>396974442</v>
      </c>
      <c r="F46" s="1003">
        <f t="shared" si="2"/>
        <v>364710355</v>
      </c>
      <c r="G46" s="1003">
        <f t="shared" si="2"/>
        <v>142915485</v>
      </c>
      <c r="H46" s="1003">
        <f t="shared" si="2"/>
        <v>57643472</v>
      </c>
      <c r="I46" s="1003">
        <f t="shared" si="2"/>
        <v>33631245</v>
      </c>
      <c r="J46" s="2394">
        <f>J6+J8+J10+J12+J14+J16+J18+J20+J24+J41+J22+J43</f>
        <v>0</v>
      </c>
      <c r="K46" s="1003">
        <f>K6+K8+K10+K12+K14+K16+K18+K20+K24+K41+K22+K43</f>
        <v>1292482004</v>
      </c>
      <c r="L46" s="1004">
        <f>+E46+F46+G46+H46+I46</f>
        <v>995874999</v>
      </c>
      <c r="M46" s="1502">
        <f>D46/$D$46%</f>
        <v>100</v>
      </c>
      <c r="N46" s="1502"/>
      <c r="O46" s="794"/>
      <c r="P46" s="793"/>
      <c r="Q46" s="793"/>
    </row>
    <row r="47" spans="1:17" s="775" customFormat="1" ht="21.75" customHeight="1" thickBot="1">
      <c r="A47" s="4443" t="s">
        <v>185</v>
      </c>
      <c r="B47" s="4444"/>
      <c r="C47" s="1006">
        <f t="shared" ref="C47:H47" si="3">C7+C9+C11+C13+C15+C17+C19+C21+C25+C42+C23+C44</f>
        <v>118950118</v>
      </c>
      <c r="D47" s="1006">
        <f>D7+D9+D11+D13+D15+D17+D19+D21+D25+D42+D23+D44</f>
        <v>130926212</v>
      </c>
      <c r="E47" s="1006">
        <f t="shared" si="3"/>
        <v>313311898</v>
      </c>
      <c r="F47" s="1006">
        <f t="shared" si="3"/>
        <v>279501204</v>
      </c>
      <c r="G47" s="1006">
        <f t="shared" si="3"/>
        <v>134790974</v>
      </c>
      <c r="H47" s="1006">
        <f t="shared" si="3"/>
        <v>43588777</v>
      </c>
      <c r="I47" s="1006">
        <f>I7+I9+I11+I13+I15+I17+I19+I21+I25+I42+I23+I44</f>
        <v>33865078</v>
      </c>
      <c r="J47" s="2395">
        <f>J7+J9+J11+J13+J15+J17+J19+J21+J25+J42+J23+J44</f>
        <v>0</v>
      </c>
      <c r="K47" s="1006">
        <f>K7+K9+K11+K13+K15+K17+K19+K21+K25+K42+K23+K44</f>
        <v>1057097135</v>
      </c>
      <c r="L47" s="1007" t="s">
        <v>52</v>
      </c>
      <c r="M47" s="1495"/>
      <c r="N47" s="1495"/>
      <c r="O47" s="794"/>
      <c r="P47" s="793"/>
      <c r="Q47" s="793"/>
    </row>
    <row r="48" spans="1:17">
      <c r="B48" s="746"/>
      <c r="J48" s="2382"/>
      <c r="K48" s="746"/>
      <c r="L48" s="746"/>
      <c r="M48" s="746"/>
      <c r="N48" s="746"/>
    </row>
    <row r="49" spans="1:17">
      <c r="A49" s="746" t="s">
        <v>186</v>
      </c>
      <c r="C49" s="1020">
        <f>+'Tabela nr 6'!B37</f>
        <v>159420630.30000001</v>
      </c>
      <c r="D49" s="753">
        <f>+'Tabela nr 6'!C37</f>
        <v>137186375</v>
      </c>
      <c r="E49" s="753">
        <f>+'Tabela nr 6'!D37</f>
        <v>396974442</v>
      </c>
      <c r="F49" s="753">
        <f>+'Tabela nr 6'!E37</f>
        <v>364710355</v>
      </c>
      <c r="G49" s="753">
        <f>+'Tabela nr 6'!F37</f>
        <v>142915485</v>
      </c>
      <c r="H49" s="753">
        <f>+'Tabela nr 6'!G37</f>
        <v>57643472</v>
      </c>
      <c r="I49" s="753">
        <f>+'Tabela nr 6'!H37</f>
        <v>33631245</v>
      </c>
      <c r="J49" s="2383">
        <f>+'Tabela nr 6'!I37</f>
        <v>0</v>
      </c>
      <c r="K49" s="753">
        <f>+'Tabela nr 6'!J37</f>
        <v>1292482004.3</v>
      </c>
      <c r="L49" s="753">
        <f>'Tabela nr 6'!K37</f>
        <v>995874999</v>
      </c>
      <c r="M49" s="1503">
        <f>D46/N49%</f>
        <v>11.465780164402805</v>
      </c>
      <c r="N49" s="753">
        <v>1196485307</v>
      </c>
    </row>
    <row r="50" spans="1:17">
      <c r="A50" s="746" t="s">
        <v>187</v>
      </c>
      <c r="C50" s="1020">
        <f>+'Tabela nr 6'!B38</f>
        <v>118950118</v>
      </c>
      <c r="D50" s="753">
        <f>+'Tabela nr 6'!C38</f>
        <v>130926212</v>
      </c>
      <c r="E50" s="753">
        <f>+'Tabela nr 6'!D38</f>
        <v>313311898</v>
      </c>
      <c r="F50" s="753">
        <f>+'Tabela nr 6'!E38</f>
        <v>279501204</v>
      </c>
      <c r="G50" s="753">
        <f>+'Tabela nr 6'!F38</f>
        <v>134790974</v>
      </c>
      <c r="H50" s="753">
        <f>+'Tabela nr 6'!G38</f>
        <v>43588777</v>
      </c>
      <c r="I50" s="753">
        <f>+'Tabela nr 6'!H38</f>
        <v>33865078</v>
      </c>
      <c r="J50" s="2383">
        <f>+'Tabela nr 6'!I38</f>
        <v>0</v>
      </c>
      <c r="K50" s="753">
        <f>+'Tabela nr 6'!J38</f>
        <v>1057097135</v>
      </c>
      <c r="L50" s="1021"/>
      <c r="M50" s="753"/>
      <c r="N50" s="753"/>
    </row>
    <row r="51" spans="1:17">
      <c r="B51" s="1111" t="s">
        <v>188</v>
      </c>
      <c r="J51" s="2382"/>
      <c r="K51" s="746"/>
      <c r="L51" s="746"/>
      <c r="M51" s="746"/>
      <c r="N51" s="746"/>
    </row>
    <row r="52" spans="1:17">
      <c r="B52" s="1109" t="s">
        <v>377</v>
      </c>
      <c r="C52" s="1020">
        <f>+C46-C49</f>
        <v>-0.30000001192092896</v>
      </c>
      <c r="D52" s="753">
        <f t="shared" ref="D52:I52" si="4">+D46-D49</f>
        <v>0</v>
      </c>
      <c r="E52" s="753">
        <f>+E46-E49</f>
        <v>0</v>
      </c>
      <c r="F52" s="753">
        <f t="shared" si="4"/>
        <v>0</v>
      </c>
      <c r="G52" s="753">
        <f t="shared" si="4"/>
        <v>0</v>
      </c>
      <c r="H52" s="753">
        <f t="shared" si="4"/>
        <v>0</v>
      </c>
      <c r="I52" s="753">
        <f t="shared" si="4"/>
        <v>0</v>
      </c>
      <c r="J52" s="2383">
        <f>+J46-J49</f>
        <v>0</v>
      </c>
      <c r="K52" s="753">
        <f>+K46-K49</f>
        <v>-0.29999995231628418</v>
      </c>
      <c r="L52" s="753">
        <f>+L46-L49</f>
        <v>0</v>
      </c>
      <c r="M52" s="753"/>
      <c r="N52" s="753"/>
    </row>
    <row r="53" spans="1:17">
      <c r="B53" s="1110" t="s">
        <v>378</v>
      </c>
      <c r="C53" s="1020">
        <f>+C47-C50</f>
        <v>0</v>
      </c>
      <c r="D53" s="753">
        <f>+D47-D50</f>
        <v>0</v>
      </c>
      <c r="E53" s="753">
        <f t="shared" ref="E53:I53" si="5">+E47-E50</f>
        <v>0</v>
      </c>
      <c r="F53" s="753">
        <f t="shared" si="5"/>
        <v>0</v>
      </c>
      <c r="G53" s="753">
        <f t="shared" si="5"/>
        <v>0</v>
      </c>
      <c r="H53" s="753">
        <f t="shared" si="5"/>
        <v>0</v>
      </c>
      <c r="I53" s="753">
        <f t="shared" si="5"/>
        <v>0</v>
      </c>
      <c r="J53" s="2383">
        <f>+J47-J50</f>
        <v>0</v>
      </c>
      <c r="K53" s="753">
        <f>+K47-K50</f>
        <v>0</v>
      </c>
      <c r="L53" s="753">
        <v>0</v>
      </c>
      <c r="M53" s="753"/>
      <c r="N53" s="753"/>
    </row>
    <row r="54" spans="1:17">
      <c r="B54" s="746"/>
      <c r="C54" s="1020"/>
      <c r="K54" s="746"/>
      <c r="L54" s="746"/>
      <c r="M54" s="746"/>
      <c r="N54" s="746"/>
      <c r="O54" s="745"/>
      <c r="P54" s="745"/>
      <c r="Q54" s="745"/>
    </row>
    <row r="55" spans="1:17">
      <c r="B55" s="746"/>
      <c r="C55" s="1020"/>
      <c r="K55" s="746"/>
      <c r="L55" s="746"/>
      <c r="M55" s="746"/>
      <c r="N55" s="746"/>
      <c r="O55" s="745"/>
      <c r="P55" s="745"/>
      <c r="Q55" s="745"/>
    </row>
    <row r="56" spans="1:17">
      <c r="A56" s="1022"/>
      <c r="B56" s="746"/>
      <c r="C56" s="1020"/>
      <c r="E56" s="753"/>
      <c r="K56" s="746"/>
      <c r="L56" s="746"/>
      <c r="M56" s="746"/>
      <c r="N56" s="746"/>
      <c r="O56" s="745"/>
      <c r="P56" s="745"/>
      <c r="Q56" s="745"/>
    </row>
    <row r="57" spans="1:17" ht="23.25" customHeight="1">
      <c r="B57" s="1023"/>
      <c r="C57" s="1020"/>
      <c r="D57" s="753"/>
      <c r="K57" s="746"/>
      <c r="L57" s="746"/>
      <c r="M57" s="746"/>
      <c r="N57" s="746"/>
      <c r="O57" s="745"/>
      <c r="P57" s="745"/>
      <c r="Q57" s="745"/>
    </row>
    <row r="58" spans="1:17">
      <c r="B58" s="746"/>
      <c r="C58" s="1020"/>
      <c r="K58" s="746"/>
      <c r="L58" s="746"/>
      <c r="M58" s="746"/>
      <c r="N58" s="746"/>
      <c r="O58" s="745"/>
      <c r="P58" s="745"/>
      <c r="Q58" s="745"/>
    </row>
    <row r="59" spans="1:17">
      <c r="A59" s="1024"/>
      <c r="B59" s="746"/>
      <c r="C59" s="1020"/>
      <c r="K59" s="746"/>
      <c r="L59" s="746"/>
      <c r="M59" s="746"/>
      <c r="N59" s="746"/>
      <c r="O59" s="745"/>
      <c r="P59" s="745"/>
      <c r="Q59" s="745"/>
    </row>
    <row r="60" spans="1:17">
      <c r="B60" s="746"/>
      <c r="C60" s="1020"/>
      <c r="K60" s="746"/>
      <c r="L60" s="746"/>
      <c r="M60" s="746"/>
      <c r="N60" s="746"/>
      <c r="O60" s="745"/>
      <c r="P60" s="745"/>
      <c r="Q60" s="745"/>
    </row>
    <row r="61" spans="1:17">
      <c r="B61" s="746"/>
      <c r="K61" s="746"/>
      <c r="L61" s="746"/>
      <c r="M61" s="746"/>
      <c r="N61" s="746"/>
      <c r="O61" s="745"/>
      <c r="P61" s="745"/>
      <c r="Q61" s="745"/>
    </row>
    <row r="62" spans="1:17">
      <c r="B62" s="746"/>
      <c r="K62" s="746"/>
      <c r="L62" s="746"/>
      <c r="M62" s="746"/>
      <c r="N62" s="746"/>
      <c r="O62" s="745"/>
      <c r="P62" s="745"/>
      <c r="Q62" s="745"/>
    </row>
    <row r="63" spans="1:17">
      <c r="B63" s="746"/>
      <c r="K63" s="746"/>
      <c r="L63" s="746"/>
      <c r="M63" s="746"/>
      <c r="N63" s="746"/>
      <c r="O63" s="745"/>
      <c r="P63" s="745"/>
      <c r="Q63" s="745"/>
    </row>
    <row r="64" spans="1:17">
      <c r="A64" s="1024"/>
      <c r="B64" s="746"/>
      <c r="K64" s="746"/>
      <c r="L64" s="746"/>
      <c r="M64" s="746"/>
      <c r="N64" s="746"/>
      <c r="O64" s="745"/>
      <c r="P64" s="745"/>
      <c r="Q64" s="745"/>
    </row>
    <row r="65" spans="1:17">
      <c r="B65" s="1023"/>
      <c r="K65" s="746"/>
      <c r="L65" s="746"/>
      <c r="M65" s="746"/>
      <c r="N65" s="746"/>
      <c r="O65" s="745"/>
      <c r="P65" s="745"/>
      <c r="Q65" s="745"/>
    </row>
    <row r="66" spans="1:17">
      <c r="B66" s="746"/>
      <c r="K66" s="746"/>
      <c r="L66" s="746"/>
      <c r="M66" s="746"/>
      <c r="N66" s="746"/>
      <c r="O66" s="745"/>
      <c r="P66" s="745"/>
      <c r="Q66" s="745"/>
    </row>
    <row r="67" spans="1:17">
      <c r="B67" s="746"/>
      <c r="K67" s="746"/>
      <c r="L67" s="746"/>
      <c r="M67" s="746"/>
      <c r="N67" s="746"/>
      <c r="O67" s="745"/>
      <c r="P67" s="745"/>
      <c r="Q67" s="745"/>
    </row>
    <row r="68" spans="1:17">
      <c r="A68" s="745"/>
      <c r="B68" s="746"/>
      <c r="K68" s="746"/>
      <c r="L68" s="746"/>
      <c r="M68" s="746"/>
      <c r="N68" s="746"/>
      <c r="O68" s="745"/>
      <c r="P68" s="745"/>
      <c r="Q68" s="745"/>
    </row>
    <row r="69" spans="1:17">
      <c r="A69" s="745"/>
      <c r="B69" s="746"/>
      <c r="K69" s="746"/>
      <c r="L69" s="746"/>
      <c r="M69" s="746"/>
      <c r="N69" s="746"/>
      <c r="O69" s="745"/>
      <c r="P69" s="745"/>
      <c r="Q69" s="745"/>
    </row>
    <row r="70" spans="1:17">
      <c r="A70" s="745"/>
      <c r="B70" s="746"/>
      <c r="K70" s="746"/>
      <c r="L70" s="746"/>
      <c r="M70" s="746"/>
      <c r="N70" s="746"/>
      <c r="O70" s="745"/>
      <c r="P70" s="745"/>
      <c r="Q70" s="745"/>
    </row>
    <row r="71" spans="1:17">
      <c r="A71" s="745"/>
      <c r="B71" s="746"/>
      <c r="K71" s="746"/>
      <c r="L71" s="746"/>
      <c r="M71" s="746"/>
      <c r="N71" s="746"/>
      <c r="O71" s="745"/>
      <c r="P71" s="745"/>
      <c r="Q71" s="745"/>
    </row>
    <row r="72" spans="1:17">
      <c r="A72" s="745"/>
      <c r="B72" s="746"/>
      <c r="K72" s="746"/>
      <c r="L72" s="746"/>
      <c r="M72" s="746"/>
      <c r="N72" s="746"/>
      <c r="O72" s="745"/>
      <c r="P72" s="745"/>
      <c r="Q72" s="745"/>
    </row>
    <row r="73" spans="1:17">
      <c r="A73" s="745"/>
      <c r="B73" s="746"/>
      <c r="K73" s="746"/>
      <c r="L73" s="746"/>
      <c r="M73" s="746"/>
      <c r="N73" s="746"/>
      <c r="O73" s="745"/>
      <c r="P73" s="745"/>
      <c r="Q73" s="745"/>
    </row>
    <row r="74" spans="1:17">
      <c r="A74" s="745"/>
      <c r="B74" s="746"/>
      <c r="K74" s="746"/>
      <c r="L74" s="746"/>
      <c r="M74" s="746"/>
      <c r="N74" s="746"/>
      <c r="O74" s="745"/>
      <c r="P74" s="745"/>
      <c r="Q74" s="745"/>
    </row>
    <row r="75" spans="1:17">
      <c r="A75" s="745"/>
      <c r="B75" s="746"/>
      <c r="K75" s="746"/>
      <c r="L75" s="746"/>
      <c r="M75" s="746"/>
      <c r="N75" s="746"/>
      <c r="O75" s="745"/>
      <c r="P75" s="745"/>
      <c r="Q75" s="745"/>
    </row>
    <row r="76" spans="1:17">
      <c r="A76" s="745"/>
      <c r="B76" s="746"/>
      <c r="K76" s="746"/>
      <c r="L76" s="746"/>
      <c r="M76" s="746"/>
      <c r="N76" s="746"/>
      <c r="O76" s="745"/>
      <c r="P76" s="745"/>
      <c r="Q76" s="745"/>
    </row>
    <row r="77" spans="1:17">
      <c r="A77" s="745"/>
      <c r="B77" s="746"/>
      <c r="K77" s="746"/>
      <c r="L77" s="746"/>
      <c r="M77" s="746"/>
      <c r="N77" s="746"/>
      <c r="O77" s="745"/>
      <c r="P77" s="745"/>
      <c r="Q77" s="745"/>
    </row>
    <row r="78" spans="1:17" ht="13.5" customHeight="1">
      <c r="A78" s="745"/>
      <c r="B78" s="746"/>
      <c r="K78" s="746"/>
      <c r="L78" s="746"/>
      <c r="M78" s="746"/>
      <c r="N78" s="746"/>
      <c r="O78" s="745"/>
      <c r="P78" s="745"/>
      <c r="Q78" s="745"/>
    </row>
    <row r="79" spans="1:17">
      <c r="A79" s="745"/>
      <c r="B79" s="746"/>
      <c r="K79" s="746"/>
      <c r="L79" s="746"/>
      <c r="M79" s="746"/>
      <c r="N79" s="746"/>
      <c r="O79" s="745"/>
      <c r="P79" s="745"/>
      <c r="Q79" s="745"/>
    </row>
    <row r="80" spans="1:17">
      <c r="A80" s="745"/>
      <c r="B80" s="746"/>
      <c r="K80" s="746"/>
      <c r="L80" s="746"/>
      <c r="M80" s="746"/>
      <c r="N80" s="746"/>
      <c r="O80" s="745"/>
      <c r="P80" s="745"/>
      <c r="Q80" s="745"/>
    </row>
    <row r="81" spans="1:17">
      <c r="A81" s="745"/>
      <c r="B81" s="746"/>
      <c r="K81" s="746"/>
      <c r="L81" s="746"/>
      <c r="M81" s="746"/>
      <c r="N81" s="746"/>
      <c r="O81" s="745"/>
      <c r="P81" s="745"/>
      <c r="Q81" s="745"/>
    </row>
    <row r="82" spans="1:17">
      <c r="A82" s="745"/>
      <c r="B82" s="746"/>
      <c r="K82" s="746"/>
      <c r="L82" s="746"/>
      <c r="M82" s="746"/>
      <c r="N82" s="746"/>
      <c r="O82" s="745"/>
      <c r="P82" s="745"/>
      <c r="Q82" s="745"/>
    </row>
    <row r="83" spans="1:17">
      <c r="A83" s="745"/>
      <c r="B83" s="746"/>
      <c r="K83" s="746"/>
      <c r="L83" s="746"/>
      <c r="M83" s="746"/>
      <c r="N83" s="746"/>
      <c r="O83" s="745"/>
      <c r="P83" s="745"/>
      <c r="Q83" s="745"/>
    </row>
    <row r="84" spans="1:17">
      <c r="A84" s="745"/>
      <c r="B84" s="746"/>
      <c r="K84" s="746"/>
      <c r="L84" s="746"/>
      <c r="M84" s="746"/>
      <c r="N84" s="746"/>
      <c r="O84" s="745"/>
      <c r="P84" s="745"/>
      <c r="Q84" s="745"/>
    </row>
    <row r="85" spans="1:17">
      <c r="A85" s="745"/>
      <c r="B85" s="746"/>
      <c r="K85" s="746"/>
      <c r="L85" s="746"/>
      <c r="M85" s="746"/>
      <c r="N85" s="746"/>
      <c r="O85" s="745"/>
      <c r="P85" s="745"/>
      <c r="Q85" s="745"/>
    </row>
    <row r="86" spans="1:17">
      <c r="A86" s="745"/>
      <c r="B86" s="746"/>
      <c r="K86" s="746"/>
      <c r="L86" s="746"/>
      <c r="M86" s="746"/>
      <c r="N86" s="746"/>
      <c r="O86" s="745"/>
      <c r="P86" s="745"/>
      <c r="Q86" s="745"/>
    </row>
    <row r="87" spans="1:17">
      <c r="A87" s="745"/>
      <c r="B87" s="746"/>
      <c r="K87" s="746"/>
      <c r="L87" s="746"/>
      <c r="M87" s="746"/>
      <c r="N87" s="746"/>
      <c r="O87" s="745"/>
      <c r="P87" s="745"/>
      <c r="Q87" s="745"/>
    </row>
    <row r="88" spans="1:17">
      <c r="A88" s="745"/>
      <c r="B88" s="746"/>
      <c r="K88" s="746"/>
      <c r="L88" s="746"/>
      <c r="M88" s="746"/>
      <c r="N88" s="746"/>
      <c r="O88" s="745"/>
      <c r="P88" s="745"/>
      <c r="Q88" s="745"/>
    </row>
    <row r="89" spans="1:17">
      <c r="A89" s="745"/>
      <c r="B89" s="746"/>
      <c r="K89" s="746"/>
      <c r="L89" s="746"/>
      <c r="M89" s="746"/>
      <c r="N89" s="746"/>
      <c r="O89" s="745"/>
      <c r="P89" s="745"/>
      <c r="Q89" s="745"/>
    </row>
    <row r="90" spans="1:17">
      <c r="A90" s="745"/>
      <c r="B90" s="746"/>
      <c r="K90" s="746"/>
      <c r="L90" s="746"/>
      <c r="M90" s="746"/>
      <c r="N90" s="746"/>
      <c r="O90" s="745"/>
      <c r="P90" s="745"/>
      <c r="Q90" s="745"/>
    </row>
    <row r="91" spans="1:17">
      <c r="A91" s="745"/>
      <c r="B91" s="746"/>
      <c r="K91" s="746"/>
      <c r="L91" s="746"/>
      <c r="M91" s="746"/>
      <c r="N91" s="746"/>
      <c r="O91" s="745"/>
      <c r="P91" s="745"/>
      <c r="Q91" s="745"/>
    </row>
    <row r="92" spans="1:17">
      <c r="A92" s="745"/>
      <c r="B92" s="746"/>
      <c r="K92" s="746"/>
      <c r="L92" s="746"/>
      <c r="M92" s="746"/>
      <c r="N92" s="746"/>
      <c r="O92" s="745"/>
      <c r="P92" s="745"/>
      <c r="Q92" s="745"/>
    </row>
    <row r="93" spans="1:17">
      <c r="A93" s="745"/>
      <c r="B93" s="746"/>
      <c r="K93" s="746"/>
      <c r="L93" s="746"/>
      <c r="M93" s="746"/>
      <c r="N93" s="746"/>
      <c r="O93" s="745"/>
      <c r="P93" s="745"/>
      <c r="Q93" s="745"/>
    </row>
    <row r="94" spans="1:17">
      <c r="A94" s="745"/>
      <c r="B94" s="746"/>
      <c r="K94" s="746"/>
      <c r="L94" s="746"/>
      <c r="M94" s="746"/>
      <c r="N94" s="746"/>
      <c r="O94" s="745"/>
      <c r="P94" s="745"/>
      <c r="Q94" s="745"/>
    </row>
    <row r="95" spans="1:17">
      <c r="A95" s="745"/>
      <c r="B95" s="746"/>
      <c r="K95" s="746"/>
      <c r="L95" s="746"/>
      <c r="M95" s="746"/>
      <c r="N95" s="746"/>
      <c r="O95" s="745"/>
      <c r="P95" s="745"/>
      <c r="Q95" s="745"/>
    </row>
    <row r="96" spans="1:17">
      <c r="A96" s="745"/>
      <c r="B96" s="746"/>
      <c r="K96" s="746"/>
      <c r="L96" s="746"/>
      <c r="M96" s="746"/>
      <c r="N96" s="746"/>
      <c r="O96" s="745"/>
      <c r="P96" s="745"/>
      <c r="Q96" s="745"/>
    </row>
    <row r="97" spans="1:17">
      <c r="A97" s="745"/>
      <c r="B97" s="746"/>
      <c r="K97" s="746"/>
      <c r="L97" s="746"/>
      <c r="M97" s="746"/>
      <c r="N97" s="746"/>
      <c r="O97" s="745"/>
      <c r="P97" s="745"/>
      <c r="Q97" s="745"/>
    </row>
    <row r="98" spans="1:17">
      <c r="A98" s="745"/>
      <c r="B98" s="746"/>
      <c r="K98" s="746"/>
      <c r="L98" s="746"/>
      <c r="M98" s="746"/>
      <c r="N98" s="746"/>
      <c r="O98" s="745"/>
      <c r="P98" s="745"/>
      <c r="Q98" s="745"/>
    </row>
    <row r="99" spans="1:17">
      <c r="A99" s="745"/>
      <c r="B99" s="746"/>
      <c r="K99" s="746"/>
      <c r="L99" s="746"/>
      <c r="M99" s="746"/>
      <c r="N99" s="746"/>
      <c r="O99" s="745"/>
      <c r="P99" s="745"/>
      <c r="Q99" s="745"/>
    </row>
    <row r="100" spans="1:17">
      <c r="A100" s="745"/>
      <c r="B100" s="746"/>
      <c r="K100" s="746"/>
      <c r="L100" s="746"/>
      <c r="M100" s="746"/>
      <c r="N100" s="746"/>
      <c r="O100" s="745"/>
      <c r="P100" s="745"/>
      <c r="Q100" s="745"/>
    </row>
    <row r="101" spans="1:17">
      <c r="A101" s="745"/>
      <c r="B101" s="746"/>
      <c r="K101" s="746"/>
      <c r="L101" s="746"/>
      <c r="M101" s="746"/>
      <c r="N101" s="746"/>
      <c r="O101" s="745"/>
      <c r="P101" s="745"/>
      <c r="Q101" s="745"/>
    </row>
    <row r="102" spans="1:17">
      <c r="A102" s="745"/>
      <c r="B102" s="746"/>
      <c r="K102" s="746"/>
      <c r="L102" s="746"/>
      <c r="M102" s="746"/>
      <c r="N102" s="746"/>
      <c r="O102" s="745"/>
      <c r="P102" s="745"/>
      <c r="Q102" s="745"/>
    </row>
    <row r="103" spans="1:17">
      <c r="A103" s="745"/>
      <c r="B103" s="746"/>
      <c r="K103" s="746"/>
      <c r="L103" s="746"/>
      <c r="M103" s="746"/>
      <c r="N103" s="746"/>
      <c r="O103" s="745"/>
      <c r="P103" s="745"/>
      <c r="Q103" s="745"/>
    </row>
    <row r="104" spans="1:17">
      <c r="A104" s="745"/>
      <c r="B104" s="746"/>
      <c r="K104" s="746"/>
      <c r="L104" s="746"/>
      <c r="M104" s="746"/>
      <c r="N104" s="746"/>
      <c r="O104" s="745"/>
      <c r="P104" s="745"/>
      <c r="Q104" s="745"/>
    </row>
    <row r="105" spans="1:17">
      <c r="A105" s="745"/>
      <c r="B105" s="746"/>
      <c r="K105" s="746"/>
      <c r="L105" s="746"/>
      <c r="M105" s="746"/>
      <c r="N105" s="746"/>
      <c r="O105" s="745"/>
      <c r="P105" s="745"/>
      <c r="Q105" s="745"/>
    </row>
    <row r="106" spans="1:17">
      <c r="A106" s="745"/>
      <c r="B106" s="746"/>
      <c r="K106" s="746"/>
      <c r="L106" s="746"/>
      <c r="M106" s="746"/>
      <c r="N106" s="746"/>
      <c r="O106" s="745"/>
      <c r="P106" s="745"/>
      <c r="Q106" s="745"/>
    </row>
    <row r="107" spans="1:17">
      <c r="A107" s="745"/>
      <c r="B107" s="746"/>
      <c r="K107" s="746"/>
      <c r="L107" s="746"/>
      <c r="M107" s="746"/>
      <c r="N107" s="746"/>
      <c r="O107" s="745"/>
      <c r="P107" s="745"/>
      <c r="Q107" s="745"/>
    </row>
    <row r="108" spans="1:17">
      <c r="A108" s="745"/>
      <c r="B108" s="746"/>
      <c r="K108" s="746"/>
      <c r="L108" s="746"/>
      <c r="M108" s="746"/>
      <c r="N108" s="746"/>
      <c r="O108" s="745"/>
      <c r="P108" s="745"/>
      <c r="Q108" s="745"/>
    </row>
    <row r="109" spans="1:17">
      <c r="A109" s="745"/>
      <c r="B109" s="746"/>
      <c r="K109" s="746"/>
      <c r="L109" s="746"/>
      <c r="M109" s="746"/>
      <c r="N109" s="746"/>
      <c r="O109" s="745"/>
      <c r="P109" s="745"/>
      <c r="Q109" s="745"/>
    </row>
    <row r="110" spans="1:17">
      <c r="A110" s="745"/>
      <c r="B110" s="746"/>
      <c r="K110" s="746"/>
      <c r="L110" s="746"/>
      <c r="M110" s="746"/>
      <c r="N110" s="746"/>
      <c r="O110" s="745"/>
      <c r="P110" s="745"/>
      <c r="Q110" s="745"/>
    </row>
    <row r="111" spans="1:17">
      <c r="A111" s="745"/>
      <c r="B111" s="746"/>
      <c r="K111" s="746"/>
      <c r="L111" s="746"/>
      <c r="M111" s="746"/>
      <c r="N111" s="746"/>
      <c r="O111" s="745"/>
      <c r="P111" s="745"/>
      <c r="Q111" s="745"/>
    </row>
    <row r="112" spans="1:17">
      <c r="A112" s="745"/>
      <c r="B112" s="746"/>
      <c r="K112" s="746"/>
      <c r="L112" s="746"/>
      <c r="M112" s="746"/>
      <c r="N112" s="746"/>
      <c r="O112" s="745"/>
      <c r="P112" s="745"/>
      <c r="Q112" s="745"/>
    </row>
    <row r="113" spans="1:17">
      <c r="A113" s="745"/>
      <c r="B113" s="746"/>
      <c r="K113" s="746"/>
      <c r="L113" s="746"/>
      <c r="M113" s="746"/>
      <c r="N113" s="746"/>
      <c r="O113" s="745"/>
      <c r="P113" s="745"/>
      <c r="Q113" s="745"/>
    </row>
    <row r="114" spans="1:17">
      <c r="A114" s="745"/>
      <c r="B114" s="746"/>
      <c r="K114" s="746"/>
      <c r="L114" s="746"/>
      <c r="M114" s="746"/>
      <c r="N114" s="746"/>
      <c r="O114" s="745"/>
      <c r="P114" s="745"/>
      <c r="Q114" s="745"/>
    </row>
    <row r="115" spans="1:17">
      <c r="A115" s="745"/>
      <c r="B115" s="746"/>
      <c r="K115" s="746"/>
      <c r="L115" s="746"/>
      <c r="M115" s="746"/>
      <c r="N115" s="746"/>
      <c r="O115" s="745"/>
      <c r="P115" s="745"/>
      <c r="Q115" s="745"/>
    </row>
    <row r="116" spans="1:17">
      <c r="A116" s="745"/>
      <c r="B116" s="746"/>
      <c r="K116" s="746"/>
      <c r="L116" s="746"/>
      <c r="M116" s="746"/>
      <c r="N116" s="746"/>
      <c r="O116" s="745"/>
      <c r="P116" s="745"/>
      <c r="Q116" s="745"/>
    </row>
    <row r="117" spans="1:17">
      <c r="A117" s="745"/>
      <c r="B117" s="746"/>
      <c r="K117" s="746"/>
      <c r="L117" s="746"/>
      <c r="M117" s="746"/>
      <c r="N117" s="746"/>
      <c r="O117" s="745"/>
      <c r="P117" s="745"/>
      <c r="Q117" s="745"/>
    </row>
    <row r="118" spans="1:17">
      <c r="A118" s="745"/>
      <c r="B118" s="746"/>
      <c r="K118" s="746"/>
      <c r="L118" s="746"/>
      <c r="M118" s="746"/>
      <c r="N118" s="746"/>
      <c r="O118" s="745"/>
      <c r="P118" s="745"/>
      <c r="Q118" s="745"/>
    </row>
    <row r="119" spans="1:17">
      <c r="A119" s="745"/>
      <c r="B119" s="746"/>
      <c r="K119" s="746"/>
      <c r="L119" s="746"/>
      <c r="M119" s="746"/>
      <c r="N119" s="746"/>
      <c r="O119" s="745"/>
      <c r="P119" s="745"/>
      <c r="Q119" s="745"/>
    </row>
    <row r="120" spans="1:17">
      <c r="A120" s="745"/>
      <c r="B120" s="746"/>
      <c r="K120" s="746"/>
      <c r="L120" s="746"/>
      <c r="M120" s="746"/>
      <c r="N120" s="746"/>
      <c r="O120" s="745"/>
      <c r="P120" s="745"/>
      <c r="Q120" s="745"/>
    </row>
    <row r="121" spans="1:17">
      <c r="A121" s="745"/>
      <c r="B121" s="746"/>
      <c r="K121" s="746"/>
      <c r="L121" s="746"/>
      <c r="M121" s="746"/>
      <c r="N121" s="746"/>
      <c r="O121" s="745"/>
      <c r="P121" s="745"/>
      <c r="Q121" s="745"/>
    </row>
    <row r="122" spans="1:17">
      <c r="A122" s="745"/>
      <c r="B122" s="746"/>
      <c r="K122" s="746"/>
      <c r="L122" s="746"/>
      <c r="M122" s="746"/>
      <c r="N122" s="746"/>
      <c r="O122" s="745"/>
      <c r="P122" s="745"/>
      <c r="Q122" s="745"/>
    </row>
    <row r="123" spans="1:17">
      <c r="A123" s="745"/>
      <c r="B123" s="746"/>
      <c r="K123" s="746"/>
      <c r="L123" s="746"/>
      <c r="M123" s="746"/>
      <c r="N123" s="746"/>
      <c r="O123" s="745"/>
      <c r="P123" s="745"/>
      <c r="Q123" s="745"/>
    </row>
    <row r="124" spans="1:17">
      <c r="A124" s="745"/>
      <c r="B124" s="746"/>
      <c r="K124" s="746"/>
      <c r="L124" s="746"/>
      <c r="M124" s="746"/>
      <c r="N124" s="746"/>
      <c r="O124" s="745"/>
      <c r="P124" s="745"/>
      <c r="Q124" s="745"/>
    </row>
    <row r="125" spans="1:17">
      <c r="A125" s="745"/>
      <c r="B125" s="746"/>
      <c r="K125" s="746"/>
      <c r="L125" s="746"/>
      <c r="M125" s="746"/>
      <c r="N125" s="746"/>
      <c r="O125" s="745"/>
      <c r="P125" s="745"/>
      <c r="Q125" s="745"/>
    </row>
    <row r="126" spans="1:17">
      <c r="A126" s="745"/>
      <c r="B126" s="746"/>
      <c r="K126" s="746"/>
      <c r="L126" s="746"/>
      <c r="M126" s="746"/>
      <c r="N126" s="746"/>
      <c r="O126" s="745"/>
      <c r="P126" s="745"/>
      <c r="Q126" s="745"/>
    </row>
    <row r="127" spans="1:17">
      <c r="A127" s="745"/>
      <c r="B127" s="746"/>
      <c r="K127" s="746"/>
      <c r="L127" s="746"/>
      <c r="M127" s="746"/>
      <c r="N127" s="746"/>
      <c r="O127" s="745"/>
      <c r="P127" s="745"/>
      <c r="Q127" s="745"/>
    </row>
    <row r="128" spans="1:17">
      <c r="A128" s="745"/>
      <c r="B128" s="746"/>
      <c r="K128" s="746"/>
      <c r="L128" s="746"/>
      <c r="M128" s="746"/>
      <c r="N128" s="746"/>
      <c r="O128" s="745"/>
      <c r="P128" s="745"/>
      <c r="Q128" s="745"/>
    </row>
    <row r="129" spans="1:17">
      <c r="A129" s="745"/>
      <c r="B129" s="746"/>
      <c r="K129" s="746"/>
      <c r="L129" s="746"/>
      <c r="M129" s="746"/>
      <c r="N129" s="746"/>
      <c r="O129" s="745"/>
      <c r="P129" s="745"/>
      <c r="Q129" s="745"/>
    </row>
    <row r="130" spans="1:17">
      <c r="A130" s="745"/>
      <c r="B130" s="746"/>
      <c r="K130" s="746"/>
      <c r="L130" s="746"/>
      <c r="M130" s="746"/>
      <c r="N130" s="746"/>
      <c r="O130" s="745"/>
      <c r="P130" s="745"/>
      <c r="Q130" s="745"/>
    </row>
    <row r="131" spans="1:17">
      <c r="A131" s="745"/>
      <c r="B131" s="746"/>
      <c r="K131" s="746"/>
      <c r="L131" s="746"/>
      <c r="M131" s="746"/>
      <c r="N131" s="746"/>
      <c r="O131" s="745"/>
      <c r="P131" s="745"/>
      <c r="Q131" s="745"/>
    </row>
    <row r="132" spans="1:17">
      <c r="A132" s="745"/>
      <c r="B132" s="746"/>
      <c r="K132" s="746"/>
      <c r="L132" s="746"/>
      <c r="M132" s="746"/>
      <c r="N132" s="746"/>
      <c r="O132" s="745"/>
      <c r="P132" s="745"/>
      <c r="Q132" s="745"/>
    </row>
    <row r="133" spans="1:17">
      <c r="A133" s="745"/>
      <c r="B133" s="746"/>
      <c r="K133" s="746"/>
      <c r="L133" s="746"/>
      <c r="M133" s="746"/>
      <c r="N133" s="746"/>
      <c r="O133" s="745"/>
      <c r="P133" s="745"/>
      <c r="Q133" s="745"/>
    </row>
    <row r="134" spans="1:17">
      <c r="A134" s="745"/>
      <c r="B134" s="746"/>
      <c r="K134" s="746"/>
      <c r="L134" s="746"/>
      <c r="M134" s="746"/>
      <c r="N134" s="746"/>
      <c r="O134" s="745"/>
      <c r="P134" s="745"/>
      <c r="Q134" s="745"/>
    </row>
    <row r="135" spans="1:17">
      <c r="A135" s="745"/>
      <c r="B135" s="746"/>
      <c r="K135" s="746"/>
      <c r="L135" s="746"/>
      <c r="M135" s="746"/>
      <c r="N135" s="746"/>
      <c r="O135" s="745"/>
      <c r="P135" s="745"/>
      <c r="Q135" s="745"/>
    </row>
    <row r="136" spans="1:17">
      <c r="A136" s="745"/>
      <c r="B136" s="746"/>
      <c r="K136" s="746"/>
      <c r="L136" s="746"/>
      <c r="M136" s="746"/>
      <c r="N136" s="746"/>
      <c r="O136" s="745"/>
      <c r="P136" s="745"/>
      <c r="Q136" s="745"/>
    </row>
    <row r="137" spans="1:17">
      <c r="A137" s="745"/>
      <c r="B137" s="746"/>
      <c r="K137" s="746"/>
      <c r="L137" s="746"/>
      <c r="M137" s="746"/>
      <c r="N137" s="746"/>
      <c r="O137" s="745"/>
      <c r="P137" s="745"/>
      <c r="Q137" s="745"/>
    </row>
    <row r="138" spans="1:17">
      <c r="A138" s="745"/>
      <c r="B138" s="746"/>
      <c r="K138" s="746"/>
      <c r="L138" s="746"/>
      <c r="M138" s="746"/>
      <c r="N138" s="746"/>
      <c r="O138" s="745"/>
      <c r="P138" s="745"/>
      <c r="Q138" s="745"/>
    </row>
    <row r="139" spans="1:17">
      <c r="A139" s="745"/>
      <c r="B139" s="746"/>
      <c r="K139" s="746"/>
      <c r="L139" s="746"/>
      <c r="M139" s="746"/>
      <c r="N139" s="746"/>
      <c r="O139" s="745"/>
      <c r="P139" s="745"/>
      <c r="Q139" s="745"/>
    </row>
    <row r="140" spans="1:17">
      <c r="A140" s="745"/>
      <c r="B140" s="746"/>
      <c r="K140" s="746"/>
      <c r="L140" s="746"/>
      <c r="M140" s="746"/>
      <c r="N140" s="746"/>
      <c r="O140" s="745"/>
      <c r="P140" s="745"/>
      <c r="Q140" s="745"/>
    </row>
    <row r="141" spans="1:17">
      <c r="A141" s="745"/>
      <c r="B141" s="746"/>
      <c r="K141" s="746"/>
      <c r="L141" s="746"/>
      <c r="M141" s="746"/>
      <c r="N141" s="746"/>
      <c r="O141" s="745"/>
      <c r="P141" s="745"/>
      <c r="Q141" s="745"/>
    </row>
    <row r="142" spans="1:17">
      <c r="A142" s="745"/>
      <c r="B142" s="746"/>
      <c r="K142" s="746"/>
      <c r="L142" s="746"/>
      <c r="M142" s="746"/>
      <c r="N142" s="746"/>
      <c r="O142" s="745"/>
      <c r="P142" s="745"/>
      <c r="Q142" s="745"/>
    </row>
    <row r="143" spans="1:17">
      <c r="A143" s="745"/>
      <c r="B143" s="746"/>
      <c r="K143" s="746"/>
      <c r="L143" s="746"/>
      <c r="M143" s="746"/>
      <c r="N143" s="746"/>
      <c r="O143" s="745"/>
      <c r="P143" s="745"/>
      <c r="Q143" s="745"/>
    </row>
    <row r="144" spans="1:17">
      <c r="A144" s="745"/>
      <c r="B144" s="746"/>
      <c r="K144" s="746"/>
      <c r="L144" s="746"/>
      <c r="M144" s="746"/>
      <c r="N144" s="746"/>
      <c r="O144" s="745"/>
      <c r="P144" s="745"/>
      <c r="Q144" s="745"/>
    </row>
    <row r="145" spans="1:17">
      <c r="A145" s="745"/>
      <c r="B145" s="746"/>
      <c r="K145" s="746"/>
      <c r="L145" s="746"/>
      <c r="M145" s="746"/>
      <c r="N145" s="746"/>
      <c r="O145" s="745"/>
      <c r="P145" s="745"/>
      <c r="Q145" s="745"/>
    </row>
    <row r="146" spans="1:17">
      <c r="A146" s="745"/>
      <c r="B146" s="746"/>
      <c r="K146" s="746"/>
      <c r="L146" s="746"/>
      <c r="M146" s="746"/>
      <c r="N146" s="746"/>
      <c r="O146" s="745"/>
      <c r="P146" s="745"/>
      <c r="Q146" s="745"/>
    </row>
    <row r="147" spans="1:17">
      <c r="A147" s="745"/>
      <c r="B147" s="746"/>
      <c r="K147" s="746"/>
      <c r="L147" s="746"/>
      <c r="M147" s="746"/>
      <c r="N147" s="746"/>
      <c r="O147" s="745"/>
      <c r="P147" s="745"/>
      <c r="Q147" s="745"/>
    </row>
    <row r="148" spans="1:17">
      <c r="A148" s="745"/>
      <c r="B148" s="746"/>
      <c r="K148" s="746"/>
      <c r="L148" s="746"/>
      <c r="M148" s="746"/>
      <c r="N148" s="746"/>
      <c r="O148" s="745"/>
      <c r="P148" s="745"/>
      <c r="Q148" s="745"/>
    </row>
    <row r="149" spans="1:17">
      <c r="A149" s="745"/>
      <c r="B149" s="746"/>
      <c r="K149" s="746"/>
      <c r="L149" s="746"/>
      <c r="M149" s="746"/>
      <c r="N149" s="746"/>
      <c r="O149" s="745"/>
      <c r="P149" s="745"/>
      <c r="Q149" s="745"/>
    </row>
    <row r="150" spans="1:17">
      <c r="A150" s="745"/>
      <c r="B150" s="746"/>
      <c r="K150" s="746"/>
      <c r="L150" s="746"/>
      <c r="M150" s="746"/>
      <c r="N150" s="746"/>
      <c r="O150" s="745"/>
      <c r="P150" s="745"/>
      <c r="Q150" s="745"/>
    </row>
    <row r="151" spans="1:17">
      <c r="A151" s="745"/>
      <c r="B151" s="746"/>
      <c r="K151" s="746"/>
      <c r="L151" s="746"/>
      <c r="M151" s="746"/>
      <c r="N151" s="746"/>
      <c r="O151" s="745"/>
      <c r="P151" s="745"/>
      <c r="Q151" s="745"/>
    </row>
    <row r="152" spans="1:17">
      <c r="A152" s="745"/>
      <c r="B152" s="746"/>
      <c r="K152" s="746"/>
      <c r="L152" s="746"/>
      <c r="M152" s="746"/>
      <c r="N152" s="746"/>
      <c r="O152" s="745"/>
      <c r="P152" s="745"/>
      <c r="Q152" s="745"/>
    </row>
    <row r="153" spans="1:17">
      <c r="A153" s="745"/>
      <c r="B153" s="746"/>
      <c r="K153" s="746"/>
      <c r="L153" s="746"/>
      <c r="M153" s="746"/>
      <c r="N153" s="746"/>
      <c r="O153" s="745"/>
      <c r="P153" s="745"/>
      <c r="Q153" s="745"/>
    </row>
    <row r="154" spans="1:17">
      <c r="A154" s="745"/>
      <c r="B154" s="746"/>
      <c r="K154" s="746"/>
      <c r="L154" s="746"/>
      <c r="M154" s="746"/>
      <c r="N154" s="746"/>
      <c r="O154" s="745"/>
      <c r="P154" s="745"/>
      <c r="Q154" s="745"/>
    </row>
    <row r="155" spans="1:17">
      <c r="A155" s="745"/>
      <c r="B155" s="746"/>
      <c r="K155" s="746"/>
      <c r="L155" s="746"/>
      <c r="M155" s="746"/>
      <c r="N155" s="746"/>
      <c r="O155" s="745"/>
      <c r="P155" s="745"/>
      <c r="Q155" s="745"/>
    </row>
    <row r="156" spans="1:17">
      <c r="A156" s="745"/>
      <c r="B156" s="746"/>
      <c r="K156" s="746"/>
      <c r="L156" s="746"/>
      <c r="M156" s="746"/>
      <c r="N156" s="746"/>
      <c r="O156" s="745"/>
      <c r="P156" s="745"/>
      <c r="Q156" s="745"/>
    </row>
    <row r="157" spans="1:17">
      <c r="A157" s="745"/>
      <c r="B157" s="746"/>
      <c r="K157" s="746"/>
      <c r="L157" s="746"/>
      <c r="M157" s="746"/>
      <c r="N157" s="746"/>
      <c r="O157" s="745"/>
      <c r="P157" s="745"/>
      <c r="Q157" s="745"/>
    </row>
    <row r="158" spans="1:17">
      <c r="A158" s="745"/>
      <c r="B158" s="746"/>
      <c r="K158" s="746"/>
      <c r="L158" s="746"/>
      <c r="M158" s="746"/>
      <c r="N158" s="746"/>
      <c r="O158" s="745"/>
      <c r="P158" s="745"/>
      <c r="Q158" s="745"/>
    </row>
    <row r="159" spans="1:17">
      <c r="A159" s="745"/>
      <c r="B159" s="746"/>
      <c r="K159" s="746"/>
      <c r="L159" s="746"/>
      <c r="M159" s="746"/>
      <c r="N159" s="746"/>
      <c r="O159" s="745"/>
      <c r="P159" s="745"/>
      <c r="Q159" s="745"/>
    </row>
    <row r="160" spans="1:17">
      <c r="A160" s="745"/>
      <c r="B160" s="746"/>
      <c r="K160" s="746"/>
      <c r="L160" s="746"/>
      <c r="M160" s="746"/>
      <c r="N160" s="746"/>
      <c r="O160" s="745"/>
      <c r="P160" s="745"/>
      <c r="Q160" s="745"/>
    </row>
    <row r="161" spans="1:17">
      <c r="A161" s="745"/>
      <c r="B161" s="746"/>
      <c r="K161" s="746"/>
      <c r="L161" s="746"/>
      <c r="M161" s="746"/>
      <c r="N161" s="746"/>
      <c r="O161" s="745"/>
      <c r="P161" s="745"/>
      <c r="Q161" s="745"/>
    </row>
    <row r="162" spans="1:17">
      <c r="A162" s="745"/>
      <c r="B162" s="746"/>
      <c r="K162" s="746"/>
      <c r="L162" s="746"/>
      <c r="M162" s="746"/>
      <c r="N162" s="746"/>
      <c r="O162" s="745"/>
      <c r="P162" s="745"/>
      <c r="Q162" s="745"/>
    </row>
    <row r="163" spans="1:17">
      <c r="A163" s="745"/>
      <c r="B163" s="746"/>
      <c r="K163" s="746"/>
      <c r="L163" s="746"/>
      <c r="M163" s="746"/>
      <c r="N163" s="746"/>
      <c r="O163" s="745"/>
      <c r="P163" s="745"/>
      <c r="Q163" s="745"/>
    </row>
    <row r="164" spans="1:17">
      <c r="A164" s="745"/>
      <c r="B164" s="746"/>
      <c r="K164" s="746"/>
      <c r="L164" s="746"/>
      <c r="M164" s="746"/>
      <c r="N164" s="746"/>
      <c r="O164" s="745"/>
      <c r="P164" s="745"/>
      <c r="Q164" s="745"/>
    </row>
    <row r="165" spans="1:17">
      <c r="A165" s="745"/>
      <c r="B165" s="746"/>
      <c r="K165" s="746"/>
      <c r="L165" s="746"/>
      <c r="M165" s="746"/>
      <c r="N165" s="746"/>
      <c r="O165" s="745"/>
      <c r="P165" s="745"/>
      <c r="Q165" s="745"/>
    </row>
    <row r="166" spans="1:17">
      <c r="A166" s="745"/>
      <c r="B166" s="746"/>
      <c r="K166" s="746"/>
      <c r="L166" s="746"/>
      <c r="M166" s="746"/>
      <c r="N166" s="746"/>
      <c r="O166" s="745"/>
      <c r="P166" s="745"/>
      <c r="Q166" s="745"/>
    </row>
    <row r="167" spans="1:17">
      <c r="A167" s="745"/>
      <c r="B167" s="746"/>
      <c r="K167" s="746"/>
      <c r="L167" s="746"/>
      <c r="M167" s="746"/>
      <c r="N167" s="746"/>
      <c r="O167" s="745"/>
      <c r="P167" s="745"/>
      <c r="Q167" s="745"/>
    </row>
    <row r="168" spans="1:17">
      <c r="A168" s="745"/>
      <c r="B168" s="746"/>
      <c r="K168" s="746"/>
      <c r="L168" s="746"/>
      <c r="M168" s="746"/>
      <c r="N168" s="746"/>
      <c r="O168" s="745"/>
      <c r="P168" s="745"/>
      <c r="Q168" s="745"/>
    </row>
    <row r="169" spans="1:17">
      <c r="A169" s="745"/>
      <c r="B169" s="746"/>
      <c r="K169" s="746"/>
      <c r="L169" s="746"/>
      <c r="M169" s="746"/>
      <c r="N169" s="746"/>
      <c r="O169" s="745"/>
      <c r="P169" s="745"/>
      <c r="Q169" s="745"/>
    </row>
    <row r="170" spans="1:17">
      <c r="A170" s="745"/>
      <c r="B170" s="746"/>
      <c r="K170" s="746"/>
      <c r="L170" s="746"/>
      <c r="M170" s="746"/>
      <c r="N170" s="746"/>
      <c r="O170" s="745"/>
      <c r="P170" s="745"/>
      <c r="Q170" s="745"/>
    </row>
    <row r="171" spans="1:17">
      <c r="A171" s="745"/>
      <c r="B171" s="746"/>
      <c r="K171" s="746"/>
      <c r="L171" s="746"/>
      <c r="M171" s="746"/>
      <c r="N171" s="746"/>
      <c r="O171" s="745"/>
      <c r="P171" s="745"/>
      <c r="Q171" s="745"/>
    </row>
    <row r="172" spans="1:17">
      <c r="A172" s="745"/>
      <c r="B172" s="746"/>
      <c r="K172" s="746"/>
      <c r="L172" s="746"/>
      <c r="M172" s="746"/>
      <c r="N172" s="746"/>
      <c r="O172" s="745"/>
      <c r="P172" s="745"/>
      <c r="Q172" s="745"/>
    </row>
    <row r="173" spans="1:17">
      <c r="A173" s="745"/>
      <c r="B173" s="746"/>
      <c r="K173" s="746"/>
      <c r="L173" s="746"/>
      <c r="M173" s="746"/>
      <c r="N173" s="746"/>
      <c r="O173" s="745"/>
      <c r="P173" s="745"/>
      <c r="Q173" s="745"/>
    </row>
    <row r="174" spans="1:17">
      <c r="A174" s="745"/>
      <c r="B174" s="746"/>
      <c r="K174" s="746"/>
      <c r="L174" s="746"/>
      <c r="M174" s="746"/>
      <c r="N174" s="746"/>
      <c r="O174" s="745"/>
      <c r="P174" s="745"/>
      <c r="Q174" s="745"/>
    </row>
    <row r="175" spans="1:17">
      <c r="A175" s="745"/>
      <c r="B175" s="746"/>
      <c r="K175" s="746"/>
      <c r="L175" s="746"/>
      <c r="M175" s="746"/>
      <c r="N175" s="746"/>
      <c r="O175" s="745"/>
      <c r="P175" s="745"/>
      <c r="Q175" s="745"/>
    </row>
    <row r="176" spans="1:17">
      <c r="A176" s="745"/>
      <c r="B176" s="746"/>
      <c r="K176" s="746"/>
      <c r="L176" s="746"/>
      <c r="M176" s="746"/>
      <c r="N176" s="746"/>
      <c r="O176" s="745"/>
      <c r="P176" s="745"/>
      <c r="Q176" s="745"/>
    </row>
    <row r="177" spans="1:17">
      <c r="A177" s="745"/>
      <c r="B177" s="746"/>
      <c r="K177" s="746"/>
      <c r="L177" s="746"/>
      <c r="M177" s="746"/>
      <c r="N177" s="746"/>
      <c r="O177" s="745"/>
      <c r="P177" s="745"/>
      <c r="Q177" s="745"/>
    </row>
    <row r="178" spans="1:17">
      <c r="A178" s="745"/>
      <c r="B178" s="746"/>
      <c r="K178" s="746"/>
      <c r="L178" s="746"/>
      <c r="M178" s="746"/>
      <c r="N178" s="746"/>
      <c r="O178" s="745"/>
      <c r="P178" s="745"/>
      <c r="Q178" s="745"/>
    </row>
    <row r="179" spans="1:17">
      <c r="A179" s="745"/>
      <c r="B179" s="746"/>
      <c r="K179" s="746"/>
      <c r="L179" s="746"/>
      <c r="M179" s="746"/>
      <c r="N179" s="746"/>
      <c r="O179" s="745"/>
      <c r="P179" s="745"/>
      <c r="Q179" s="745"/>
    </row>
    <row r="180" spans="1:17">
      <c r="A180" s="745"/>
      <c r="B180" s="746"/>
      <c r="K180" s="746"/>
      <c r="L180" s="746"/>
      <c r="M180" s="746"/>
      <c r="N180" s="746"/>
      <c r="O180" s="745"/>
      <c r="P180" s="745"/>
      <c r="Q180" s="745"/>
    </row>
    <row r="181" spans="1:17">
      <c r="A181" s="745"/>
      <c r="B181" s="746"/>
      <c r="K181" s="746"/>
      <c r="L181" s="746"/>
      <c r="M181" s="746"/>
      <c r="N181" s="746"/>
      <c r="O181" s="745"/>
      <c r="P181" s="745"/>
      <c r="Q181" s="745"/>
    </row>
    <row r="182" spans="1:17">
      <c r="A182" s="745"/>
      <c r="B182" s="746"/>
      <c r="K182" s="746"/>
      <c r="L182" s="746"/>
      <c r="M182" s="746"/>
      <c r="N182" s="746"/>
      <c r="O182" s="745"/>
      <c r="P182" s="745"/>
      <c r="Q182" s="745"/>
    </row>
    <row r="183" spans="1:17">
      <c r="A183" s="745"/>
      <c r="B183" s="746"/>
      <c r="K183" s="746"/>
      <c r="L183" s="746"/>
      <c r="M183" s="746"/>
      <c r="N183" s="746"/>
      <c r="O183" s="745"/>
      <c r="P183" s="745"/>
      <c r="Q183" s="745"/>
    </row>
    <row r="184" spans="1:17">
      <c r="A184" s="745"/>
      <c r="B184" s="746"/>
      <c r="K184" s="746"/>
      <c r="L184" s="746"/>
      <c r="M184" s="746"/>
      <c r="N184" s="746"/>
      <c r="O184" s="745"/>
      <c r="P184" s="745"/>
      <c r="Q184" s="745"/>
    </row>
    <row r="185" spans="1:17">
      <c r="A185" s="745"/>
      <c r="B185" s="746"/>
      <c r="K185" s="746"/>
      <c r="L185" s="746"/>
      <c r="M185" s="746"/>
      <c r="N185" s="746"/>
      <c r="O185" s="745"/>
      <c r="P185" s="745"/>
      <c r="Q185" s="745"/>
    </row>
    <row r="186" spans="1:17">
      <c r="A186" s="745"/>
      <c r="B186" s="746"/>
      <c r="K186" s="746"/>
      <c r="L186" s="746"/>
      <c r="M186" s="746"/>
      <c r="N186" s="746"/>
      <c r="O186" s="745"/>
      <c r="P186" s="745"/>
      <c r="Q186" s="745"/>
    </row>
    <row r="187" spans="1:17">
      <c r="A187" s="745"/>
      <c r="B187" s="746"/>
      <c r="K187" s="746"/>
      <c r="L187" s="746"/>
      <c r="M187" s="746"/>
      <c r="N187" s="746"/>
      <c r="O187" s="745"/>
      <c r="P187" s="745"/>
      <c r="Q187" s="745"/>
    </row>
    <row r="188" spans="1:17">
      <c r="A188" s="745"/>
      <c r="B188" s="746"/>
      <c r="K188" s="746"/>
      <c r="L188" s="746"/>
      <c r="M188" s="746"/>
      <c r="N188" s="746"/>
      <c r="O188" s="745"/>
      <c r="P188" s="745"/>
      <c r="Q188" s="745"/>
    </row>
    <row r="189" spans="1:17">
      <c r="A189" s="745"/>
      <c r="B189" s="746"/>
      <c r="K189" s="746"/>
      <c r="L189" s="746"/>
      <c r="M189" s="746"/>
      <c r="N189" s="746"/>
      <c r="O189" s="745"/>
      <c r="P189" s="745"/>
      <c r="Q189" s="745"/>
    </row>
    <row r="190" spans="1:17">
      <c r="A190" s="745"/>
      <c r="B190" s="746"/>
      <c r="K190" s="746"/>
      <c r="L190" s="746"/>
      <c r="M190" s="746"/>
      <c r="N190" s="746"/>
      <c r="O190" s="745"/>
      <c r="P190" s="745"/>
      <c r="Q190" s="745"/>
    </row>
    <row r="191" spans="1:17">
      <c r="A191" s="745"/>
      <c r="B191" s="746"/>
      <c r="K191" s="746"/>
      <c r="L191" s="746"/>
      <c r="M191" s="746"/>
      <c r="N191" s="746"/>
      <c r="O191" s="745"/>
      <c r="P191" s="745"/>
      <c r="Q191" s="745"/>
    </row>
    <row r="192" spans="1:17">
      <c r="A192" s="745"/>
      <c r="B192" s="746"/>
      <c r="K192" s="746"/>
      <c r="L192" s="746"/>
      <c r="M192" s="746"/>
      <c r="N192" s="746"/>
      <c r="O192" s="745"/>
      <c r="P192" s="745"/>
      <c r="Q192" s="745"/>
    </row>
    <row r="193" spans="1:17">
      <c r="A193" s="745"/>
      <c r="B193" s="746"/>
      <c r="K193" s="746"/>
      <c r="L193" s="746"/>
      <c r="M193" s="746"/>
      <c r="N193" s="746"/>
      <c r="O193" s="745"/>
      <c r="P193" s="745"/>
      <c r="Q193" s="745"/>
    </row>
    <row r="194" spans="1:17">
      <c r="A194" s="745"/>
      <c r="B194" s="746"/>
      <c r="K194" s="746"/>
      <c r="L194" s="746"/>
      <c r="M194" s="746"/>
      <c r="N194" s="746"/>
      <c r="O194" s="745"/>
      <c r="P194" s="745"/>
      <c r="Q194" s="745"/>
    </row>
    <row r="195" spans="1:17">
      <c r="A195" s="745"/>
      <c r="B195" s="746"/>
      <c r="K195" s="746"/>
      <c r="L195" s="746"/>
      <c r="M195" s="746"/>
      <c r="N195" s="746"/>
      <c r="O195" s="745"/>
      <c r="P195" s="745"/>
      <c r="Q195" s="745"/>
    </row>
    <row r="196" spans="1:17">
      <c r="A196" s="745"/>
      <c r="B196" s="746"/>
      <c r="K196" s="746"/>
      <c r="L196" s="746"/>
      <c r="M196" s="746"/>
      <c r="N196" s="746"/>
      <c r="O196" s="745"/>
      <c r="P196" s="745"/>
      <c r="Q196" s="745"/>
    </row>
    <row r="197" spans="1:17">
      <c r="A197" s="745"/>
      <c r="B197" s="746"/>
      <c r="K197" s="746"/>
      <c r="L197" s="746"/>
      <c r="M197" s="746"/>
      <c r="N197" s="746"/>
      <c r="O197" s="745"/>
      <c r="P197" s="745"/>
      <c r="Q197" s="745"/>
    </row>
    <row r="198" spans="1:17">
      <c r="A198" s="745"/>
      <c r="B198" s="746"/>
      <c r="K198" s="746"/>
      <c r="L198" s="746"/>
      <c r="M198" s="746"/>
      <c r="N198" s="746"/>
      <c r="O198" s="745"/>
      <c r="P198" s="745"/>
      <c r="Q198" s="745"/>
    </row>
    <row r="199" spans="1:17">
      <c r="A199" s="745"/>
      <c r="B199" s="746"/>
      <c r="K199" s="746"/>
      <c r="L199" s="746"/>
      <c r="M199" s="746"/>
      <c r="N199" s="746"/>
      <c r="O199" s="745"/>
      <c r="P199" s="745"/>
      <c r="Q199" s="745"/>
    </row>
    <row r="200" spans="1:17">
      <c r="A200" s="745"/>
      <c r="B200" s="746"/>
      <c r="K200" s="746"/>
      <c r="L200" s="746"/>
      <c r="M200" s="746"/>
      <c r="N200" s="746"/>
      <c r="O200" s="745"/>
      <c r="P200" s="745"/>
      <c r="Q200" s="745"/>
    </row>
    <row r="201" spans="1:17">
      <c r="A201" s="745"/>
      <c r="B201" s="746"/>
      <c r="K201" s="746"/>
      <c r="L201" s="746"/>
      <c r="M201" s="746"/>
      <c r="N201" s="746"/>
      <c r="O201" s="745"/>
      <c r="P201" s="745"/>
      <c r="Q201" s="745"/>
    </row>
    <row r="202" spans="1:17">
      <c r="A202" s="745"/>
      <c r="B202" s="746"/>
      <c r="K202" s="746"/>
      <c r="L202" s="746"/>
      <c r="M202" s="746"/>
      <c r="N202" s="746"/>
      <c r="O202" s="745"/>
      <c r="P202" s="745"/>
      <c r="Q202" s="745"/>
    </row>
    <row r="203" spans="1:17">
      <c r="A203" s="745"/>
      <c r="B203" s="746"/>
      <c r="K203" s="746"/>
      <c r="L203" s="746"/>
      <c r="M203" s="746"/>
      <c r="N203" s="746"/>
      <c r="O203" s="745"/>
      <c r="P203" s="745"/>
      <c r="Q203" s="745"/>
    </row>
    <row r="204" spans="1:17">
      <c r="A204" s="745"/>
      <c r="B204" s="746"/>
      <c r="K204" s="746"/>
      <c r="L204" s="746"/>
      <c r="M204" s="746"/>
      <c r="N204" s="746"/>
      <c r="O204" s="745"/>
      <c r="P204" s="745"/>
      <c r="Q204" s="745"/>
    </row>
    <row r="205" spans="1:17">
      <c r="A205" s="745"/>
      <c r="B205" s="746"/>
      <c r="K205" s="746"/>
      <c r="L205" s="746"/>
      <c r="M205" s="746"/>
      <c r="N205" s="746"/>
      <c r="O205" s="745"/>
      <c r="P205" s="745"/>
      <c r="Q205" s="745"/>
    </row>
    <row r="206" spans="1:17">
      <c r="A206" s="745"/>
      <c r="B206" s="746"/>
      <c r="K206" s="746"/>
      <c r="L206" s="746"/>
      <c r="M206" s="746"/>
      <c r="N206" s="746"/>
      <c r="O206" s="745"/>
      <c r="P206" s="745"/>
      <c r="Q206" s="745"/>
    </row>
    <row r="207" spans="1:17">
      <c r="A207" s="745"/>
      <c r="B207" s="746"/>
      <c r="K207" s="746"/>
      <c r="L207" s="746"/>
      <c r="M207" s="746"/>
      <c r="N207" s="746"/>
      <c r="O207" s="745"/>
      <c r="P207" s="745"/>
      <c r="Q207" s="745"/>
    </row>
    <row r="208" spans="1:17">
      <c r="A208" s="745"/>
      <c r="B208" s="746"/>
      <c r="K208" s="746"/>
      <c r="L208" s="746"/>
      <c r="M208" s="746"/>
      <c r="N208" s="746"/>
      <c r="O208" s="745"/>
      <c r="P208" s="745"/>
      <c r="Q208" s="745"/>
    </row>
    <row r="209" spans="1:17">
      <c r="A209" s="745"/>
      <c r="B209" s="746"/>
      <c r="K209" s="746"/>
      <c r="L209" s="746"/>
      <c r="M209" s="746"/>
      <c r="N209" s="746"/>
      <c r="O209" s="745"/>
      <c r="P209" s="745"/>
      <c r="Q209" s="745"/>
    </row>
    <row r="210" spans="1:17">
      <c r="A210" s="745"/>
      <c r="B210" s="746"/>
      <c r="K210" s="746"/>
      <c r="L210" s="746"/>
      <c r="M210" s="746"/>
      <c r="N210" s="746"/>
      <c r="O210" s="745"/>
      <c r="P210" s="745"/>
      <c r="Q210" s="745"/>
    </row>
    <row r="211" spans="1:17">
      <c r="A211" s="745"/>
      <c r="B211" s="746"/>
      <c r="K211" s="746"/>
      <c r="L211" s="746"/>
      <c r="M211" s="746"/>
      <c r="N211" s="746"/>
      <c r="O211" s="745"/>
      <c r="P211" s="745"/>
      <c r="Q211" s="745"/>
    </row>
    <row r="212" spans="1:17">
      <c r="A212" s="745"/>
      <c r="B212" s="746"/>
      <c r="K212" s="746"/>
      <c r="L212" s="746"/>
      <c r="M212" s="746"/>
      <c r="N212" s="746"/>
      <c r="O212" s="745"/>
      <c r="P212" s="745"/>
      <c r="Q212" s="745"/>
    </row>
    <row r="213" spans="1:17">
      <c r="A213" s="745"/>
      <c r="B213" s="746"/>
      <c r="K213" s="746"/>
      <c r="L213" s="746"/>
      <c r="M213" s="746"/>
      <c r="N213" s="746"/>
      <c r="O213" s="745"/>
      <c r="P213" s="745"/>
      <c r="Q213" s="745"/>
    </row>
    <row r="214" spans="1:17">
      <c r="A214" s="745"/>
      <c r="B214" s="746"/>
      <c r="K214" s="746"/>
      <c r="L214" s="746"/>
      <c r="M214" s="746"/>
      <c r="N214" s="746"/>
      <c r="O214" s="745"/>
      <c r="P214" s="745"/>
      <c r="Q214" s="745"/>
    </row>
    <row r="215" spans="1:17">
      <c r="A215" s="745"/>
      <c r="B215" s="746"/>
      <c r="K215" s="746"/>
      <c r="L215" s="746"/>
      <c r="M215" s="746"/>
      <c r="N215" s="746"/>
      <c r="O215" s="745"/>
      <c r="P215" s="745"/>
      <c r="Q215" s="745"/>
    </row>
    <row r="216" spans="1:17">
      <c r="A216" s="745"/>
      <c r="B216" s="746"/>
      <c r="K216" s="746"/>
      <c r="L216" s="746"/>
      <c r="M216" s="746"/>
      <c r="N216" s="746"/>
      <c r="O216" s="745"/>
      <c r="P216" s="745"/>
      <c r="Q216" s="745"/>
    </row>
    <row r="217" spans="1:17">
      <c r="A217" s="745"/>
      <c r="B217" s="746"/>
      <c r="K217" s="746"/>
      <c r="L217" s="746"/>
      <c r="M217" s="746"/>
      <c r="N217" s="746"/>
      <c r="O217" s="745"/>
      <c r="P217" s="745"/>
      <c r="Q217" s="745"/>
    </row>
    <row r="218" spans="1:17">
      <c r="A218" s="745"/>
      <c r="B218" s="746"/>
      <c r="K218" s="746"/>
      <c r="L218" s="746"/>
      <c r="M218" s="746"/>
      <c r="N218" s="746"/>
      <c r="O218" s="745"/>
      <c r="P218" s="745"/>
      <c r="Q218" s="745"/>
    </row>
    <row r="219" spans="1:17">
      <c r="A219" s="745"/>
      <c r="B219" s="746"/>
      <c r="K219" s="746"/>
      <c r="L219" s="746"/>
      <c r="M219" s="746"/>
      <c r="N219" s="746"/>
      <c r="O219" s="745"/>
      <c r="P219" s="745"/>
      <c r="Q219" s="745"/>
    </row>
    <row r="220" spans="1:17">
      <c r="A220" s="745"/>
      <c r="B220" s="746"/>
      <c r="K220" s="746"/>
      <c r="L220" s="746"/>
      <c r="M220" s="746"/>
      <c r="N220" s="746"/>
      <c r="O220" s="745"/>
      <c r="P220" s="745"/>
      <c r="Q220" s="745"/>
    </row>
    <row r="221" spans="1:17">
      <c r="A221" s="745"/>
      <c r="B221" s="746"/>
      <c r="K221" s="746"/>
      <c r="L221" s="746"/>
      <c r="M221" s="746"/>
      <c r="N221" s="746"/>
      <c r="O221" s="745"/>
      <c r="P221" s="745"/>
      <c r="Q221" s="745"/>
    </row>
    <row r="222" spans="1:17">
      <c r="A222" s="745"/>
      <c r="B222" s="746"/>
      <c r="K222" s="746"/>
      <c r="L222" s="746"/>
      <c r="M222" s="746"/>
      <c r="N222" s="746"/>
      <c r="O222" s="745"/>
      <c r="P222" s="745"/>
      <c r="Q222" s="745"/>
    </row>
    <row r="223" spans="1:17">
      <c r="A223" s="745"/>
      <c r="B223" s="746"/>
      <c r="K223" s="746"/>
      <c r="L223" s="746"/>
      <c r="M223" s="746"/>
      <c r="N223" s="746"/>
      <c r="O223" s="745"/>
      <c r="P223" s="745"/>
      <c r="Q223" s="745"/>
    </row>
    <row r="224" spans="1:17">
      <c r="A224" s="745"/>
      <c r="B224" s="746"/>
      <c r="K224" s="746"/>
      <c r="L224" s="746"/>
      <c r="M224" s="746"/>
      <c r="N224" s="746"/>
      <c r="O224" s="745"/>
      <c r="P224" s="745"/>
      <c r="Q224" s="745"/>
    </row>
    <row r="225" spans="1:17">
      <c r="A225" s="745"/>
      <c r="B225" s="746"/>
      <c r="K225" s="746"/>
      <c r="L225" s="746"/>
      <c r="M225" s="746"/>
      <c r="N225" s="746"/>
      <c r="O225" s="745"/>
      <c r="P225" s="745"/>
      <c r="Q225" s="745"/>
    </row>
    <row r="226" spans="1:17">
      <c r="A226" s="745"/>
      <c r="B226" s="746"/>
      <c r="K226" s="746"/>
      <c r="L226" s="746"/>
      <c r="M226" s="746"/>
      <c r="N226" s="746"/>
      <c r="O226" s="745"/>
      <c r="P226" s="745"/>
      <c r="Q226" s="745"/>
    </row>
    <row r="227" spans="1:17">
      <c r="A227" s="745"/>
      <c r="B227" s="746"/>
      <c r="K227" s="746"/>
      <c r="L227" s="746"/>
      <c r="M227" s="746"/>
      <c r="N227" s="746"/>
      <c r="O227" s="745"/>
      <c r="P227" s="745"/>
      <c r="Q227" s="745"/>
    </row>
    <row r="228" spans="1:17">
      <c r="A228" s="745"/>
      <c r="B228" s="746"/>
      <c r="K228" s="746"/>
      <c r="L228" s="746"/>
      <c r="M228" s="746"/>
      <c r="N228" s="746"/>
      <c r="O228" s="745"/>
      <c r="P228" s="745"/>
      <c r="Q228" s="745"/>
    </row>
    <row r="229" spans="1:17">
      <c r="A229" s="745"/>
      <c r="B229" s="746"/>
      <c r="K229" s="746"/>
      <c r="L229" s="746"/>
      <c r="M229" s="746"/>
      <c r="N229" s="746"/>
      <c r="O229" s="745"/>
      <c r="P229" s="745"/>
      <c r="Q229" s="745"/>
    </row>
    <row r="230" spans="1:17">
      <c r="A230" s="745"/>
      <c r="B230" s="746"/>
      <c r="K230" s="746"/>
      <c r="L230" s="746"/>
      <c r="M230" s="746"/>
      <c r="N230" s="746"/>
      <c r="O230" s="745"/>
      <c r="P230" s="745"/>
      <c r="Q230" s="745"/>
    </row>
    <row r="231" spans="1:17">
      <c r="A231" s="745"/>
      <c r="B231" s="746"/>
      <c r="K231" s="746"/>
      <c r="L231" s="746"/>
      <c r="M231" s="746"/>
      <c r="N231" s="746"/>
      <c r="O231" s="745"/>
      <c r="P231" s="745"/>
      <c r="Q231" s="745"/>
    </row>
    <row r="232" spans="1:17">
      <c r="A232" s="745"/>
      <c r="B232" s="746"/>
      <c r="K232" s="746"/>
      <c r="L232" s="746"/>
      <c r="M232" s="746"/>
      <c r="N232" s="746"/>
      <c r="O232" s="745"/>
      <c r="P232" s="745"/>
      <c r="Q232" s="745"/>
    </row>
    <row r="233" spans="1:17">
      <c r="A233" s="745"/>
      <c r="B233" s="746"/>
      <c r="K233" s="746"/>
      <c r="L233" s="746"/>
      <c r="M233" s="746"/>
      <c r="N233" s="746"/>
      <c r="O233" s="745"/>
      <c r="P233" s="745"/>
      <c r="Q233" s="745"/>
    </row>
    <row r="234" spans="1:17">
      <c r="A234" s="745"/>
      <c r="B234" s="746"/>
      <c r="K234" s="746"/>
      <c r="L234" s="746"/>
      <c r="M234" s="746"/>
      <c r="N234" s="746"/>
      <c r="O234" s="745"/>
      <c r="P234" s="745"/>
      <c r="Q234" s="745"/>
    </row>
    <row r="235" spans="1:17">
      <c r="A235" s="745"/>
      <c r="B235" s="746"/>
      <c r="K235" s="746"/>
      <c r="L235" s="746"/>
      <c r="M235" s="746"/>
      <c r="N235" s="746"/>
      <c r="O235" s="745"/>
      <c r="P235" s="745"/>
      <c r="Q235" s="745"/>
    </row>
    <row r="236" spans="1:17">
      <c r="A236" s="745"/>
      <c r="B236" s="746"/>
      <c r="K236" s="746"/>
      <c r="L236" s="746"/>
      <c r="M236" s="746"/>
      <c r="N236" s="746"/>
      <c r="O236" s="745"/>
      <c r="P236" s="745"/>
      <c r="Q236" s="745"/>
    </row>
    <row r="237" spans="1:17">
      <c r="A237" s="745"/>
      <c r="B237" s="746"/>
      <c r="K237" s="746"/>
      <c r="L237" s="746"/>
      <c r="M237" s="746"/>
      <c r="N237" s="746"/>
      <c r="O237" s="745"/>
      <c r="P237" s="745"/>
      <c r="Q237" s="745"/>
    </row>
    <row r="238" spans="1:17">
      <c r="A238" s="745"/>
      <c r="B238" s="746"/>
      <c r="K238" s="746"/>
      <c r="L238" s="746"/>
      <c r="M238" s="746"/>
      <c r="N238" s="746"/>
      <c r="O238" s="745"/>
      <c r="P238" s="745"/>
      <c r="Q238" s="745"/>
    </row>
    <row r="239" spans="1:17">
      <c r="A239" s="745"/>
      <c r="B239" s="746"/>
      <c r="K239" s="746"/>
      <c r="L239" s="746"/>
      <c r="M239" s="746"/>
      <c r="N239" s="746"/>
      <c r="O239" s="745"/>
      <c r="P239" s="745"/>
      <c r="Q239" s="745"/>
    </row>
    <row r="240" spans="1:17">
      <c r="A240" s="745"/>
      <c r="B240" s="746"/>
      <c r="K240" s="746"/>
      <c r="L240" s="746"/>
      <c r="M240" s="746"/>
      <c r="N240" s="746"/>
      <c r="O240" s="745"/>
      <c r="P240" s="745"/>
      <c r="Q240" s="745"/>
    </row>
    <row r="241" spans="1:17">
      <c r="A241" s="745"/>
      <c r="B241" s="746"/>
      <c r="K241" s="746"/>
      <c r="L241" s="746"/>
      <c r="M241" s="746"/>
      <c r="N241" s="746"/>
      <c r="O241" s="745"/>
      <c r="P241" s="745"/>
      <c r="Q241" s="745"/>
    </row>
    <row r="242" spans="1:17">
      <c r="A242" s="745"/>
      <c r="B242" s="746"/>
      <c r="K242" s="746"/>
      <c r="L242" s="746"/>
      <c r="M242" s="746"/>
      <c r="N242" s="746"/>
      <c r="O242" s="745"/>
      <c r="P242" s="745"/>
      <c r="Q242" s="745"/>
    </row>
    <row r="243" spans="1:17">
      <c r="A243" s="745"/>
      <c r="B243" s="746"/>
      <c r="K243" s="746"/>
      <c r="L243" s="746"/>
      <c r="M243" s="746"/>
      <c r="N243" s="746"/>
      <c r="O243" s="745"/>
      <c r="P243" s="745"/>
      <c r="Q243" s="745"/>
    </row>
    <row r="244" spans="1:17">
      <c r="A244" s="745"/>
      <c r="B244" s="746"/>
      <c r="K244" s="746"/>
      <c r="L244" s="746"/>
      <c r="M244" s="746"/>
      <c r="N244" s="746"/>
      <c r="O244" s="745"/>
      <c r="P244" s="745"/>
      <c r="Q244" s="745"/>
    </row>
    <row r="245" spans="1:17">
      <c r="A245" s="745"/>
      <c r="B245" s="746"/>
      <c r="K245" s="746"/>
      <c r="L245" s="746"/>
      <c r="M245" s="746"/>
      <c r="N245" s="746"/>
      <c r="O245" s="745"/>
      <c r="P245" s="745"/>
      <c r="Q245" s="745"/>
    </row>
    <row r="246" spans="1:17">
      <c r="A246" s="745"/>
      <c r="B246" s="746"/>
      <c r="K246" s="746"/>
      <c r="L246" s="746"/>
      <c r="M246" s="746"/>
      <c r="N246" s="746"/>
      <c r="O246" s="745"/>
      <c r="P246" s="745"/>
      <c r="Q246" s="745"/>
    </row>
    <row r="247" spans="1:17">
      <c r="A247" s="745"/>
      <c r="B247" s="746"/>
      <c r="K247" s="746"/>
      <c r="L247" s="746"/>
      <c r="M247" s="746"/>
      <c r="N247" s="746"/>
      <c r="O247" s="745"/>
      <c r="P247" s="745"/>
      <c r="Q247" s="745"/>
    </row>
    <row r="248" spans="1:17">
      <c r="A248" s="745"/>
      <c r="B248" s="746"/>
      <c r="K248" s="746"/>
      <c r="L248" s="746"/>
      <c r="M248" s="746"/>
      <c r="N248" s="746"/>
      <c r="O248" s="745"/>
      <c r="P248" s="745"/>
      <c r="Q248" s="745"/>
    </row>
    <row r="249" spans="1:17">
      <c r="A249" s="745"/>
      <c r="B249" s="746"/>
      <c r="K249" s="746"/>
      <c r="L249" s="746"/>
      <c r="M249" s="746"/>
      <c r="N249" s="746"/>
      <c r="O249" s="745"/>
      <c r="P249" s="745"/>
      <c r="Q249" s="745"/>
    </row>
    <row r="250" spans="1:17">
      <c r="A250" s="745"/>
      <c r="B250" s="746"/>
      <c r="K250" s="746"/>
      <c r="L250" s="746"/>
      <c r="M250" s="746"/>
      <c r="N250" s="746"/>
      <c r="O250" s="745"/>
      <c r="P250" s="745"/>
      <c r="Q250" s="745"/>
    </row>
    <row r="251" spans="1:17">
      <c r="A251" s="745"/>
      <c r="B251" s="746"/>
      <c r="K251" s="746"/>
      <c r="L251" s="746"/>
      <c r="M251" s="746"/>
      <c r="N251" s="746"/>
      <c r="O251" s="745"/>
      <c r="P251" s="745"/>
      <c r="Q251" s="745"/>
    </row>
    <row r="252" spans="1:17">
      <c r="A252" s="745"/>
      <c r="B252" s="746"/>
      <c r="K252" s="746"/>
      <c r="L252" s="746"/>
      <c r="M252" s="746"/>
      <c r="N252" s="746"/>
      <c r="O252" s="745"/>
      <c r="P252" s="745"/>
      <c r="Q252" s="745"/>
    </row>
    <row r="253" spans="1:17">
      <c r="A253" s="745"/>
      <c r="B253" s="746"/>
      <c r="K253" s="746"/>
      <c r="L253" s="746"/>
      <c r="M253" s="746"/>
      <c r="N253" s="746"/>
      <c r="O253" s="745"/>
      <c r="P253" s="745"/>
      <c r="Q253" s="745"/>
    </row>
    <row r="254" spans="1:17">
      <c r="A254" s="745"/>
      <c r="B254" s="746"/>
      <c r="K254" s="746"/>
      <c r="L254" s="746"/>
      <c r="M254" s="746"/>
      <c r="N254" s="746"/>
      <c r="O254" s="745"/>
      <c r="P254" s="745"/>
      <c r="Q254" s="745"/>
    </row>
    <row r="255" spans="1:17">
      <c r="A255" s="745"/>
      <c r="B255" s="746"/>
      <c r="K255" s="746"/>
      <c r="L255" s="746"/>
      <c r="M255" s="746"/>
      <c r="N255" s="746"/>
      <c r="O255" s="745"/>
      <c r="P255" s="745"/>
      <c r="Q255" s="745"/>
    </row>
    <row r="256" spans="1:17">
      <c r="A256" s="745"/>
      <c r="B256" s="746"/>
      <c r="K256" s="746"/>
      <c r="L256" s="746"/>
      <c r="M256" s="746"/>
      <c r="N256" s="746"/>
      <c r="O256" s="745"/>
      <c r="P256" s="745"/>
      <c r="Q256" s="745"/>
    </row>
    <row r="257" spans="1:17">
      <c r="A257" s="745"/>
      <c r="B257" s="746"/>
      <c r="K257" s="746"/>
      <c r="L257" s="746"/>
      <c r="M257" s="746"/>
      <c r="N257" s="746"/>
      <c r="O257" s="745"/>
      <c r="P257" s="745"/>
      <c r="Q257" s="745"/>
    </row>
    <row r="258" spans="1:17">
      <c r="A258" s="745"/>
      <c r="B258" s="746"/>
      <c r="K258" s="746"/>
      <c r="L258" s="746"/>
      <c r="M258" s="746"/>
      <c r="N258" s="746"/>
      <c r="O258" s="745"/>
      <c r="P258" s="745"/>
      <c r="Q258" s="745"/>
    </row>
    <row r="259" spans="1:17">
      <c r="A259" s="745"/>
      <c r="B259" s="746"/>
      <c r="K259" s="746"/>
      <c r="L259" s="746"/>
      <c r="M259" s="746"/>
      <c r="N259" s="746"/>
      <c r="O259" s="745"/>
      <c r="P259" s="745"/>
      <c r="Q259" s="745"/>
    </row>
    <row r="260" spans="1:17">
      <c r="A260" s="745"/>
      <c r="B260" s="746"/>
      <c r="K260" s="746"/>
      <c r="L260" s="746"/>
      <c r="M260" s="746"/>
      <c r="N260" s="746"/>
      <c r="O260" s="745"/>
      <c r="P260" s="745"/>
      <c r="Q260" s="745"/>
    </row>
    <row r="261" spans="1:17">
      <c r="A261" s="745"/>
      <c r="B261" s="746"/>
      <c r="K261" s="746"/>
      <c r="L261" s="746"/>
      <c r="M261" s="746"/>
      <c r="N261" s="746"/>
      <c r="O261" s="745"/>
      <c r="P261" s="745"/>
      <c r="Q261" s="745"/>
    </row>
    <row r="262" spans="1:17">
      <c r="A262" s="745"/>
      <c r="B262" s="746"/>
      <c r="K262" s="746"/>
      <c r="L262" s="746"/>
      <c r="M262" s="746"/>
      <c r="N262" s="746"/>
      <c r="O262" s="745"/>
      <c r="P262" s="745"/>
      <c r="Q262" s="745"/>
    </row>
    <row r="263" spans="1:17">
      <c r="A263" s="745"/>
      <c r="B263" s="746"/>
      <c r="K263" s="746"/>
      <c r="L263" s="746"/>
      <c r="M263" s="746"/>
      <c r="N263" s="746"/>
      <c r="O263" s="745"/>
      <c r="P263" s="745"/>
      <c r="Q263" s="745"/>
    </row>
    <row r="264" spans="1:17">
      <c r="A264" s="745"/>
      <c r="B264" s="746"/>
      <c r="K264" s="746"/>
      <c r="L264" s="746"/>
      <c r="M264" s="746"/>
      <c r="N264" s="746"/>
      <c r="O264" s="745"/>
      <c r="P264" s="745"/>
      <c r="Q264" s="745"/>
    </row>
    <row r="265" spans="1:17">
      <c r="A265" s="745"/>
      <c r="B265" s="746"/>
      <c r="K265" s="746"/>
      <c r="L265" s="746"/>
      <c r="M265" s="746"/>
      <c r="N265" s="746"/>
      <c r="O265" s="745"/>
      <c r="P265" s="745"/>
      <c r="Q265" s="745"/>
    </row>
    <row r="266" spans="1:17">
      <c r="A266" s="745"/>
      <c r="B266" s="746"/>
      <c r="K266" s="746"/>
      <c r="L266" s="746"/>
      <c r="M266" s="746"/>
      <c r="N266" s="746"/>
      <c r="O266" s="745"/>
      <c r="P266" s="745"/>
      <c r="Q266" s="745"/>
    </row>
    <row r="267" spans="1:17">
      <c r="A267" s="745"/>
      <c r="B267" s="746"/>
      <c r="K267" s="746"/>
      <c r="L267" s="746"/>
      <c r="M267" s="746"/>
      <c r="N267" s="746"/>
      <c r="O267" s="745"/>
      <c r="P267" s="745"/>
      <c r="Q267" s="745"/>
    </row>
    <row r="268" spans="1:17">
      <c r="A268" s="745"/>
      <c r="B268" s="746"/>
      <c r="K268" s="746"/>
      <c r="L268" s="746"/>
      <c r="M268" s="746"/>
      <c r="N268" s="746"/>
      <c r="O268" s="745"/>
      <c r="P268" s="745"/>
      <c r="Q268" s="745"/>
    </row>
    <row r="269" spans="1:17">
      <c r="A269" s="745"/>
      <c r="B269" s="746"/>
      <c r="K269" s="746"/>
      <c r="L269" s="746"/>
      <c r="M269" s="746"/>
      <c r="N269" s="746"/>
      <c r="O269" s="745"/>
      <c r="P269" s="745"/>
      <c r="Q269" s="745"/>
    </row>
    <row r="270" spans="1:17">
      <c r="A270" s="745"/>
      <c r="B270" s="746"/>
      <c r="K270" s="746"/>
      <c r="L270" s="746"/>
      <c r="M270" s="746"/>
      <c r="N270" s="746"/>
      <c r="O270" s="745"/>
      <c r="P270" s="745"/>
      <c r="Q270" s="745"/>
    </row>
    <row r="271" spans="1:17">
      <c r="A271" s="745"/>
      <c r="B271" s="746"/>
      <c r="K271" s="746"/>
      <c r="L271" s="746"/>
      <c r="M271" s="746"/>
      <c r="N271" s="746"/>
      <c r="O271" s="745"/>
      <c r="P271" s="745"/>
      <c r="Q271" s="745"/>
    </row>
    <row r="272" spans="1:17">
      <c r="A272" s="745"/>
      <c r="B272" s="746"/>
      <c r="K272" s="746"/>
      <c r="L272" s="746"/>
      <c r="M272" s="746"/>
      <c r="N272" s="746"/>
      <c r="O272" s="745"/>
      <c r="P272" s="745"/>
      <c r="Q272" s="745"/>
    </row>
    <row r="273" spans="1:17">
      <c r="A273" s="745"/>
      <c r="B273" s="746"/>
      <c r="K273" s="746"/>
      <c r="L273" s="746"/>
      <c r="M273" s="746"/>
      <c r="N273" s="746"/>
      <c r="O273" s="745"/>
      <c r="P273" s="745"/>
      <c r="Q273" s="745"/>
    </row>
    <row r="274" spans="1:17">
      <c r="A274" s="745"/>
      <c r="B274" s="746"/>
      <c r="K274" s="746"/>
      <c r="L274" s="746"/>
      <c r="M274" s="746"/>
      <c r="N274" s="746"/>
      <c r="O274" s="745"/>
      <c r="P274" s="745"/>
      <c r="Q274" s="745"/>
    </row>
    <row r="275" spans="1:17">
      <c r="A275" s="745"/>
      <c r="B275" s="746"/>
      <c r="K275" s="746"/>
      <c r="L275" s="746"/>
      <c r="M275" s="746"/>
      <c r="N275" s="746"/>
      <c r="O275" s="745"/>
      <c r="P275" s="745"/>
      <c r="Q275" s="745"/>
    </row>
    <row r="276" spans="1:17">
      <c r="A276" s="745"/>
      <c r="B276" s="746"/>
      <c r="K276" s="746"/>
      <c r="L276" s="746"/>
      <c r="M276" s="746"/>
      <c r="N276" s="746"/>
      <c r="O276" s="745"/>
      <c r="P276" s="745"/>
      <c r="Q276" s="745"/>
    </row>
    <row r="277" spans="1:17">
      <c r="A277" s="745"/>
      <c r="B277" s="746"/>
      <c r="K277" s="746"/>
      <c r="L277" s="746"/>
      <c r="M277" s="746"/>
      <c r="N277" s="746"/>
      <c r="O277" s="745"/>
      <c r="P277" s="745"/>
      <c r="Q277" s="745"/>
    </row>
    <row r="278" spans="1:17">
      <c r="A278" s="745"/>
      <c r="B278" s="746"/>
      <c r="K278" s="746"/>
      <c r="L278" s="746"/>
      <c r="M278" s="746"/>
      <c r="N278" s="746"/>
      <c r="O278" s="745"/>
      <c r="P278" s="745"/>
      <c r="Q278" s="745"/>
    </row>
    <row r="279" spans="1:17">
      <c r="A279" s="745"/>
      <c r="B279" s="746"/>
      <c r="K279" s="746"/>
      <c r="L279" s="746"/>
      <c r="M279" s="746"/>
      <c r="N279" s="746"/>
      <c r="O279" s="745"/>
      <c r="P279" s="745"/>
      <c r="Q279" s="745"/>
    </row>
    <row r="280" spans="1:17">
      <c r="A280" s="745"/>
      <c r="B280" s="746"/>
      <c r="K280" s="746"/>
      <c r="L280" s="746"/>
      <c r="M280" s="746"/>
      <c r="N280" s="746"/>
      <c r="O280" s="745"/>
      <c r="P280" s="745"/>
      <c r="Q280" s="745"/>
    </row>
    <row r="281" spans="1:17">
      <c r="A281" s="745"/>
      <c r="B281" s="746"/>
      <c r="K281" s="746"/>
      <c r="L281" s="746"/>
      <c r="M281" s="746"/>
      <c r="N281" s="746"/>
      <c r="O281" s="745"/>
      <c r="P281" s="745"/>
      <c r="Q281" s="745"/>
    </row>
    <row r="282" spans="1:17">
      <c r="A282" s="745"/>
      <c r="B282" s="746"/>
      <c r="K282" s="746"/>
      <c r="L282" s="746"/>
      <c r="M282" s="746"/>
      <c r="N282" s="746"/>
      <c r="O282" s="745"/>
      <c r="P282" s="745"/>
      <c r="Q282" s="745"/>
    </row>
    <row r="283" spans="1:17">
      <c r="A283" s="745"/>
      <c r="B283" s="746"/>
      <c r="K283" s="746"/>
      <c r="L283" s="746"/>
      <c r="M283" s="746"/>
      <c r="N283" s="746"/>
      <c r="O283" s="745"/>
      <c r="P283" s="745"/>
      <c r="Q283" s="745"/>
    </row>
    <row r="284" spans="1:17">
      <c r="A284" s="745"/>
      <c r="B284" s="746"/>
      <c r="K284" s="746"/>
      <c r="L284" s="746"/>
      <c r="M284" s="746"/>
      <c r="N284" s="746"/>
      <c r="O284" s="745"/>
      <c r="P284" s="745"/>
      <c r="Q284" s="745"/>
    </row>
    <row r="285" spans="1:17">
      <c r="A285" s="745"/>
      <c r="B285" s="746"/>
      <c r="K285" s="746"/>
      <c r="L285" s="746"/>
      <c r="M285" s="746"/>
      <c r="N285" s="746"/>
      <c r="O285" s="745"/>
      <c r="P285" s="745"/>
      <c r="Q285" s="745"/>
    </row>
    <row r="286" spans="1:17">
      <c r="A286" s="745"/>
      <c r="B286" s="746"/>
      <c r="K286" s="746"/>
      <c r="L286" s="746"/>
      <c r="M286" s="746"/>
      <c r="N286" s="746"/>
      <c r="O286" s="745"/>
      <c r="P286" s="745"/>
      <c r="Q286" s="745"/>
    </row>
    <row r="287" spans="1:17">
      <c r="A287" s="745"/>
      <c r="B287" s="746"/>
      <c r="K287" s="746"/>
      <c r="L287" s="746"/>
      <c r="M287" s="746"/>
      <c r="N287" s="746"/>
      <c r="O287" s="745"/>
      <c r="P287" s="745"/>
      <c r="Q287" s="745"/>
    </row>
    <row r="288" spans="1:17">
      <c r="A288" s="745"/>
      <c r="B288" s="746"/>
      <c r="K288" s="746"/>
      <c r="L288" s="746"/>
      <c r="M288" s="746"/>
      <c r="N288" s="746"/>
      <c r="O288" s="745"/>
      <c r="P288" s="745"/>
      <c r="Q288" s="745"/>
    </row>
    <row r="289" spans="1:17">
      <c r="A289" s="745"/>
      <c r="B289" s="746"/>
      <c r="K289" s="746"/>
      <c r="L289" s="746"/>
      <c r="M289" s="746"/>
      <c r="N289" s="746"/>
      <c r="O289" s="745"/>
      <c r="P289" s="745"/>
      <c r="Q289" s="745"/>
    </row>
    <row r="290" spans="1:17">
      <c r="A290" s="745"/>
      <c r="B290" s="746"/>
      <c r="K290" s="746"/>
      <c r="L290" s="746"/>
      <c r="M290" s="746"/>
      <c r="N290" s="746"/>
      <c r="O290" s="745"/>
      <c r="P290" s="745"/>
      <c r="Q290" s="745"/>
    </row>
    <row r="291" spans="1:17">
      <c r="A291" s="745"/>
      <c r="B291" s="746"/>
      <c r="K291" s="746"/>
      <c r="L291" s="746"/>
      <c r="M291" s="746"/>
      <c r="N291" s="746"/>
      <c r="O291" s="745"/>
      <c r="P291" s="745"/>
      <c r="Q291" s="745"/>
    </row>
    <row r="292" spans="1:17">
      <c r="A292" s="745"/>
      <c r="B292" s="746"/>
      <c r="K292" s="746"/>
      <c r="L292" s="746"/>
      <c r="M292" s="746"/>
      <c r="N292" s="746"/>
      <c r="O292" s="745"/>
      <c r="P292" s="745"/>
      <c r="Q292" s="745"/>
    </row>
    <row r="293" spans="1:17">
      <c r="A293" s="745"/>
      <c r="B293" s="746"/>
      <c r="K293" s="746"/>
      <c r="L293" s="746"/>
      <c r="M293" s="746"/>
      <c r="N293" s="746"/>
      <c r="O293" s="745"/>
      <c r="P293" s="745"/>
      <c r="Q293" s="745"/>
    </row>
    <row r="294" spans="1:17">
      <c r="A294" s="745"/>
      <c r="B294" s="746"/>
      <c r="K294" s="746"/>
      <c r="L294" s="746"/>
      <c r="M294" s="746"/>
      <c r="N294" s="746"/>
      <c r="O294" s="745"/>
      <c r="P294" s="745"/>
      <c r="Q294" s="745"/>
    </row>
    <row r="295" spans="1:17">
      <c r="A295" s="745"/>
      <c r="B295" s="746"/>
      <c r="K295" s="746"/>
      <c r="L295" s="746"/>
      <c r="M295" s="746"/>
      <c r="N295" s="746"/>
      <c r="O295" s="745"/>
      <c r="P295" s="745"/>
      <c r="Q295" s="745"/>
    </row>
    <row r="296" spans="1:17">
      <c r="A296" s="745"/>
      <c r="B296" s="746"/>
      <c r="K296" s="746"/>
      <c r="L296" s="746"/>
      <c r="M296" s="746"/>
      <c r="N296" s="746"/>
      <c r="O296" s="745"/>
      <c r="P296" s="745"/>
      <c r="Q296" s="745"/>
    </row>
    <row r="297" spans="1:17">
      <c r="A297" s="745"/>
      <c r="B297" s="746"/>
      <c r="K297" s="746"/>
      <c r="L297" s="746"/>
      <c r="M297" s="746"/>
      <c r="N297" s="746"/>
      <c r="O297" s="745"/>
      <c r="P297" s="745"/>
      <c r="Q297" s="745"/>
    </row>
    <row r="298" spans="1:17">
      <c r="A298" s="745"/>
      <c r="B298" s="746"/>
      <c r="K298" s="746"/>
      <c r="L298" s="746"/>
      <c r="M298" s="746"/>
      <c r="N298" s="746"/>
      <c r="O298" s="745"/>
      <c r="P298" s="745"/>
      <c r="Q298" s="745"/>
    </row>
    <row r="299" spans="1:17">
      <c r="A299" s="745"/>
      <c r="B299" s="746"/>
      <c r="K299" s="746"/>
      <c r="L299" s="746"/>
      <c r="M299" s="746"/>
      <c r="N299" s="746"/>
      <c r="O299" s="745"/>
      <c r="P299" s="745"/>
      <c r="Q299" s="745"/>
    </row>
    <row r="300" spans="1:17">
      <c r="A300" s="745"/>
      <c r="B300" s="746"/>
      <c r="K300" s="746"/>
      <c r="L300" s="746"/>
      <c r="M300" s="746"/>
      <c r="N300" s="746"/>
      <c r="O300" s="745"/>
      <c r="P300" s="745"/>
      <c r="Q300" s="745"/>
    </row>
    <row r="301" spans="1:17">
      <c r="A301" s="745"/>
      <c r="B301" s="746"/>
      <c r="K301" s="746"/>
      <c r="L301" s="746"/>
      <c r="M301" s="746"/>
      <c r="N301" s="746"/>
      <c r="O301" s="745"/>
      <c r="P301" s="745"/>
      <c r="Q301" s="745"/>
    </row>
    <row r="302" spans="1:17">
      <c r="A302" s="745"/>
      <c r="B302" s="746"/>
      <c r="K302" s="746"/>
      <c r="L302" s="746"/>
      <c r="M302" s="746"/>
      <c r="N302" s="746"/>
      <c r="O302" s="745"/>
      <c r="P302" s="745"/>
      <c r="Q302" s="745"/>
    </row>
    <row r="303" spans="1:17">
      <c r="A303" s="745"/>
      <c r="B303" s="746"/>
      <c r="K303" s="746"/>
      <c r="L303" s="746"/>
      <c r="M303" s="746"/>
      <c r="N303" s="746"/>
      <c r="O303" s="745"/>
      <c r="P303" s="745"/>
      <c r="Q303" s="745"/>
    </row>
    <row r="304" spans="1:17">
      <c r="A304" s="745"/>
      <c r="B304" s="746"/>
      <c r="K304" s="746"/>
      <c r="L304" s="746"/>
      <c r="M304" s="746"/>
      <c r="N304" s="746"/>
      <c r="O304" s="745"/>
      <c r="P304" s="745"/>
      <c r="Q304" s="745"/>
    </row>
    <row r="305" spans="1:17">
      <c r="A305" s="745"/>
      <c r="B305" s="746"/>
      <c r="K305" s="746"/>
      <c r="L305" s="746"/>
      <c r="M305" s="746"/>
      <c r="N305" s="746"/>
      <c r="O305" s="745"/>
      <c r="P305" s="745"/>
      <c r="Q305" s="745"/>
    </row>
    <row r="306" spans="1:17">
      <c r="A306" s="745"/>
      <c r="B306" s="746"/>
      <c r="K306" s="746"/>
      <c r="L306" s="746"/>
      <c r="M306" s="746"/>
      <c r="N306" s="746"/>
      <c r="O306" s="745"/>
      <c r="P306" s="745"/>
      <c r="Q306" s="745"/>
    </row>
    <row r="307" spans="1:17">
      <c r="A307" s="745"/>
      <c r="B307" s="746"/>
      <c r="K307" s="746"/>
      <c r="L307" s="746"/>
      <c r="M307" s="746"/>
      <c r="N307" s="746"/>
      <c r="O307" s="745"/>
      <c r="P307" s="745"/>
      <c r="Q307" s="745"/>
    </row>
    <row r="308" spans="1:17">
      <c r="A308" s="745"/>
      <c r="B308" s="746"/>
      <c r="K308" s="746"/>
      <c r="L308" s="746"/>
      <c r="M308" s="746"/>
      <c r="N308" s="746"/>
      <c r="O308" s="745"/>
      <c r="P308" s="745"/>
      <c r="Q308" s="745"/>
    </row>
    <row r="309" spans="1:17">
      <c r="A309" s="745"/>
      <c r="B309" s="746"/>
      <c r="K309" s="746"/>
      <c r="L309" s="746"/>
      <c r="M309" s="746"/>
      <c r="N309" s="746"/>
      <c r="O309" s="745"/>
      <c r="P309" s="745"/>
      <c r="Q309" s="745"/>
    </row>
    <row r="310" spans="1:17">
      <c r="A310" s="745"/>
      <c r="B310" s="746"/>
      <c r="K310" s="746"/>
      <c r="L310" s="746"/>
      <c r="M310" s="746"/>
      <c r="N310" s="746"/>
      <c r="O310" s="745"/>
      <c r="P310" s="745"/>
      <c r="Q310" s="745"/>
    </row>
    <row r="311" spans="1:17">
      <c r="A311" s="745"/>
      <c r="B311" s="746"/>
      <c r="K311" s="746"/>
      <c r="L311" s="746"/>
      <c r="M311" s="746"/>
      <c r="N311" s="746"/>
      <c r="O311" s="745"/>
      <c r="P311" s="745"/>
      <c r="Q311" s="745"/>
    </row>
    <row r="312" spans="1:17">
      <c r="A312" s="745"/>
      <c r="B312" s="746"/>
      <c r="K312" s="746"/>
      <c r="L312" s="746"/>
      <c r="M312" s="746"/>
      <c r="N312" s="746"/>
      <c r="O312" s="745"/>
      <c r="P312" s="745"/>
      <c r="Q312" s="745"/>
    </row>
    <row r="313" spans="1:17">
      <c r="A313" s="745"/>
      <c r="B313" s="746"/>
      <c r="K313" s="746"/>
      <c r="L313" s="746"/>
      <c r="M313" s="746"/>
      <c r="N313" s="746"/>
      <c r="O313" s="745"/>
      <c r="P313" s="745"/>
      <c r="Q313" s="745"/>
    </row>
    <row r="314" spans="1:17">
      <c r="A314" s="745"/>
      <c r="B314" s="746"/>
      <c r="K314" s="746"/>
      <c r="L314" s="746"/>
      <c r="M314" s="746"/>
      <c r="N314" s="746"/>
      <c r="O314" s="745"/>
      <c r="P314" s="745"/>
      <c r="Q314" s="745"/>
    </row>
    <row r="315" spans="1:17">
      <c r="A315" s="745"/>
      <c r="B315" s="746"/>
      <c r="K315" s="746"/>
      <c r="L315" s="746"/>
      <c r="M315" s="746"/>
      <c r="N315" s="746"/>
      <c r="O315" s="745"/>
      <c r="P315" s="745"/>
      <c r="Q315" s="745"/>
    </row>
    <row r="316" spans="1:17">
      <c r="A316" s="745"/>
      <c r="B316" s="746"/>
      <c r="K316" s="746"/>
      <c r="L316" s="746"/>
      <c r="M316" s="746"/>
      <c r="N316" s="746"/>
      <c r="O316" s="745"/>
      <c r="P316" s="745"/>
      <c r="Q316" s="745"/>
    </row>
    <row r="317" spans="1:17">
      <c r="A317" s="745"/>
      <c r="B317" s="746"/>
      <c r="K317" s="746"/>
      <c r="L317" s="746"/>
      <c r="M317" s="746"/>
      <c r="N317" s="746"/>
      <c r="O317" s="745"/>
      <c r="P317" s="745"/>
      <c r="Q317" s="745"/>
    </row>
    <row r="318" spans="1:17">
      <c r="A318" s="745"/>
      <c r="B318" s="746"/>
      <c r="K318" s="746"/>
      <c r="L318" s="746"/>
      <c r="M318" s="746"/>
      <c r="N318" s="746"/>
      <c r="O318" s="745"/>
      <c r="P318" s="745"/>
      <c r="Q318" s="745"/>
    </row>
    <row r="319" spans="1:17">
      <c r="A319" s="745"/>
      <c r="B319" s="746"/>
      <c r="K319" s="746"/>
      <c r="L319" s="746"/>
      <c r="M319" s="746"/>
      <c r="N319" s="746"/>
      <c r="O319" s="745"/>
      <c r="P319" s="745"/>
      <c r="Q319" s="745"/>
    </row>
    <row r="320" spans="1:17">
      <c r="A320" s="745"/>
      <c r="B320" s="746"/>
      <c r="K320" s="746"/>
      <c r="L320" s="746"/>
      <c r="M320" s="746"/>
      <c r="N320" s="746"/>
      <c r="O320" s="745"/>
      <c r="P320" s="745"/>
      <c r="Q320" s="745"/>
    </row>
    <row r="321" spans="1:17">
      <c r="A321" s="745"/>
      <c r="B321" s="746"/>
      <c r="K321" s="746"/>
      <c r="L321" s="746"/>
      <c r="M321" s="746"/>
      <c r="N321" s="746"/>
      <c r="O321" s="745"/>
      <c r="P321" s="745"/>
      <c r="Q321" s="745"/>
    </row>
    <row r="322" spans="1:17">
      <c r="A322" s="745"/>
      <c r="B322" s="746"/>
      <c r="K322" s="746"/>
      <c r="L322" s="746"/>
      <c r="M322" s="746"/>
      <c r="N322" s="746"/>
      <c r="O322" s="745"/>
      <c r="P322" s="745"/>
      <c r="Q322" s="745"/>
    </row>
    <row r="323" spans="1:17">
      <c r="A323" s="745"/>
      <c r="B323" s="746"/>
      <c r="K323" s="746"/>
      <c r="L323" s="746"/>
      <c r="M323" s="746"/>
      <c r="N323" s="746"/>
      <c r="O323" s="745"/>
      <c r="P323" s="745"/>
      <c r="Q323" s="745"/>
    </row>
    <row r="324" spans="1:17">
      <c r="A324" s="745"/>
      <c r="B324" s="746"/>
      <c r="K324" s="746"/>
      <c r="L324" s="746"/>
      <c r="M324" s="746"/>
      <c r="N324" s="746"/>
      <c r="O324" s="745"/>
      <c r="P324" s="745"/>
      <c r="Q324" s="745"/>
    </row>
    <row r="325" spans="1:17">
      <c r="A325" s="745"/>
      <c r="B325" s="746"/>
      <c r="K325" s="746"/>
      <c r="L325" s="746"/>
      <c r="M325" s="746"/>
      <c r="N325" s="746"/>
      <c r="O325" s="745"/>
      <c r="P325" s="745"/>
      <c r="Q325" s="745"/>
    </row>
    <row r="326" spans="1:17">
      <c r="A326" s="745"/>
      <c r="B326" s="746"/>
      <c r="K326" s="746"/>
      <c r="L326" s="746"/>
      <c r="M326" s="746"/>
      <c r="N326" s="746"/>
      <c r="O326" s="745"/>
      <c r="P326" s="745"/>
      <c r="Q326" s="745"/>
    </row>
    <row r="327" spans="1:17">
      <c r="A327" s="745"/>
      <c r="B327" s="746"/>
      <c r="K327" s="746"/>
      <c r="L327" s="746"/>
      <c r="M327" s="746"/>
      <c r="N327" s="746"/>
      <c r="O327" s="745"/>
      <c r="P327" s="745"/>
      <c r="Q327" s="745"/>
    </row>
    <row r="328" spans="1:17">
      <c r="A328" s="745"/>
      <c r="B328" s="746"/>
      <c r="K328" s="746"/>
      <c r="L328" s="746"/>
      <c r="M328" s="746"/>
      <c r="N328" s="746"/>
      <c r="O328" s="745"/>
      <c r="P328" s="745"/>
      <c r="Q328" s="745"/>
    </row>
    <row r="329" spans="1:17">
      <c r="A329" s="745"/>
      <c r="B329" s="746"/>
      <c r="K329" s="746"/>
      <c r="L329" s="746"/>
      <c r="M329" s="746"/>
      <c r="N329" s="746"/>
      <c r="O329" s="745"/>
      <c r="P329" s="745"/>
      <c r="Q329" s="745"/>
    </row>
    <row r="330" spans="1:17">
      <c r="A330" s="745"/>
      <c r="B330" s="746"/>
      <c r="K330" s="746"/>
      <c r="L330" s="746"/>
      <c r="M330" s="746"/>
      <c r="N330" s="746"/>
      <c r="O330" s="745"/>
      <c r="P330" s="745"/>
      <c r="Q330" s="745"/>
    </row>
    <row r="331" spans="1:17">
      <c r="A331" s="745"/>
      <c r="B331" s="746"/>
      <c r="K331" s="746"/>
      <c r="L331" s="746"/>
      <c r="M331" s="746"/>
      <c r="N331" s="746"/>
      <c r="O331" s="745"/>
      <c r="P331" s="745"/>
      <c r="Q331" s="745"/>
    </row>
    <row r="332" spans="1:17">
      <c r="A332" s="745"/>
      <c r="B332" s="746"/>
      <c r="K332" s="746"/>
      <c r="L332" s="746"/>
      <c r="M332" s="746"/>
      <c r="N332" s="746"/>
      <c r="O332" s="745"/>
      <c r="P332" s="745"/>
      <c r="Q332" s="745"/>
    </row>
    <row r="333" spans="1:17">
      <c r="A333" s="745"/>
      <c r="B333" s="746"/>
      <c r="K333" s="746"/>
      <c r="L333" s="746"/>
      <c r="M333" s="746"/>
      <c r="N333" s="746"/>
      <c r="O333" s="745"/>
      <c r="P333" s="745"/>
      <c r="Q333" s="745"/>
    </row>
    <row r="334" spans="1:17">
      <c r="A334" s="745"/>
      <c r="B334" s="746"/>
      <c r="K334" s="746"/>
      <c r="L334" s="746"/>
      <c r="M334" s="746"/>
      <c r="N334" s="746"/>
      <c r="O334" s="745"/>
      <c r="P334" s="745"/>
      <c r="Q334" s="745"/>
    </row>
    <row r="335" spans="1:17">
      <c r="A335" s="745"/>
      <c r="B335" s="746"/>
      <c r="K335" s="746"/>
      <c r="L335" s="746"/>
      <c r="M335" s="746"/>
      <c r="N335" s="746"/>
      <c r="O335" s="745"/>
      <c r="P335" s="745"/>
      <c r="Q335" s="745"/>
    </row>
    <row r="336" spans="1:17">
      <c r="A336" s="745"/>
      <c r="B336" s="746"/>
      <c r="K336" s="746"/>
      <c r="L336" s="746"/>
      <c r="M336" s="746"/>
      <c r="N336" s="746"/>
      <c r="O336" s="745"/>
      <c r="P336" s="745"/>
      <c r="Q336" s="745"/>
    </row>
    <row r="337" spans="1:17">
      <c r="A337" s="745"/>
      <c r="B337" s="746"/>
      <c r="K337" s="746"/>
      <c r="L337" s="746"/>
      <c r="M337" s="746"/>
      <c r="N337" s="746"/>
      <c r="O337" s="745"/>
      <c r="P337" s="745"/>
      <c r="Q337" s="745"/>
    </row>
    <row r="338" spans="1:17">
      <c r="A338" s="745"/>
      <c r="B338" s="746"/>
      <c r="K338" s="746"/>
      <c r="L338" s="746"/>
      <c r="M338" s="746"/>
      <c r="N338" s="746"/>
      <c r="O338" s="745"/>
      <c r="P338" s="745"/>
      <c r="Q338" s="745"/>
    </row>
    <row r="339" spans="1:17">
      <c r="A339" s="745"/>
      <c r="B339" s="746"/>
      <c r="K339" s="746"/>
      <c r="L339" s="746"/>
      <c r="M339" s="746"/>
      <c r="N339" s="746"/>
      <c r="O339" s="745"/>
      <c r="P339" s="745"/>
      <c r="Q339" s="745"/>
    </row>
    <row r="340" spans="1:17">
      <c r="A340" s="745"/>
      <c r="B340" s="746"/>
      <c r="K340" s="746"/>
      <c r="L340" s="746"/>
      <c r="M340" s="746"/>
      <c r="N340" s="746"/>
      <c r="O340" s="745"/>
      <c r="P340" s="745"/>
      <c r="Q340" s="745"/>
    </row>
    <row r="341" spans="1:17">
      <c r="A341" s="745"/>
      <c r="B341" s="746"/>
      <c r="K341" s="746"/>
      <c r="L341" s="746"/>
      <c r="M341" s="746"/>
      <c r="N341" s="746"/>
      <c r="O341" s="745"/>
      <c r="P341" s="745"/>
      <c r="Q341" s="745"/>
    </row>
    <row r="342" spans="1:17">
      <c r="A342" s="745"/>
      <c r="B342" s="746"/>
      <c r="K342" s="746"/>
      <c r="L342" s="746"/>
      <c r="M342" s="746"/>
      <c r="N342" s="746"/>
      <c r="O342" s="745"/>
      <c r="P342" s="745"/>
      <c r="Q342" s="745"/>
    </row>
    <row r="343" spans="1:17">
      <c r="A343" s="745"/>
      <c r="B343" s="746"/>
      <c r="K343" s="746"/>
      <c r="L343" s="746"/>
      <c r="M343" s="746"/>
      <c r="N343" s="746"/>
      <c r="O343" s="745"/>
      <c r="P343" s="745"/>
      <c r="Q343" s="745"/>
    </row>
    <row r="344" spans="1:17">
      <c r="A344" s="745"/>
      <c r="B344" s="746"/>
      <c r="K344" s="746"/>
      <c r="L344" s="746"/>
      <c r="M344" s="746"/>
      <c r="N344" s="746"/>
      <c r="O344" s="745"/>
      <c r="P344" s="745"/>
      <c r="Q344" s="745"/>
    </row>
    <row r="345" spans="1:17">
      <c r="A345" s="745"/>
      <c r="B345" s="746"/>
      <c r="K345" s="746"/>
      <c r="L345" s="746"/>
      <c r="M345" s="746"/>
      <c r="N345" s="746"/>
      <c r="O345" s="745"/>
      <c r="P345" s="745"/>
      <c r="Q345" s="745"/>
    </row>
    <row r="346" spans="1:17">
      <c r="A346" s="745"/>
      <c r="B346" s="746"/>
      <c r="K346" s="746"/>
      <c r="L346" s="746"/>
      <c r="M346" s="746"/>
      <c r="N346" s="746"/>
      <c r="O346" s="745"/>
      <c r="P346" s="745"/>
      <c r="Q346" s="745"/>
    </row>
    <row r="347" spans="1:17">
      <c r="A347" s="745"/>
      <c r="B347" s="746"/>
      <c r="K347" s="746"/>
      <c r="L347" s="746"/>
      <c r="M347" s="746"/>
      <c r="N347" s="746"/>
      <c r="O347" s="745"/>
      <c r="P347" s="745"/>
      <c r="Q347" s="745"/>
    </row>
    <row r="348" spans="1:17">
      <c r="A348" s="745"/>
      <c r="B348" s="746"/>
      <c r="K348" s="746"/>
      <c r="L348" s="746"/>
      <c r="M348" s="746"/>
      <c r="N348" s="746"/>
      <c r="O348" s="745"/>
      <c r="P348" s="745"/>
      <c r="Q348" s="745"/>
    </row>
    <row r="349" spans="1:17">
      <c r="A349" s="745"/>
      <c r="B349" s="746"/>
      <c r="K349" s="746"/>
      <c r="L349" s="746"/>
      <c r="M349" s="746"/>
      <c r="N349" s="746"/>
      <c r="O349" s="745"/>
      <c r="P349" s="745"/>
      <c r="Q349" s="745"/>
    </row>
    <row r="350" spans="1:17">
      <c r="A350" s="745"/>
      <c r="B350" s="746"/>
      <c r="K350" s="746"/>
      <c r="L350" s="746"/>
      <c r="M350" s="746"/>
      <c r="N350" s="746"/>
      <c r="O350" s="745"/>
      <c r="P350" s="745"/>
      <c r="Q350" s="745"/>
    </row>
    <row r="351" spans="1:17">
      <c r="A351" s="745"/>
      <c r="B351" s="746"/>
      <c r="K351" s="746"/>
      <c r="L351" s="746"/>
      <c r="M351" s="746"/>
      <c r="N351" s="746"/>
      <c r="O351" s="745"/>
      <c r="P351" s="745"/>
      <c r="Q351" s="745"/>
    </row>
    <row r="352" spans="1:17">
      <c r="A352" s="745"/>
      <c r="B352" s="746"/>
      <c r="K352" s="746"/>
      <c r="L352" s="746"/>
      <c r="M352" s="746"/>
      <c r="N352" s="746"/>
      <c r="O352" s="745"/>
      <c r="P352" s="745"/>
      <c r="Q352" s="745"/>
    </row>
    <row r="353" spans="1:17">
      <c r="A353" s="745"/>
      <c r="B353" s="746"/>
      <c r="K353" s="746"/>
      <c r="L353" s="746"/>
      <c r="M353" s="746"/>
      <c r="N353" s="746"/>
      <c r="O353" s="745"/>
      <c r="P353" s="745"/>
      <c r="Q353" s="745"/>
    </row>
    <row r="354" spans="1:17">
      <c r="A354" s="745"/>
      <c r="B354" s="746"/>
      <c r="K354" s="746"/>
      <c r="L354" s="746"/>
      <c r="M354" s="746"/>
      <c r="N354" s="746"/>
      <c r="O354" s="745"/>
      <c r="P354" s="745"/>
      <c r="Q354" s="745"/>
    </row>
    <row r="355" spans="1:17">
      <c r="A355" s="745"/>
      <c r="B355" s="746"/>
      <c r="K355" s="746"/>
      <c r="L355" s="746"/>
      <c r="M355" s="746"/>
      <c r="N355" s="746"/>
      <c r="O355" s="745"/>
      <c r="P355" s="745"/>
      <c r="Q355" s="745"/>
    </row>
    <row r="356" spans="1:17">
      <c r="B356" s="746"/>
      <c r="K356" s="746"/>
      <c r="L356" s="746"/>
      <c r="M356" s="746"/>
      <c r="N356" s="746"/>
    </row>
    <row r="357" spans="1:17" ht="13.5" thickBot="1">
      <c r="B357" s="746"/>
      <c r="K357" s="746"/>
      <c r="L357" s="746"/>
      <c r="M357" s="746"/>
      <c r="N357" s="746"/>
    </row>
    <row r="358" spans="1:17">
      <c r="A358" s="1025"/>
      <c r="B358" s="900"/>
      <c r="C358" s="1026"/>
      <c r="D358" s="901"/>
      <c r="E358" s="901"/>
      <c r="F358" s="901"/>
      <c r="G358" s="901"/>
      <c r="H358" s="901"/>
      <c r="I358" s="901"/>
      <c r="J358" s="901"/>
      <c r="K358" s="901"/>
      <c r="L358" s="901"/>
      <c r="M358" s="901"/>
      <c r="N358" s="901"/>
      <c r="O358" s="1027"/>
      <c r="P358" s="902"/>
      <c r="Q358" s="902"/>
    </row>
    <row r="359" spans="1:17">
      <c r="A359" s="1028"/>
      <c r="B359" s="746"/>
      <c r="K359" s="746"/>
      <c r="L359" s="746"/>
      <c r="M359" s="746"/>
      <c r="N359" s="746"/>
      <c r="O359" s="1029"/>
      <c r="P359" s="1116"/>
      <c r="Q359" s="1116"/>
    </row>
    <row r="360" spans="1:17">
      <c r="A360" s="1028"/>
      <c r="B360" s="746"/>
      <c r="K360" s="746"/>
      <c r="L360" s="746"/>
      <c r="M360" s="746"/>
      <c r="N360" s="746"/>
      <c r="O360" s="1029"/>
      <c r="P360" s="1116"/>
      <c r="Q360" s="1116"/>
    </row>
    <row r="361" spans="1:17">
      <c r="A361" s="1028"/>
      <c r="B361" s="746"/>
      <c r="K361" s="746"/>
      <c r="L361" s="746"/>
      <c r="M361" s="746"/>
      <c r="N361" s="746"/>
      <c r="O361" s="1029"/>
      <c r="P361" s="1116"/>
      <c r="Q361" s="1116"/>
    </row>
    <row r="362" spans="1:17">
      <c r="A362" s="1028"/>
      <c r="B362" s="746"/>
      <c r="K362" s="746"/>
      <c r="L362" s="746"/>
      <c r="M362" s="746"/>
      <c r="N362" s="746"/>
      <c r="O362" s="1029"/>
      <c r="P362" s="1116"/>
      <c r="Q362" s="1116"/>
    </row>
    <row r="363" spans="1:17">
      <c r="A363" s="1028"/>
      <c r="B363" s="746"/>
      <c r="K363" s="746"/>
      <c r="L363" s="746"/>
      <c r="M363" s="746"/>
      <c r="N363" s="746"/>
      <c r="O363" s="1029"/>
      <c r="P363" s="1116"/>
      <c r="Q363" s="1116"/>
    </row>
    <row r="364" spans="1:17">
      <c r="A364" s="1028"/>
      <c r="B364" s="746"/>
      <c r="K364" s="746"/>
      <c r="L364" s="746"/>
      <c r="M364" s="746"/>
      <c r="N364" s="746"/>
      <c r="O364" s="1029"/>
      <c r="P364" s="1116"/>
      <c r="Q364" s="1116"/>
    </row>
    <row r="365" spans="1:17">
      <c r="A365" s="1028"/>
      <c r="B365" s="746"/>
      <c r="K365" s="746"/>
      <c r="L365" s="746"/>
      <c r="M365" s="746"/>
      <c r="N365" s="746"/>
      <c r="O365" s="1029"/>
      <c r="P365" s="1116"/>
      <c r="Q365" s="1116"/>
    </row>
    <row r="366" spans="1:17">
      <c r="A366" s="1028"/>
      <c r="B366" s="746"/>
      <c r="K366" s="746"/>
      <c r="L366" s="746"/>
      <c r="M366" s="746"/>
      <c r="N366" s="746"/>
      <c r="O366" s="1029"/>
      <c r="P366" s="1116"/>
      <c r="Q366" s="1116"/>
    </row>
    <row r="367" spans="1:17">
      <c r="A367" s="1028"/>
      <c r="B367" s="746"/>
      <c r="K367" s="746"/>
      <c r="L367" s="746"/>
      <c r="M367" s="746"/>
      <c r="N367" s="746"/>
      <c r="O367" s="1029"/>
      <c r="P367" s="1116"/>
      <c r="Q367" s="1116"/>
    </row>
    <row r="368" spans="1:17">
      <c r="A368" s="1028"/>
      <c r="B368" s="746"/>
      <c r="K368" s="746"/>
      <c r="L368" s="746"/>
      <c r="M368" s="746"/>
      <c r="N368" s="746"/>
      <c r="O368" s="1029"/>
      <c r="P368" s="1116"/>
      <c r="Q368" s="1116"/>
    </row>
    <row r="369" spans="1:17" ht="13.5" thickBot="1">
      <c r="A369" s="1030"/>
      <c r="B369" s="903"/>
      <c r="C369" s="1031"/>
      <c r="D369" s="903"/>
      <c r="E369" s="903"/>
      <c r="F369" s="903"/>
      <c r="G369" s="903"/>
      <c r="H369" s="903"/>
      <c r="I369" s="903"/>
      <c r="J369" s="903"/>
      <c r="K369" s="903"/>
      <c r="L369" s="903"/>
      <c r="M369" s="903"/>
      <c r="N369" s="903"/>
      <c r="O369" s="1032"/>
      <c r="P369" s="456"/>
      <c r="Q369" s="456"/>
    </row>
    <row r="370" spans="1:17">
      <c r="B370" s="746"/>
      <c r="K370" s="746"/>
      <c r="L370" s="746"/>
      <c r="M370" s="746"/>
      <c r="N370" s="746"/>
    </row>
    <row r="371" spans="1:17">
      <c r="B371" s="746"/>
      <c r="K371" s="746"/>
      <c r="L371" s="746"/>
      <c r="M371" s="746"/>
      <c r="N371" s="746"/>
    </row>
    <row r="372" spans="1:17">
      <c r="A372" s="745"/>
      <c r="B372" s="746"/>
      <c r="K372" s="746"/>
      <c r="L372" s="746"/>
      <c r="M372" s="746"/>
      <c r="N372" s="746"/>
      <c r="O372" s="745"/>
      <c r="P372" s="745"/>
      <c r="Q372" s="745"/>
    </row>
    <row r="373" spans="1:17">
      <c r="A373" s="745"/>
      <c r="B373" s="746"/>
      <c r="K373" s="746"/>
      <c r="L373" s="746"/>
      <c r="M373" s="746"/>
      <c r="N373" s="746"/>
      <c r="O373" s="745"/>
      <c r="P373" s="745"/>
      <c r="Q373" s="745"/>
    </row>
    <row r="374" spans="1:17">
      <c r="A374" s="745"/>
      <c r="B374" s="746"/>
      <c r="K374" s="746"/>
      <c r="L374" s="746"/>
      <c r="M374" s="746"/>
      <c r="N374" s="746"/>
      <c r="O374" s="745"/>
      <c r="P374" s="745"/>
      <c r="Q374" s="745"/>
    </row>
    <row r="375" spans="1:17">
      <c r="A375" s="745"/>
      <c r="B375" s="746"/>
      <c r="K375" s="746"/>
      <c r="L375" s="746"/>
      <c r="M375" s="746"/>
      <c r="N375" s="746"/>
      <c r="O375" s="745"/>
      <c r="P375" s="745"/>
      <c r="Q375" s="745"/>
    </row>
    <row r="376" spans="1:17">
      <c r="A376" s="745"/>
      <c r="B376" s="746"/>
      <c r="K376" s="746"/>
      <c r="L376" s="746"/>
      <c r="M376" s="746"/>
      <c r="N376" s="746"/>
      <c r="O376" s="745"/>
      <c r="P376" s="745"/>
      <c r="Q376" s="745"/>
    </row>
    <row r="377" spans="1:17">
      <c r="A377" s="745"/>
      <c r="B377" s="746"/>
      <c r="K377" s="746"/>
      <c r="L377" s="746"/>
      <c r="M377" s="746"/>
      <c r="N377" s="746"/>
      <c r="O377" s="745"/>
      <c r="P377" s="745"/>
      <c r="Q377" s="745"/>
    </row>
    <row r="378" spans="1:17">
      <c r="A378" s="745"/>
      <c r="B378" s="746"/>
      <c r="K378" s="746"/>
      <c r="L378" s="746"/>
      <c r="M378" s="746"/>
      <c r="N378" s="746"/>
      <c r="O378" s="745"/>
      <c r="P378" s="745"/>
      <c r="Q378" s="745"/>
    </row>
    <row r="379" spans="1:17">
      <c r="A379" s="745"/>
      <c r="B379" s="746"/>
      <c r="K379" s="746"/>
      <c r="L379" s="746"/>
      <c r="M379" s="746"/>
      <c r="N379" s="746"/>
      <c r="O379" s="745"/>
      <c r="P379" s="745"/>
      <c r="Q379" s="745"/>
    </row>
    <row r="380" spans="1:17">
      <c r="A380" s="745"/>
      <c r="B380" s="746"/>
      <c r="K380" s="746"/>
      <c r="L380" s="746"/>
      <c r="M380" s="746"/>
      <c r="N380" s="746"/>
      <c r="O380" s="745"/>
      <c r="P380" s="745"/>
      <c r="Q380" s="745"/>
    </row>
    <row r="381" spans="1:17">
      <c r="A381" s="745"/>
      <c r="B381" s="746"/>
      <c r="K381" s="746"/>
      <c r="L381" s="746"/>
      <c r="M381" s="746"/>
      <c r="N381" s="746"/>
      <c r="O381" s="745"/>
      <c r="P381" s="745"/>
      <c r="Q381" s="745"/>
    </row>
    <row r="382" spans="1:17">
      <c r="A382" s="745"/>
      <c r="B382" s="746"/>
      <c r="K382" s="746"/>
      <c r="L382" s="746"/>
      <c r="M382" s="746"/>
      <c r="N382" s="746"/>
      <c r="O382" s="745"/>
      <c r="P382" s="745"/>
      <c r="Q382" s="745"/>
    </row>
    <row r="383" spans="1:17">
      <c r="A383" s="745"/>
      <c r="B383" s="746"/>
      <c r="K383" s="746"/>
      <c r="L383" s="746"/>
      <c r="M383" s="746"/>
      <c r="N383" s="746"/>
      <c r="O383" s="745"/>
      <c r="P383" s="745"/>
      <c r="Q383" s="745"/>
    </row>
    <row r="384" spans="1:17">
      <c r="A384" s="745"/>
      <c r="B384" s="746"/>
      <c r="K384" s="746"/>
      <c r="L384" s="746"/>
      <c r="M384" s="746"/>
      <c r="N384" s="746"/>
      <c r="O384" s="745"/>
      <c r="P384" s="745"/>
      <c r="Q384" s="745"/>
    </row>
    <row r="385" spans="1:17">
      <c r="A385" s="745"/>
      <c r="B385" s="746"/>
      <c r="K385" s="746"/>
      <c r="L385" s="746"/>
      <c r="M385" s="746"/>
      <c r="N385" s="746"/>
      <c r="O385" s="745"/>
      <c r="P385" s="745"/>
      <c r="Q385" s="745"/>
    </row>
    <row r="386" spans="1:17">
      <c r="A386" s="745"/>
      <c r="B386" s="746"/>
      <c r="K386" s="746"/>
      <c r="L386" s="746"/>
      <c r="M386" s="746"/>
      <c r="N386" s="746"/>
      <c r="O386" s="745"/>
      <c r="P386" s="745"/>
      <c r="Q386" s="745"/>
    </row>
    <row r="387" spans="1:17">
      <c r="A387" s="745"/>
      <c r="B387" s="746"/>
      <c r="K387" s="746"/>
      <c r="L387" s="746"/>
      <c r="M387" s="746"/>
      <c r="N387" s="746"/>
      <c r="O387" s="745"/>
      <c r="P387" s="745"/>
      <c r="Q387" s="745"/>
    </row>
    <row r="388" spans="1:17">
      <c r="A388" s="745"/>
      <c r="B388" s="746"/>
      <c r="K388" s="746"/>
      <c r="L388" s="746"/>
      <c r="M388" s="746"/>
      <c r="N388" s="746"/>
      <c r="O388" s="745"/>
      <c r="P388" s="745"/>
      <c r="Q388" s="745"/>
    </row>
    <row r="389" spans="1:17">
      <c r="A389" s="745"/>
      <c r="B389" s="746"/>
      <c r="K389" s="746"/>
      <c r="L389" s="746"/>
      <c r="M389" s="746"/>
      <c r="N389" s="746"/>
      <c r="O389" s="745"/>
      <c r="P389" s="745"/>
      <c r="Q389" s="745"/>
    </row>
    <row r="390" spans="1:17">
      <c r="A390" s="745"/>
      <c r="B390" s="746"/>
      <c r="K390" s="746"/>
      <c r="L390" s="746"/>
      <c r="M390" s="746"/>
      <c r="N390" s="746"/>
      <c r="O390" s="745"/>
      <c r="P390" s="745"/>
      <c r="Q390" s="745"/>
    </row>
    <row r="391" spans="1:17">
      <c r="A391" s="745"/>
      <c r="B391" s="746"/>
      <c r="K391" s="746"/>
      <c r="L391" s="746"/>
      <c r="M391" s="746"/>
      <c r="N391" s="746"/>
      <c r="O391" s="745"/>
      <c r="P391" s="745"/>
      <c r="Q391" s="745"/>
    </row>
    <row r="392" spans="1:17">
      <c r="A392" s="745"/>
      <c r="B392" s="746"/>
      <c r="K392" s="746"/>
      <c r="L392" s="746"/>
      <c r="M392" s="746"/>
      <c r="N392" s="746"/>
      <c r="O392" s="745"/>
      <c r="P392" s="745"/>
      <c r="Q392" s="745"/>
    </row>
    <row r="393" spans="1:17">
      <c r="A393" s="745"/>
      <c r="B393" s="746"/>
      <c r="K393" s="746"/>
      <c r="L393" s="746"/>
      <c r="M393" s="746"/>
      <c r="N393" s="746"/>
      <c r="O393" s="745"/>
      <c r="P393" s="745"/>
      <c r="Q393" s="745"/>
    </row>
    <row r="394" spans="1:17">
      <c r="A394" s="745"/>
      <c r="B394" s="746"/>
      <c r="K394" s="746"/>
      <c r="L394" s="746"/>
      <c r="M394" s="746"/>
      <c r="N394" s="746"/>
      <c r="O394" s="745"/>
      <c r="P394" s="745"/>
      <c r="Q394" s="745"/>
    </row>
    <row r="395" spans="1:17">
      <c r="A395" s="745"/>
      <c r="B395" s="746"/>
      <c r="K395" s="746"/>
      <c r="L395" s="746"/>
      <c r="M395" s="746"/>
      <c r="N395" s="746"/>
      <c r="O395" s="745"/>
      <c r="P395" s="745"/>
      <c r="Q395" s="745"/>
    </row>
    <row r="396" spans="1:17">
      <c r="A396" s="745"/>
      <c r="B396" s="746"/>
      <c r="K396" s="746"/>
      <c r="L396" s="746"/>
      <c r="M396" s="746"/>
      <c r="N396" s="746"/>
      <c r="O396" s="745"/>
      <c r="P396" s="745"/>
      <c r="Q396" s="745"/>
    </row>
    <row r="397" spans="1:17">
      <c r="A397" s="745"/>
      <c r="B397" s="746"/>
      <c r="K397" s="746"/>
      <c r="L397" s="746"/>
      <c r="M397" s="746"/>
      <c r="N397" s="746"/>
      <c r="O397" s="745"/>
      <c r="P397" s="745"/>
      <c r="Q397" s="745"/>
    </row>
    <row r="398" spans="1:17">
      <c r="A398" s="745"/>
      <c r="B398" s="746"/>
      <c r="K398" s="746"/>
      <c r="L398" s="746"/>
      <c r="M398" s="746"/>
      <c r="N398" s="746"/>
      <c r="O398" s="745"/>
      <c r="P398" s="745"/>
      <c r="Q398" s="745"/>
    </row>
    <row r="399" spans="1:17">
      <c r="A399" s="745"/>
      <c r="B399" s="746"/>
      <c r="K399" s="746"/>
      <c r="L399" s="746"/>
      <c r="M399" s="746"/>
      <c r="N399" s="746"/>
      <c r="O399" s="745"/>
      <c r="P399" s="745"/>
      <c r="Q399" s="745"/>
    </row>
    <row r="400" spans="1:17">
      <c r="A400" s="745"/>
      <c r="B400" s="746"/>
      <c r="K400" s="746"/>
      <c r="L400" s="746"/>
      <c r="M400" s="746"/>
      <c r="N400" s="746"/>
      <c r="O400" s="745"/>
      <c r="P400" s="745"/>
      <c r="Q400" s="745"/>
    </row>
    <row r="401" spans="1:17">
      <c r="A401" s="745"/>
      <c r="B401" s="746"/>
      <c r="K401" s="746"/>
      <c r="L401" s="746"/>
      <c r="M401" s="746"/>
      <c r="N401" s="746"/>
      <c r="O401" s="745"/>
      <c r="P401" s="745"/>
      <c r="Q401" s="745"/>
    </row>
    <row r="402" spans="1:17">
      <c r="A402" s="745"/>
      <c r="B402" s="746"/>
      <c r="K402" s="746"/>
      <c r="L402" s="746"/>
      <c r="M402" s="746"/>
      <c r="N402" s="746"/>
      <c r="O402" s="745"/>
      <c r="P402" s="745"/>
      <c r="Q402" s="745"/>
    </row>
    <row r="403" spans="1:17">
      <c r="A403" s="745"/>
      <c r="B403" s="746"/>
      <c r="K403" s="746"/>
      <c r="L403" s="746"/>
      <c r="M403" s="746"/>
      <c r="N403" s="746"/>
      <c r="O403" s="745"/>
      <c r="P403" s="745"/>
      <c r="Q403" s="745"/>
    </row>
    <row r="404" spans="1:17">
      <c r="A404" s="745"/>
      <c r="B404" s="746"/>
      <c r="K404" s="746"/>
      <c r="L404" s="746"/>
      <c r="M404" s="746"/>
      <c r="N404" s="746"/>
      <c r="O404" s="745"/>
      <c r="P404" s="745"/>
      <c r="Q404" s="745"/>
    </row>
    <row r="405" spans="1:17">
      <c r="A405" s="745"/>
      <c r="B405" s="746"/>
      <c r="K405" s="746"/>
      <c r="L405" s="746"/>
      <c r="M405" s="746"/>
      <c r="N405" s="746"/>
      <c r="O405" s="745"/>
      <c r="P405" s="745"/>
      <c r="Q405" s="745"/>
    </row>
    <row r="406" spans="1:17">
      <c r="A406" s="745"/>
      <c r="B406" s="746"/>
      <c r="K406" s="746"/>
      <c r="L406" s="746"/>
      <c r="M406" s="746"/>
      <c r="N406" s="746"/>
      <c r="O406" s="745"/>
      <c r="P406" s="745"/>
      <c r="Q406" s="745"/>
    </row>
    <row r="407" spans="1:17">
      <c r="A407" s="745"/>
      <c r="B407" s="746"/>
      <c r="K407" s="746"/>
      <c r="L407" s="746"/>
      <c r="M407" s="746"/>
      <c r="N407" s="746"/>
      <c r="O407" s="745"/>
      <c r="P407" s="745"/>
      <c r="Q407" s="745"/>
    </row>
    <row r="408" spans="1:17">
      <c r="A408" s="745"/>
      <c r="B408" s="746"/>
      <c r="K408" s="746"/>
      <c r="L408" s="746"/>
      <c r="M408" s="746"/>
      <c r="N408" s="746"/>
      <c r="O408" s="745"/>
      <c r="P408" s="745"/>
      <c r="Q408" s="745"/>
    </row>
    <row r="409" spans="1:17">
      <c r="A409" s="745"/>
      <c r="B409" s="746"/>
      <c r="K409" s="746"/>
      <c r="L409" s="746"/>
      <c r="M409" s="746"/>
      <c r="N409" s="746"/>
      <c r="O409" s="745"/>
      <c r="P409" s="745"/>
      <c r="Q409" s="745"/>
    </row>
    <row r="410" spans="1:17">
      <c r="A410" s="745"/>
      <c r="B410" s="746"/>
      <c r="K410" s="746"/>
      <c r="L410" s="746"/>
      <c r="M410" s="746"/>
      <c r="N410" s="746"/>
      <c r="O410" s="745"/>
      <c r="P410" s="745"/>
      <c r="Q410" s="745"/>
    </row>
    <row r="411" spans="1:17">
      <c r="A411" s="745"/>
      <c r="B411" s="746"/>
      <c r="K411" s="746"/>
      <c r="L411" s="746"/>
      <c r="M411" s="746"/>
      <c r="N411" s="746"/>
      <c r="O411" s="745"/>
      <c r="P411" s="745"/>
      <c r="Q411" s="745"/>
    </row>
    <row r="412" spans="1:17">
      <c r="A412" s="745"/>
      <c r="B412" s="746"/>
      <c r="K412" s="746"/>
      <c r="L412" s="746"/>
      <c r="M412" s="746"/>
      <c r="N412" s="746"/>
      <c r="O412" s="745"/>
      <c r="P412" s="745"/>
      <c r="Q412" s="745"/>
    </row>
    <row r="413" spans="1:17">
      <c r="A413" s="745"/>
      <c r="B413" s="746"/>
      <c r="K413" s="746"/>
      <c r="L413" s="746"/>
      <c r="M413" s="746"/>
      <c r="N413" s="746"/>
      <c r="O413" s="745"/>
      <c r="P413" s="745"/>
      <c r="Q413" s="745"/>
    </row>
    <row r="414" spans="1:17">
      <c r="A414" s="745"/>
      <c r="B414" s="746"/>
      <c r="K414" s="746"/>
      <c r="L414" s="746"/>
      <c r="M414" s="746"/>
      <c r="N414" s="746"/>
      <c r="O414" s="745"/>
      <c r="P414" s="745"/>
      <c r="Q414" s="745"/>
    </row>
    <row r="415" spans="1:17">
      <c r="A415" s="745"/>
      <c r="B415" s="746"/>
      <c r="K415" s="746"/>
      <c r="L415" s="746"/>
      <c r="M415" s="746"/>
      <c r="N415" s="746"/>
      <c r="O415" s="745"/>
      <c r="P415" s="745"/>
      <c r="Q415" s="745"/>
    </row>
    <row r="416" spans="1:17">
      <c r="A416" s="745"/>
      <c r="B416" s="746"/>
      <c r="K416" s="746"/>
      <c r="L416" s="746"/>
      <c r="M416" s="746"/>
      <c r="N416" s="746"/>
      <c r="O416" s="745"/>
      <c r="P416" s="745"/>
      <c r="Q416" s="745"/>
    </row>
    <row r="417" spans="1:17">
      <c r="A417" s="745"/>
      <c r="B417" s="746"/>
      <c r="K417" s="746"/>
      <c r="L417" s="746"/>
      <c r="M417" s="746"/>
      <c r="N417" s="746"/>
      <c r="O417" s="745"/>
      <c r="P417" s="745"/>
      <c r="Q417" s="745"/>
    </row>
    <row r="418" spans="1:17">
      <c r="A418" s="745"/>
      <c r="B418" s="746"/>
      <c r="K418" s="746"/>
      <c r="L418" s="746"/>
      <c r="M418" s="746"/>
      <c r="N418" s="746"/>
      <c r="O418" s="745"/>
      <c r="P418" s="745"/>
      <c r="Q418" s="745"/>
    </row>
    <row r="419" spans="1:17">
      <c r="A419" s="745"/>
      <c r="B419" s="746"/>
      <c r="K419" s="746"/>
      <c r="L419" s="746"/>
      <c r="M419" s="746"/>
      <c r="N419" s="746"/>
      <c r="O419" s="745"/>
      <c r="P419" s="745"/>
      <c r="Q419" s="745"/>
    </row>
    <row r="420" spans="1:17">
      <c r="A420" s="745"/>
      <c r="B420" s="746"/>
      <c r="K420" s="746"/>
      <c r="L420" s="746"/>
      <c r="M420" s="746"/>
      <c r="N420" s="746"/>
      <c r="O420" s="745"/>
      <c r="P420" s="745"/>
      <c r="Q420" s="745"/>
    </row>
    <row r="421" spans="1:17">
      <c r="A421" s="745"/>
      <c r="B421" s="746"/>
      <c r="K421" s="746"/>
      <c r="L421" s="746"/>
      <c r="M421" s="746"/>
      <c r="N421" s="746"/>
      <c r="O421" s="745"/>
      <c r="P421" s="745"/>
      <c r="Q421" s="745"/>
    </row>
    <row r="422" spans="1:17">
      <c r="A422" s="745"/>
      <c r="B422" s="746"/>
      <c r="K422" s="746"/>
      <c r="L422" s="746"/>
      <c r="M422" s="746"/>
      <c r="N422" s="746"/>
      <c r="O422" s="745"/>
      <c r="P422" s="745"/>
      <c r="Q422" s="745"/>
    </row>
    <row r="423" spans="1:17">
      <c r="A423" s="745"/>
      <c r="B423" s="746"/>
      <c r="K423" s="746"/>
      <c r="L423" s="746"/>
      <c r="M423" s="746"/>
      <c r="N423" s="746"/>
      <c r="O423" s="745"/>
      <c r="P423" s="745"/>
      <c r="Q423" s="745"/>
    </row>
    <row r="424" spans="1:17">
      <c r="A424" s="745"/>
      <c r="B424" s="746"/>
      <c r="K424" s="746"/>
      <c r="L424" s="746"/>
      <c r="M424" s="746"/>
      <c r="N424" s="746"/>
      <c r="O424" s="745"/>
      <c r="P424" s="745"/>
      <c r="Q424" s="745"/>
    </row>
    <row r="425" spans="1:17">
      <c r="A425" s="745"/>
      <c r="B425" s="746"/>
      <c r="K425" s="746"/>
      <c r="L425" s="746"/>
      <c r="M425" s="746"/>
      <c r="N425" s="746"/>
      <c r="O425" s="745"/>
      <c r="P425" s="745"/>
      <c r="Q425" s="745"/>
    </row>
    <row r="426" spans="1:17">
      <c r="A426" s="745"/>
      <c r="B426" s="746"/>
      <c r="K426" s="746"/>
      <c r="L426" s="746"/>
      <c r="M426" s="746"/>
      <c r="N426" s="746"/>
      <c r="O426" s="745"/>
      <c r="P426" s="745"/>
      <c r="Q426" s="745"/>
    </row>
    <row r="427" spans="1:17">
      <c r="A427" s="745"/>
      <c r="B427" s="746"/>
      <c r="K427" s="746"/>
      <c r="L427" s="746"/>
      <c r="M427" s="746"/>
      <c r="N427" s="746"/>
      <c r="O427" s="745"/>
      <c r="P427" s="745"/>
      <c r="Q427" s="745"/>
    </row>
    <row r="428" spans="1:17">
      <c r="A428" s="745"/>
      <c r="B428" s="746"/>
      <c r="K428" s="746"/>
      <c r="L428" s="746"/>
      <c r="M428" s="746"/>
      <c r="N428" s="746"/>
      <c r="O428" s="745"/>
      <c r="P428" s="745"/>
      <c r="Q428" s="745"/>
    </row>
    <row r="429" spans="1:17">
      <c r="A429" s="745"/>
      <c r="B429" s="746"/>
      <c r="K429" s="746"/>
      <c r="L429" s="746"/>
      <c r="M429" s="746"/>
      <c r="N429" s="746"/>
      <c r="O429" s="745"/>
      <c r="P429" s="745"/>
      <c r="Q429" s="745"/>
    </row>
    <row r="430" spans="1:17">
      <c r="A430" s="745"/>
      <c r="B430" s="746"/>
      <c r="K430" s="746"/>
      <c r="L430" s="746"/>
      <c r="M430" s="746"/>
      <c r="N430" s="746"/>
      <c r="O430" s="745"/>
      <c r="P430" s="745"/>
      <c r="Q430" s="745"/>
    </row>
    <row r="431" spans="1:17">
      <c r="A431" s="745"/>
      <c r="B431" s="746"/>
      <c r="K431" s="746"/>
      <c r="L431" s="746"/>
      <c r="M431" s="746"/>
      <c r="N431" s="746"/>
      <c r="O431" s="745"/>
      <c r="P431" s="745"/>
      <c r="Q431" s="745"/>
    </row>
    <row r="432" spans="1:17">
      <c r="A432" s="745"/>
      <c r="B432" s="746"/>
      <c r="K432" s="746"/>
      <c r="L432" s="746"/>
      <c r="M432" s="746"/>
      <c r="N432" s="746"/>
      <c r="O432" s="745"/>
      <c r="P432" s="745"/>
      <c r="Q432" s="745"/>
    </row>
    <row r="433" spans="1:17">
      <c r="A433" s="745"/>
      <c r="B433" s="746"/>
      <c r="K433" s="746"/>
      <c r="L433" s="746"/>
      <c r="M433" s="746"/>
      <c r="N433" s="746"/>
      <c r="O433" s="745"/>
      <c r="P433" s="745"/>
      <c r="Q433" s="745"/>
    </row>
    <row r="434" spans="1:17">
      <c r="A434" s="745"/>
      <c r="B434" s="746"/>
      <c r="K434" s="746"/>
      <c r="L434" s="746"/>
      <c r="M434" s="746"/>
      <c r="N434" s="746"/>
      <c r="O434" s="745"/>
      <c r="P434" s="745"/>
      <c r="Q434" s="745"/>
    </row>
    <row r="435" spans="1:17">
      <c r="A435" s="745"/>
      <c r="B435" s="746"/>
      <c r="K435" s="746"/>
      <c r="L435" s="746"/>
      <c r="M435" s="746"/>
      <c r="N435" s="746"/>
      <c r="O435" s="745"/>
      <c r="P435" s="745"/>
      <c r="Q435" s="745"/>
    </row>
    <row r="436" spans="1:17">
      <c r="A436" s="745"/>
      <c r="B436" s="746"/>
      <c r="K436" s="746"/>
      <c r="L436" s="746"/>
      <c r="M436" s="746"/>
      <c r="N436" s="746"/>
      <c r="O436" s="745"/>
      <c r="P436" s="745"/>
      <c r="Q436" s="745"/>
    </row>
    <row r="437" spans="1:17">
      <c r="A437" s="745"/>
      <c r="B437" s="746"/>
      <c r="K437" s="746"/>
      <c r="L437" s="746"/>
      <c r="M437" s="746"/>
      <c r="N437" s="746"/>
      <c r="O437" s="745"/>
      <c r="P437" s="745"/>
      <c r="Q437" s="745"/>
    </row>
    <row r="438" spans="1:17">
      <c r="A438" s="745"/>
      <c r="B438" s="746"/>
      <c r="K438" s="746"/>
      <c r="L438" s="746"/>
      <c r="M438" s="746"/>
      <c r="N438" s="746"/>
      <c r="O438" s="745"/>
      <c r="P438" s="745"/>
      <c r="Q438" s="745"/>
    </row>
    <row r="439" spans="1:17">
      <c r="A439" s="745"/>
      <c r="B439" s="746"/>
      <c r="K439" s="746"/>
      <c r="L439" s="746"/>
      <c r="M439" s="746"/>
      <c r="N439" s="746"/>
      <c r="O439" s="745"/>
      <c r="P439" s="745"/>
      <c r="Q439" s="745"/>
    </row>
    <row r="440" spans="1:17">
      <c r="A440" s="745"/>
      <c r="B440" s="746"/>
      <c r="K440" s="746"/>
      <c r="L440" s="746"/>
      <c r="M440" s="746"/>
      <c r="N440" s="746"/>
      <c r="O440" s="745"/>
      <c r="P440" s="745"/>
      <c r="Q440" s="745"/>
    </row>
    <row r="441" spans="1:17">
      <c r="A441" s="745"/>
      <c r="B441" s="746"/>
      <c r="K441" s="746"/>
      <c r="L441" s="746"/>
      <c r="M441" s="746"/>
      <c r="N441" s="746"/>
      <c r="O441" s="745"/>
      <c r="P441" s="745"/>
      <c r="Q441" s="745"/>
    </row>
    <row r="442" spans="1:17">
      <c r="A442" s="745"/>
      <c r="B442" s="746"/>
      <c r="K442" s="746"/>
      <c r="L442" s="746"/>
      <c r="M442" s="746"/>
      <c r="N442" s="746"/>
      <c r="O442" s="745"/>
      <c r="P442" s="745"/>
      <c r="Q442" s="745"/>
    </row>
    <row r="443" spans="1:17">
      <c r="A443" s="745"/>
      <c r="B443" s="746"/>
      <c r="K443" s="746"/>
      <c r="L443" s="746"/>
      <c r="M443" s="746"/>
      <c r="N443" s="746"/>
      <c r="O443" s="745"/>
      <c r="P443" s="745"/>
      <c r="Q443" s="745"/>
    </row>
    <row r="444" spans="1:17">
      <c r="A444" s="745"/>
      <c r="B444" s="746"/>
      <c r="K444" s="746"/>
      <c r="L444" s="746"/>
      <c r="M444" s="746"/>
      <c r="N444" s="746"/>
      <c r="O444" s="745"/>
      <c r="P444" s="745"/>
      <c r="Q444" s="745"/>
    </row>
    <row r="445" spans="1:17">
      <c r="A445" s="745"/>
      <c r="B445" s="746"/>
      <c r="K445" s="746"/>
      <c r="L445" s="746"/>
      <c r="M445" s="746"/>
      <c r="N445" s="746"/>
      <c r="O445" s="745"/>
      <c r="P445" s="745"/>
      <c r="Q445" s="745"/>
    </row>
    <row r="446" spans="1:17">
      <c r="A446" s="745"/>
      <c r="B446" s="746"/>
      <c r="K446" s="746"/>
      <c r="L446" s="746"/>
      <c r="M446" s="746"/>
      <c r="N446" s="746"/>
      <c r="O446" s="745"/>
      <c r="P446" s="745"/>
      <c r="Q446" s="745"/>
    </row>
    <row r="447" spans="1:17">
      <c r="A447" s="745"/>
      <c r="B447" s="746"/>
      <c r="K447" s="746"/>
      <c r="L447" s="746"/>
      <c r="M447" s="746"/>
      <c r="N447" s="746"/>
      <c r="O447" s="745"/>
      <c r="P447" s="745"/>
      <c r="Q447" s="745"/>
    </row>
    <row r="448" spans="1:17">
      <c r="A448" s="745"/>
      <c r="B448" s="746"/>
      <c r="K448" s="746"/>
      <c r="L448" s="746"/>
      <c r="M448" s="746"/>
      <c r="N448" s="746"/>
      <c r="O448" s="745"/>
      <c r="P448" s="745"/>
      <c r="Q448" s="745"/>
    </row>
    <row r="449" spans="1:17">
      <c r="A449" s="745"/>
      <c r="B449" s="746"/>
      <c r="K449" s="746"/>
      <c r="L449" s="746"/>
      <c r="M449" s="746"/>
      <c r="N449" s="746"/>
      <c r="O449" s="745"/>
      <c r="P449" s="745"/>
      <c r="Q449" s="745"/>
    </row>
    <row r="450" spans="1:17">
      <c r="A450" s="745"/>
      <c r="B450" s="746"/>
      <c r="K450" s="746"/>
      <c r="L450" s="746"/>
      <c r="M450" s="746"/>
      <c r="N450" s="746"/>
      <c r="O450" s="745"/>
      <c r="P450" s="745"/>
      <c r="Q450" s="745"/>
    </row>
    <row r="451" spans="1:17">
      <c r="A451" s="745"/>
      <c r="B451" s="746"/>
      <c r="K451" s="746"/>
      <c r="L451" s="746"/>
      <c r="M451" s="746"/>
      <c r="N451" s="746"/>
      <c r="O451" s="745"/>
      <c r="P451" s="745"/>
      <c r="Q451" s="745"/>
    </row>
    <row r="452" spans="1:17">
      <c r="A452" s="745"/>
      <c r="B452" s="746"/>
      <c r="K452" s="746"/>
      <c r="L452" s="746"/>
      <c r="M452" s="746"/>
      <c r="N452" s="746"/>
      <c r="O452" s="745"/>
      <c r="P452" s="745"/>
      <c r="Q452" s="745"/>
    </row>
    <row r="453" spans="1:17">
      <c r="A453" s="745"/>
      <c r="B453" s="746"/>
      <c r="K453" s="746"/>
      <c r="L453" s="746"/>
      <c r="M453" s="746"/>
      <c r="N453" s="746"/>
      <c r="O453" s="745"/>
      <c r="P453" s="745"/>
      <c r="Q453" s="745"/>
    </row>
    <row r="454" spans="1:17">
      <c r="A454" s="745"/>
      <c r="B454" s="746"/>
      <c r="K454" s="746"/>
      <c r="L454" s="746"/>
      <c r="M454" s="746"/>
      <c r="N454" s="746"/>
      <c r="O454" s="745"/>
      <c r="P454" s="745"/>
      <c r="Q454" s="745"/>
    </row>
    <row r="455" spans="1:17">
      <c r="A455" s="745"/>
      <c r="B455" s="746"/>
      <c r="K455" s="746"/>
      <c r="L455" s="746"/>
      <c r="M455" s="746"/>
      <c r="N455" s="746"/>
      <c r="O455" s="745"/>
      <c r="P455" s="745"/>
      <c r="Q455" s="745"/>
    </row>
    <row r="456" spans="1:17">
      <c r="A456" s="745"/>
      <c r="B456" s="746"/>
      <c r="K456" s="746"/>
      <c r="L456" s="746"/>
      <c r="M456" s="746"/>
      <c r="N456" s="746"/>
      <c r="O456" s="745"/>
      <c r="P456" s="745"/>
      <c r="Q456" s="745"/>
    </row>
    <row r="457" spans="1:17">
      <c r="A457" s="745"/>
      <c r="B457" s="746"/>
      <c r="K457" s="746"/>
      <c r="L457" s="746"/>
      <c r="M457" s="746"/>
      <c r="N457" s="746"/>
      <c r="O457" s="745"/>
      <c r="P457" s="745"/>
      <c r="Q457" s="745"/>
    </row>
    <row r="458" spans="1:17">
      <c r="A458" s="745"/>
      <c r="B458" s="746"/>
      <c r="K458" s="746"/>
      <c r="L458" s="746"/>
      <c r="M458" s="746"/>
      <c r="N458" s="746"/>
      <c r="O458" s="745"/>
      <c r="P458" s="745"/>
      <c r="Q458" s="745"/>
    </row>
    <row r="459" spans="1:17">
      <c r="A459" s="745"/>
      <c r="B459" s="746"/>
      <c r="K459" s="746"/>
      <c r="L459" s="746"/>
      <c r="M459" s="746"/>
      <c r="N459" s="746"/>
      <c r="O459" s="745"/>
      <c r="P459" s="745"/>
      <c r="Q459" s="745"/>
    </row>
    <row r="460" spans="1:17">
      <c r="A460" s="745"/>
      <c r="B460" s="746"/>
      <c r="K460" s="746"/>
      <c r="L460" s="746"/>
      <c r="M460" s="746"/>
      <c r="N460" s="746"/>
      <c r="O460" s="745"/>
      <c r="P460" s="745"/>
      <c r="Q460" s="745"/>
    </row>
    <row r="461" spans="1:17">
      <c r="A461" s="745"/>
      <c r="B461" s="746"/>
      <c r="K461" s="746"/>
      <c r="L461" s="746"/>
      <c r="M461" s="746"/>
      <c r="N461" s="746"/>
      <c r="O461" s="745"/>
      <c r="P461" s="745"/>
      <c r="Q461" s="745"/>
    </row>
    <row r="462" spans="1:17">
      <c r="A462" s="745"/>
      <c r="B462" s="746"/>
      <c r="K462" s="746"/>
      <c r="L462" s="746"/>
      <c r="M462" s="746"/>
      <c r="N462" s="746"/>
      <c r="O462" s="745"/>
      <c r="P462" s="745"/>
      <c r="Q462" s="745"/>
    </row>
    <row r="463" spans="1:17">
      <c r="A463" s="745"/>
      <c r="B463" s="746"/>
      <c r="K463" s="746"/>
      <c r="L463" s="746"/>
      <c r="M463" s="746"/>
      <c r="N463" s="746"/>
      <c r="O463" s="745"/>
      <c r="P463" s="745"/>
      <c r="Q463" s="745"/>
    </row>
    <row r="464" spans="1:17">
      <c r="A464" s="745"/>
      <c r="B464" s="746"/>
      <c r="K464" s="746"/>
      <c r="L464" s="746"/>
      <c r="M464" s="746"/>
      <c r="N464" s="746"/>
      <c r="O464" s="745"/>
      <c r="P464" s="745"/>
      <c r="Q464" s="745"/>
    </row>
    <row r="465" spans="1:17">
      <c r="A465" s="745"/>
      <c r="B465" s="746"/>
      <c r="K465" s="746"/>
      <c r="L465" s="746"/>
      <c r="M465" s="746"/>
      <c r="N465" s="746"/>
      <c r="O465" s="745"/>
      <c r="P465" s="745"/>
      <c r="Q465" s="745"/>
    </row>
    <row r="466" spans="1:17">
      <c r="A466" s="745"/>
      <c r="B466" s="746"/>
      <c r="K466" s="746"/>
      <c r="L466" s="746"/>
      <c r="M466" s="746"/>
      <c r="N466" s="746"/>
      <c r="O466" s="745"/>
      <c r="P466" s="745"/>
      <c r="Q466" s="745"/>
    </row>
    <row r="467" spans="1:17">
      <c r="A467" s="745"/>
      <c r="B467" s="746"/>
      <c r="K467" s="746"/>
      <c r="L467" s="746"/>
      <c r="M467" s="746"/>
      <c r="N467" s="746"/>
      <c r="O467" s="745"/>
      <c r="P467" s="745"/>
      <c r="Q467" s="745"/>
    </row>
    <row r="468" spans="1:17">
      <c r="A468" s="745"/>
      <c r="B468" s="746"/>
      <c r="K468" s="746"/>
      <c r="L468" s="746"/>
      <c r="M468" s="746"/>
      <c r="N468" s="746"/>
      <c r="O468" s="745"/>
      <c r="P468" s="745"/>
      <c r="Q468" s="745"/>
    </row>
    <row r="469" spans="1:17">
      <c r="A469" s="745"/>
      <c r="B469" s="746"/>
      <c r="K469" s="746"/>
      <c r="L469" s="746"/>
      <c r="M469" s="746"/>
      <c r="N469" s="746"/>
      <c r="O469" s="745"/>
      <c r="P469" s="745"/>
      <c r="Q469" s="745"/>
    </row>
    <row r="470" spans="1:17">
      <c r="A470" s="745"/>
      <c r="B470" s="746"/>
      <c r="K470" s="746"/>
      <c r="L470" s="746"/>
      <c r="M470" s="746"/>
      <c r="N470" s="746"/>
      <c r="O470" s="745"/>
      <c r="P470" s="745"/>
      <c r="Q470" s="745"/>
    </row>
    <row r="471" spans="1:17">
      <c r="A471" s="745"/>
      <c r="B471" s="746"/>
      <c r="K471" s="746"/>
      <c r="L471" s="746"/>
      <c r="M471" s="746"/>
      <c r="N471" s="746"/>
      <c r="O471" s="745"/>
      <c r="P471" s="745"/>
      <c r="Q471" s="745"/>
    </row>
    <row r="472" spans="1:17">
      <c r="A472" s="745"/>
      <c r="B472" s="746"/>
      <c r="K472" s="746"/>
      <c r="L472" s="746"/>
      <c r="M472" s="746"/>
      <c r="N472" s="746"/>
      <c r="O472" s="745"/>
      <c r="P472" s="745"/>
      <c r="Q472" s="745"/>
    </row>
    <row r="473" spans="1:17">
      <c r="A473" s="745"/>
      <c r="B473" s="746"/>
      <c r="K473" s="746"/>
      <c r="L473" s="746"/>
      <c r="M473" s="746"/>
      <c r="N473" s="746"/>
      <c r="O473" s="745"/>
      <c r="P473" s="745"/>
      <c r="Q473" s="745"/>
    </row>
    <row r="474" spans="1:17">
      <c r="A474" s="745"/>
      <c r="B474" s="746"/>
      <c r="K474" s="746"/>
      <c r="L474" s="746"/>
      <c r="M474" s="746"/>
      <c r="N474" s="746"/>
      <c r="O474" s="745"/>
      <c r="P474" s="745"/>
      <c r="Q474" s="745"/>
    </row>
    <row r="475" spans="1:17">
      <c r="A475" s="745"/>
      <c r="B475" s="746"/>
      <c r="K475" s="746"/>
      <c r="L475" s="746"/>
      <c r="M475" s="746"/>
      <c r="N475" s="746"/>
      <c r="O475" s="745"/>
      <c r="P475" s="745"/>
      <c r="Q475" s="745"/>
    </row>
    <row r="476" spans="1:17">
      <c r="A476" s="745"/>
      <c r="B476" s="746"/>
      <c r="K476" s="746"/>
      <c r="L476" s="746"/>
      <c r="M476" s="746"/>
      <c r="N476" s="746"/>
      <c r="O476" s="745"/>
      <c r="P476" s="745"/>
      <c r="Q476" s="745"/>
    </row>
    <row r="477" spans="1:17">
      <c r="A477" s="745"/>
      <c r="B477" s="746"/>
      <c r="K477" s="746"/>
      <c r="L477" s="746"/>
      <c r="M477" s="746"/>
      <c r="N477" s="746"/>
      <c r="O477" s="745"/>
      <c r="P477" s="745"/>
      <c r="Q477" s="745"/>
    </row>
    <row r="478" spans="1:17">
      <c r="A478" s="745"/>
      <c r="B478" s="746"/>
      <c r="K478" s="746"/>
      <c r="L478" s="746"/>
      <c r="M478" s="746"/>
      <c r="N478" s="746"/>
      <c r="O478" s="745"/>
      <c r="P478" s="745"/>
      <c r="Q478" s="745"/>
    </row>
    <row r="479" spans="1:17">
      <c r="A479" s="745"/>
      <c r="B479" s="746"/>
      <c r="K479" s="746"/>
      <c r="L479" s="746"/>
      <c r="M479" s="746"/>
      <c r="N479" s="746"/>
      <c r="O479" s="745"/>
      <c r="P479" s="745"/>
      <c r="Q479" s="745"/>
    </row>
    <row r="480" spans="1:17">
      <c r="A480" s="745"/>
      <c r="B480" s="746"/>
      <c r="K480" s="746"/>
      <c r="L480" s="746"/>
      <c r="M480" s="746"/>
      <c r="N480" s="746"/>
      <c r="O480" s="745"/>
      <c r="P480" s="745"/>
      <c r="Q480" s="745"/>
    </row>
    <row r="481" spans="1:17">
      <c r="A481" s="745"/>
      <c r="B481" s="746"/>
      <c r="K481" s="746"/>
      <c r="L481" s="746"/>
      <c r="M481" s="746"/>
      <c r="N481" s="746"/>
      <c r="O481" s="745"/>
      <c r="P481" s="745"/>
      <c r="Q481" s="745"/>
    </row>
    <row r="482" spans="1:17">
      <c r="A482" s="745"/>
      <c r="B482" s="746"/>
      <c r="K482" s="746"/>
      <c r="L482" s="746"/>
      <c r="M482" s="746"/>
      <c r="N482" s="746"/>
      <c r="O482" s="745"/>
      <c r="P482" s="745"/>
      <c r="Q482" s="745"/>
    </row>
    <row r="483" spans="1:17">
      <c r="A483" s="745"/>
      <c r="B483" s="746"/>
      <c r="K483" s="746"/>
      <c r="L483" s="746"/>
      <c r="M483" s="746"/>
      <c r="N483" s="746"/>
      <c r="O483" s="745"/>
      <c r="P483" s="745"/>
      <c r="Q483" s="745"/>
    </row>
    <row r="484" spans="1:17">
      <c r="A484" s="745"/>
      <c r="B484" s="746"/>
      <c r="K484" s="746"/>
      <c r="L484" s="746"/>
      <c r="M484" s="746"/>
      <c r="N484" s="746"/>
      <c r="O484" s="745"/>
      <c r="P484" s="745"/>
      <c r="Q484" s="745"/>
    </row>
    <row r="485" spans="1:17">
      <c r="A485" s="745"/>
      <c r="B485" s="746"/>
      <c r="K485" s="746"/>
      <c r="L485" s="746"/>
      <c r="M485" s="746"/>
      <c r="N485" s="746"/>
      <c r="O485" s="745"/>
      <c r="P485" s="745"/>
      <c r="Q485" s="745"/>
    </row>
    <row r="486" spans="1:17">
      <c r="A486" s="745"/>
      <c r="B486" s="746"/>
      <c r="K486" s="746"/>
      <c r="L486" s="746"/>
      <c r="M486" s="746"/>
      <c r="N486" s="746"/>
      <c r="O486" s="745"/>
      <c r="P486" s="745"/>
      <c r="Q486" s="745"/>
    </row>
    <row r="487" spans="1:17">
      <c r="A487" s="745"/>
      <c r="B487" s="746"/>
      <c r="K487" s="746"/>
      <c r="L487" s="746"/>
      <c r="M487" s="746"/>
      <c r="N487" s="746"/>
      <c r="O487" s="745"/>
      <c r="P487" s="745"/>
      <c r="Q487" s="745"/>
    </row>
    <row r="488" spans="1:17">
      <c r="A488" s="745"/>
      <c r="B488" s="746"/>
      <c r="K488" s="746"/>
      <c r="L488" s="746"/>
      <c r="M488" s="746"/>
      <c r="N488" s="746"/>
      <c r="O488" s="745"/>
      <c r="P488" s="745"/>
      <c r="Q488" s="745"/>
    </row>
    <row r="489" spans="1:17">
      <c r="A489" s="745"/>
      <c r="B489" s="746"/>
      <c r="K489" s="746"/>
      <c r="L489" s="746"/>
      <c r="M489" s="746"/>
      <c r="N489" s="746"/>
      <c r="O489" s="745"/>
      <c r="P489" s="745"/>
      <c r="Q489" s="745"/>
    </row>
    <row r="490" spans="1:17">
      <c r="A490" s="745"/>
      <c r="B490" s="746"/>
      <c r="K490" s="746"/>
      <c r="L490" s="746"/>
      <c r="M490" s="746"/>
      <c r="N490" s="746"/>
      <c r="O490" s="745"/>
      <c r="P490" s="745"/>
      <c r="Q490" s="745"/>
    </row>
    <row r="491" spans="1:17">
      <c r="A491" s="745"/>
      <c r="B491" s="746"/>
      <c r="K491" s="746"/>
      <c r="L491" s="746"/>
      <c r="M491" s="746"/>
      <c r="N491" s="746"/>
      <c r="O491" s="745"/>
      <c r="P491" s="745"/>
      <c r="Q491" s="745"/>
    </row>
    <row r="492" spans="1:17">
      <c r="A492" s="745"/>
      <c r="B492" s="746"/>
      <c r="K492" s="746"/>
      <c r="L492" s="746"/>
      <c r="M492" s="746"/>
      <c r="N492" s="746"/>
      <c r="O492" s="745"/>
      <c r="P492" s="745"/>
      <c r="Q492" s="745"/>
    </row>
    <row r="493" spans="1:17">
      <c r="A493" s="745"/>
      <c r="B493" s="746"/>
      <c r="K493" s="746"/>
      <c r="L493" s="746"/>
      <c r="M493" s="746"/>
      <c r="N493" s="746"/>
      <c r="O493" s="745"/>
      <c r="P493" s="745"/>
      <c r="Q493" s="745"/>
    </row>
    <row r="494" spans="1:17">
      <c r="A494" s="745"/>
      <c r="B494" s="746"/>
      <c r="K494" s="746"/>
      <c r="L494" s="746"/>
      <c r="M494" s="746"/>
      <c r="N494" s="746"/>
      <c r="O494" s="745"/>
      <c r="P494" s="745"/>
      <c r="Q494" s="745"/>
    </row>
    <row r="495" spans="1:17">
      <c r="A495" s="745"/>
      <c r="B495" s="746"/>
      <c r="K495" s="746"/>
      <c r="L495" s="746"/>
      <c r="M495" s="746"/>
      <c r="N495" s="746"/>
      <c r="O495" s="745"/>
      <c r="P495" s="745"/>
      <c r="Q495" s="745"/>
    </row>
    <row r="496" spans="1:17">
      <c r="A496" s="745"/>
      <c r="B496" s="746"/>
      <c r="K496" s="746"/>
      <c r="L496" s="746"/>
      <c r="M496" s="746"/>
      <c r="N496" s="746"/>
      <c r="O496" s="745"/>
      <c r="P496" s="745"/>
      <c r="Q496" s="745"/>
    </row>
    <row r="497" spans="1:17">
      <c r="A497" s="745"/>
      <c r="B497" s="746"/>
      <c r="K497" s="746"/>
      <c r="L497" s="746"/>
      <c r="M497" s="746"/>
      <c r="N497" s="746"/>
      <c r="O497" s="745"/>
      <c r="P497" s="745"/>
      <c r="Q497" s="745"/>
    </row>
    <row r="498" spans="1:17">
      <c r="A498" s="745"/>
      <c r="B498" s="746"/>
      <c r="K498" s="746"/>
      <c r="L498" s="746"/>
      <c r="M498" s="746"/>
      <c r="N498" s="746"/>
      <c r="O498" s="745"/>
      <c r="P498" s="745"/>
      <c r="Q498" s="745"/>
    </row>
    <row r="499" spans="1:17">
      <c r="A499" s="745"/>
      <c r="B499" s="746"/>
      <c r="K499" s="746"/>
      <c r="L499" s="746"/>
      <c r="M499" s="746"/>
      <c r="N499" s="746"/>
      <c r="O499" s="745"/>
      <c r="P499" s="745"/>
      <c r="Q499" s="745"/>
    </row>
    <row r="500" spans="1:17">
      <c r="A500" s="745"/>
      <c r="B500" s="746"/>
      <c r="K500" s="746"/>
      <c r="L500" s="746"/>
      <c r="M500" s="746"/>
      <c r="N500" s="746"/>
      <c r="O500" s="745"/>
      <c r="P500" s="745"/>
      <c r="Q500" s="745"/>
    </row>
    <row r="501" spans="1:17">
      <c r="A501" s="745"/>
      <c r="B501" s="746"/>
      <c r="K501" s="746"/>
      <c r="L501" s="746"/>
      <c r="M501" s="746"/>
      <c r="N501" s="746"/>
      <c r="O501" s="745"/>
      <c r="P501" s="745"/>
      <c r="Q501" s="745"/>
    </row>
    <row r="502" spans="1:17">
      <c r="A502" s="745"/>
      <c r="B502" s="746"/>
      <c r="K502" s="746"/>
      <c r="L502" s="746"/>
      <c r="M502" s="746"/>
      <c r="N502" s="746"/>
      <c r="O502" s="745"/>
      <c r="P502" s="745"/>
      <c r="Q502" s="745"/>
    </row>
    <row r="503" spans="1:17">
      <c r="A503" s="745"/>
      <c r="B503" s="746"/>
      <c r="K503" s="746"/>
      <c r="L503" s="746"/>
      <c r="M503" s="746"/>
      <c r="N503" s="746"/>
      <c r="O503" s="745"/>
      <c r="P503" s="745"/>
      <c r="Q503" s="745"/>
    </row>
    <row r="504" spans="1:17">
      <c r="A504" s="745"/>
      <c r="B504" s="746"/>
      <c r="K504" s="746"/>
      <c r="L504" s="746"/>
      <c r="M504" s="746"/>
      <c r="N504" s="746"/>
      <c r="O504" s="745"/>
      <c r="P504" s="745"/>
      <c r="Q504" s="745"/>
    </row>
    <row r="505" spans="1:17">
      <c r="A505" s="745"/>
      <c r="B505" s="746"/>
      <c r="K505" s="746"/>
      <c r="L505" s="746"/>
      <c r="M505" s="746"/>
      <c r="N505" s="746"/>
      <c r="O505" s="745"/>
      <c r="P505" s="745"/>
      <c r="Q505" s="745"/>
    </row>
    <row r="506" spans="1:17">
      <c r="A506" s="745"/>
      <c r="B506" s="746"/>
      <c r="K506" s="746"/>
      <c r="L506" s="746"/>
      <c r="M506" s="746"/>
      <c r="N506" s="746"/>
      <c r="O506" s="745"/>
      <c r="P506" s="745"/>
      <c r="Q506" s="745"/>
    </row>
    <row r="507" spans="1:17">
      <c r="A507" s="745"/>
      <c r="B507" s="746"/>
      <c r="K507" s="746"/>
      <c r="L507" s="746"/>
      <c r="M507" s="746"/>
      <c r="N507" s="746"/>
      <c r="O507" s="745"/>
      <c r="P507" s="745"/>
      <c r="Q507" s="745"/>
    </row>
    <row r="508" spans="1:17">
      <c r="A508" s="745"/>
      <c r="B508" s="746"/>
      <c r="K508" s="746"/>
      <c r="L508" s="746"/>
      <c r="M508" s="746"/>
      <c r="N508" s="746"/>
      <c r="O508" s="745"/>
      <c r="P508" s="745"/>
      <c r="Q508" s="745"/>
    </row>
    <row r="509" spans="1:17">
      <c r="A509" s="745"/>
      <c r="B509" s="746"/>
      <c r="K509" s="746"/>
      <c r="L509" s="746"/>
      <c r="M509" s="746"/>
      <c r="N509" s="746"/>
      <c r="O509" s="745"/>
      <c r="P509" s="745"/>
      <c r="Q509" s="745"/>
    </row>
    <row r="510" spans="1:17">
      <c r="A510" s="745"/>
      <c r="B510" s="746"/>
      <c r="K510" s="746"/>
      <c r="L510" s="746"/>
      <c r="M510" s="746"/>
      <c r="N510" s="746"/>
      <c r="O510" s="745"/>
      <c r="P510" s="745"/>
      <c r="Q510" s="745"/>
    </row>
    <row r="511" spans="1:17">
      <c r="A511" s="745"/>
      <c r="B511" s="746"/>
      <c r="K511" s="746"/>
      <c r="L511" s="746"/>
      <c r="M511" s="746"/>
      <c r="N511" s="746"/>
      <c r="O511" s="745"/>
      <c r="P511" s="745"/>
      <c r="Q511" s="745"/>
    </row>
    <row r="512" spans="1:17">
      <c r="A512" s="745"/>
      <c r="B512" s="746"/>
      <c r="K512" s="746"/>
      <c r="L512" s="746"/>
      <c r="M512" s="746"/>
      <c r="N512" s="746"/>
      <c r="O512" s="745"/>
      <c r="P512" s="745"/>
      <c r="Q512" s="745"/>
    </row>
    <row r="513" spans="1:17">
      <c r="A513" s="745"/>
      <c r="B513" s="746"/>
      <c r="K513" s="746"/>
      <c r="L513" s="746"/>
      <c r="M513" s="746"/>
      <c r="N513" s="746"/>
      <c r="O513" s="745"/>
      <c r="P513" s="745"/>
      <c r="Q513" s="745"/>
    </row>
    <row r="514" spans="1:17">
      <c r="A514" s="745"/>
      <c r="B514" s="746"/>
      <c r="K514" s="746"/>
      <c r="L514" s="746"/>
      <c r="M514" s="746"/>
      <c r="N514" s="746"/>
      <c r="O514" s="745"/>
      <c r="P514" s="745"/>
      <c r="Q514" s="745"/>
    </row>
    <row r="515" spans="1:17">
      <c r="A515" s="745"/>
      <c r="B515" s="746"/>
      <c r="K515" s="746"/>
      <c r="L515" s="746"/>
      <c r="M515" s="746"/>
      <c r="N515" s="746"/>
      <c r="O515" s="745"/>
      <c r="P515" s="745"/>
      <c r="Q515" s="745"/>
    </row>
    <row r="516" spans="1:17">
      <c r="A516" s="745"/>
      <c r="B516" s="746"/>
      <c r="K516" s="746"/>
      <c r="L516" s="746"/>
      <c r="M516" s="746"/>
      <c r="N516" s="746"/>
      <c r="O516" s="745"/>
      <c r="P516" s="745"/>
      <c r="Q516" s="745"/>
    </row>
    <row r="517" spans="1:17">
      <c r="A517" s="745"/>
      <c r="B517" s="746"/>
      <c r="K517" s="746"/>
      <c r="L517" s="746"/>
      <c r="M517" s="746"/>
      <c r="N517" s="746"/>
      <c r="O517" s="745"/>
      <c r="P517" s="745"/>
      <c r="Q517" s="745"/>
    </row>
    <row r="518" spans="1:17">
      <c r="A518" s="745"/>
      <c r="B518" s="746"/>
      <c r="K518" s="746"/>
      <c r="L518" s="746"/>
      <c r="M518" s="746"/>
      <c r="N518" s="746"/>
      <c r="O518" s="745"/>
      <c r="P518" s="745"/>
      <c r="Q518" s="745"/>
    </row>
    <row r="519" spans="1:17">
      <c r="A519" s="745"/>
      <c r="B519" s="746"/>
      <c r="K519" s="746"/>
      <c r="L519" s="746"/>
      <c r="M519" s="746"/>
      <c r="N519" s="746"/>
      <c r="O519" s="745"/>
      <c r="P519" s="745"/>
      <c r="Q519" s="745"/>
    </row>
    <row r="520" spans="1:17">
      <c r="A520" s="745"/>
      <c r="B520" s="746"/>
      <c r="K520" s="746"/>
      <c r="L520" s="746"/>
      <c r="M520" s="746"/>
      <c r="N520" s="746"/>
      <c r="O520" s="745"/>
      <c r="P520" s="745"/>
      <c r="Q520" s="745"/>
    </row>
    <row r="521" spans="1:17">
      <c r="A521" s="745"/>
      <c r="B521" s="746"/>
      <c r="K521" s="746"/>
      <c r="L521" s="746"/>
      <c r="M521" s="746"/>
      <c r="N521" s="746"/>
      <c r="O521" s="745"/>
      <c r="P521" s="745"/>
      <c r="Q521" s="745"/>
    </row>
    <row r="522" spans="1:17">
      <c r="A522" s="745"/>
      <c r="B522" s="746"/>
      <c r="K522" s="746"/>
      <c r="L522" s="746"/>
      <c r="M522" s="746"/>
      <c r="N522" s="746"/>
      <c r="O522" s="745"/>
      <c r="P522" s="745"/>
      <c r="Q522" s="745"/>
    </row>
    <row r="523" spans="1:17">
      <c r="A523" s="745"/>
      <c r="B523" s="746"/>
      <c r="K523" s="746"/>
      <c r="L523" s="746"/>
      <c r="M523" s="746"/>
      <c r="N523" s="746"/>
      <c r="O523" s="745"/>
      <c r="P523" s="745"/>
      <c r="Q523" s="745"/>
    </row>
    <row r="524" spans="1:17">
      <c r="A524" s="745"/>
      <c r="B524" s="746"/>
      <c r="K524" s="746"/>
      <c r="L524" s="746"/>
      <c r="M524" s="746"/>
      <c r="N524" s="746"/>
      <c r="O524" s="745"/>
      <c r="P524" s="745"/>
      <c r="Q524" s="745"/>
    </row>
    <row r="525" spans="1:17">
      <c r="A525" s="745"/>
      <c r="B525" s="746"/>
      <c r="K525" s="746"/>
      <c r="L525" s="746"/>
      <c r="M525" s="746"/>
      <c r="N525" s="746"/>
      <c r="O525" s="745"/>
      <c r="P525" s="745"/>
      <c r="Q525" s="745"/>
    </row>
    <row r="526" spans="1:17">
      <c r="A526" s="745"/>
      <c r="B526" s="746"/>
      <c r="K526" s="746"/>
      <c r="L526" s="746"/>
      <c r="M526" s="746"/>
      <c r="N526" s="746"/>
      <c r="O526" s="745"/>
      <c r="P526" s="745"/>
      <c r="Q526" s="745"/>
    </row>
    <row r="527" spans="1:17">
      <c r="A527" s="745"/>
      <c r="B527" s="746"/>
      <c r="K527" s="746"/>
      <c r="L527" s="746"/>
      <c r="M527" s="746"/>
      <c r="N527" s="746"/>
      <c r="O527" s="745"/>
      <c r="P527" s="745"/>
      <c r="Q527" s="745"/>
    </row>
    <row r="528" spans="1:17">
      <c r="A528" s="745"/>
      <c r="B528" s="746"/>
      <c r="K528" s="746"/>
      <c r="L528" s="746"/>
      <c r="M528" s="746"/>
      <c r="N528" s="746"/>
      <c r="O528" s="745"/>
      <c r="P528" s="745"/>
      <c r="Q528" s="745"/>
    </row>
    <row r="529" spans="1:17">
      <c r="A529" s="745"/>
      <c r="B529" s="746"/>
      <c r="K529" s="746"/>
      <c r="L529" s="746"/>
      <c r="M529" s="746"/>
      <c r="N529" s="746"/>
      <c r="O529" s="745"/>
      <c r="P529" s="745"/>
      <c r="Q529" s="745"/>
    </row>
    <row r="530" spans="1:17">
      <c r="A530" s="745"/>
      <c r="B530" s="746"/>
      <c r="K530" s="746"/>
      <c r="L530" s="746"/>
      <c r="M530" s="746"/>
      <c r="N530" s="746"/>
      <c r="O530" s="745"/>
      <c r="P530" s="745"/>
      <c r="Q530" s="745"/>
    </row>
    <row r="531" spans="1:17">
      <c r="A531" s="745"/>
      <c r="B531" s="746"/>
      <c r="K531" s="746"/>
      <c r="L531" s="746"/>
      <c r="M531" s="746"/>
      <c r="N531" s="746"/>
      <c r="O531" s="745"/>
      <c r="P531" s="745"/>
      <c r="Q531" s="745"/>
    </row>
    <row r="532" spans="1:17">
      <c r="A532" s="745"/>
      <c r="B532" s="746"/>
      <c r="K532" s="746"/>
      <c r="L532" s="746"/>
      <c r="M532" s="746"/>
      <c r="N532" s="746"/>
      <c r="O532" s="745"/>
      <c r="P532" s="745"/>
      <c r="Q532" s="745"/>
    </row>
    <row r="533" spans="1:17">
      <c r="A533" s="745"/>
      <c r="B533" s="746"/>
      <c r="K533" s="746"/>
      <c r="L533" s="746"/>
      <c r="M533" s="746"/>
      <c r="N533" s="746"/>
      <c r="O533" s="745"/>
      <c r="P533" s="745"/>
      <c r="Q533" s="745"/>
    </row>
    <row r="534" spans="1:17">
      <c r="A534" s="745"/>
      <c r="B534" s="746"/>
      <c r="K534" s="746"/>
      <c r="L534" s="746"/>
      <c r="M534" s="746"/>
      <c r="N534" s="746"/>
      <c r="O534" s="745"/>
      <c r="P534" s="745"/>
      <c r="Q534" s="745"/>
    </row>
    <row r="535" spans="1:17">
      <c r="A535" s="745"/>
      <c r="B535" s="746"/>
      <c r="K535" s="746"/>
      <c r="L535" s="746"/>
      <c r="M535" s="746"/>
      <c r="N535" s="746"/>
      <c r="O535" s="745"/>
      <c r="P535" s="745"/>
      <c r="Q535" s="745"/>
    </row>
    <row r="536" spans="1:17">
      <c r="A536" s="745"/>
      <c r="B536" s="746"/>
      <c r="K536" s="746"/>
      <c r="L536" s="746"/>
      <c r="M536" s="746"/>
      <c r="N536" s="746"/>
      <c r="O536" s="745"/>
      <c r="P536" s="745"/>
      <c r="Q536" s="745"/>
    </row>
    <row r="537" spans="1:17">
      <c r="A537" s="745"/>
      <c r="B537" s="746"/>
      <c r="K537" s="746"/>
      <c r="L537" s="746"/>
      <c r="M537" s="746"/>
      <c r="N537" s="746"/>
      <c r="O537" s="745"/>
      <c r="P537" s="745"/>
      <c r="Q537" s="745"/>
    </row>
    <row r="538" spans="1:17">
      <c r="A538" s="745"/>
      <c r="B538" s="746"/>
      <c r="K538" s="746"/>
      <c r="L538" s="746"/>
      <c r="M538" s="746"/>
      <c r="N538" s="746"/>
      <c r="O538" s="745"/>
      <c r="P538" s="745"/>
      <c r="Q538" s="745"/>
    </row>
    <row r="539" spans="1:17">
      <c r="A539" s="745"/>
      <c r="B539" s="746"/>
      <c r="K539" s="746"/>
      <c r="L539" s="746"/>
      <c r="M539" s="746"/>
      <c r="N539" s="746"/>
      <c r="O539" s="745"/>
      <c r="P539" s="745"/>
      <c r="Q539" s="745"/>
    </row>
    <row r="540" spans="1:17">
      <c r="A540" s="745"/>
      <c r="B540" s="746"/>
      <c r="K540" s="746"/>
      <c r="L540" s="746"/>
      <c r="M540" s="746"/>
      <c r="N540" s="746"/>
      <c r="O540" s="745"/>
      <c r="P540" s="745"/>
      <c r="Q540" s="745"/>
    </row>
    <row r="541" spans="1:17">
      <c r="A541" s="745"/>
      <c r="B541" s="746"/>
      <c r="K541" s="746"/>
      <c r="L541" s="746"/>
      <c r="M541" s="746"/>
      <c r="N541" s="746"/>
      <c r="O541" s="745"/>
      <c r="P541" s="745"/>
      <c r="Q541" s="745"/>
    </row>
    <row r="542" spans="1:17">
      <c r="A542" s="745"/>
      <c r="B542" s="746"/>
      <c r="K542" s="746"/>
      <c r="L542" s="746"/>
      <c r="M542" s="746"/>
      <c r="N542" s="746"/>
      <c r="O542" s="745"/>
      <c r="P542" s="745"/>
      <c r="Q542" s="745"/>
    </row>
    <row r="543" spans="1:17">
      <c r="A543" s="745"/>
      <c r="B543" s="746"/>
      <c r="K543" s="746"/>
      <c r="L543" s="746"/>
      <c r="M543" s="746"/>
      <c r="N543" s="746"/>
      <c r="O543" s="745"/>
      <c r="P543" s="745"/>
      <c r="Q543" s="745"/>
    </row>
    <row r="544" spans="1:17">
      <c r="A544" s="745"/>
      <c r="B544" s="746"/>
      <c r="K544" s="746"/>
      <c r="L544" s="746"/>
      <c r="M544" s="746"/>
      <c r="N544" s="746"/>
      <c r="O544" s="745"/>
      <c r="P544" s="745"/>
      <c r="Q544" s="745"/>
    </row>
    <row r="545" spans="1:17">
      <c r="A545" s="745"/>
      <c r="B545" s="746"/>
      <c r="K545" s="746"/>
      <c r="L545" s="746"/>
      <c r="M545" s="746"/>
      <c r="N545" s="746"/>
      <c r="O545" s="745"/>
      <c r="P545" s="745"/>
      <c r="Q545" s="745"/>
    </row>
    <row r="546" spans="1:17">
      <c r="A546" s="745"/>
      <c r="B546" s="746"/>
      <c r="K546" s="746"/>
      <c r="L546" s="746"/>
      <c r="M546" s="746"/>
      <c r="N546" s="746"/>
      <c r="O546" s="745"/>
      <c r="P546" s="745"/>
      <c r="Q546" s="745"/>
    </row>
    <row r="547" spans="1:17">
      <c r="A547" s="745"/>
      <c r="B547" s="746"/>
      <c r="K547" s="746"/>
      <c r="L547" s="746"/>
      <c r="M547" s="746"/>
      <c r="N547" s="746"/>
      <c r="O547" s="745"/>
      <c r="P547" s="745"/>
      <c r="Q547" s="745"/>
    </row>
    <row r="548" spans="1:17">
      <c r="A548" s="745"/>
      <c r="B548" s="746"/>
      <c r="K548" s="746"/>
      <c r="L548" s="746"/>
      <c r="M548" s="746"/>
      <c r="N548" s="746"/>
      <c r="O548" s="745"/>
      <c r="P548" s="745"/>
      <c r="Q548" s="745"/>
    </row>
    <row r="549" spans="1:17">
      <c r="A549" s="745"/>
      <c r="B549" s="746"/>
      <c r="K549" s="746"/>
      <c r="L549" s="746"/>
      <c r="M549" s="746"/>
      <c r="N549" s="746"/>
      <c r="O549" s="745"/>
      <c r="P549" s="745"/>
      <c r="Q549" s="745"/>
    </row>
    <row r="550" spans="1:17">
      <c r="A550" s="745"/>
      <c r="B550" s="746"/>
      <c r="K550" s="746"/>
      <c r="L550" s="746"/>
      <c r="M550" s="746"/>
      <c r="N550" s="746"/>
      <c r="O550" s="745"/>
      <c r="P550" s="745"/>
      <c r="Q550" s="745"/>
    </row>
    <row r="551" spans="1:17">
      <c r="A551" s="745"/>
      <c r="B551" s="746"/>
      <c r="K551" s="746"/>
      <c r="L551" s="746"/>
      <c r="M551" s="746"/>
      <c r="N551" s="746"/>
      <c r="O551" s="745"/>
      <c r="P551" s="745"/>
      <c r="Q551" s="745"/>
    </row>
    <row r="552" spans="1:17">
      <c r="A552" s="745"/>
      <c r="B552" s="746"/>
      <c r="K552" s="746"/>
      <c r="L552" s="746"/>
      <c r="M552" s="746"/>
      <c r="N552" s="746"/>
      <c r="O552" s="745"/>
      <c r="P552" s="745"/>
      <c r="Q552" s="745"/>
    </row>
    <row r="553" spans="1:17">
      <c r="A553" s="745"/>
      <c r="B553" s="746"/>
      <c r="K553" s="746"/>
      <c r="L553" s="746"/>
      <c r="M553" s="746"/>
      <c r="N553" s="746"/>
      <c r="O553" s="745"/>
      <c r="P553" s="745"/>
      <c r="Q553" s="745"/>
    </row>
    <row r="554" spans="1:17">
      <c r="A554" s="745"/>
      <c r="B554" s="746"/>
      <c r="K554" s="746"/>
      <c r="L554" s="746"/>
      <c r="M554" s="746"/>
      <c r="N554" s="746"/>
      <c r="O554" s="745"/>
      <c r="P554" s="745"/>
      <c r="Q554" s="745"/>
    </row>
    <row r="555" spans="1:17">
      <c r="A555" s="745"/>
      <c r="B555" s="746"/>
      <c r="K555" s="746"/>
      <c r="L555" s="746"/>
      <c r="M555" s="746"/>
      <c r="N555" s="746"/>
      <c r="O555" s="745"/>
      <c r="P555" s="745"/>
      <c r="Q555" s="745"/>
    </row>
    <row r="556" spans="1:17">
      <c r="A556" s="745"/>
      <c r="B556" s="746"/>
      <c r="K556" s="746"/>
      <c r="L556" s="746"/>
      <c r="M556" s="746"/>
      <c r="N556" s="746"/>
      <c r="O556" s="745"/>
      <c r="P556" s="745"/>
      <c r="Q556" s="745"/>
    </row>
    <row r="557" spans="1:17">
      <c r="A557" s="745"/>
      <c r="B557" s="746"/>
      <c r="K557" s="746"/>
      <c r="L557" s="746"/>
      <c r="M557" s="746"/>
      <c r="N557" s="746"/>
      <c r="O557" s="745"/>
      <c r="P557" s="745"/>
      <c r="Q557" s="745"/>
    </row>
    <row r="558" spans="1:17">
      <c r="A558" s="745"/>
      <c r="B558" s="746"/>
      <c r="K558" s="746"/>
      <c r="L558" s="746"/>
      <c r="M558" s="746"/>
      <c r="N558" s="746"/>
      <c r="O558" s="745"/>
      <c r="P558" s="745"/>
      <c r="Q558" s="745"/>
    </row>
    <row r="559" spans="1:17">
      <c r="A559" s="745"/>
      <c r="B559" s="746"/>
      <c r="K559" s="746"/>
      <c r="L559" s="746"/>
      <c r="M559" s="746"/>
      <c r="N559" s="746"/>
      <c r="O559" s="745"/>
      <c r="P559" s="745"/>
      <c r="Q559" s="745"/>
    </row>
    <row r="560" spans="1:17">
      <c r="A560" s="745"/>
      <c r="B560" s="746"/>
      <c r="K560" s="746"/>
      <c r="L560" s="746"/>
      <c r="M560" s="746"/>
      <c r="N560" s="746"/>
      <c r="O560" s="745"/>
      <c r="P560" s="745"/>
      <c r="Q560" s="745"/>
    </row>
    <row r="561" spans="1:17">
      <c r="A561" s="745"/>
      <c r="B561" s="746"/>
      <c r="K561" s="746"/>
      <c r="L561" s="746"/>
      <c r="M561" s="746"/>
      <c r="N561" s="746"/>
      <c r="O561" s="745"/>
      <c r="P561" s="745"/>
      <c r="Q561" s="745"/>
    </row>
    <row r="562" spans="1:17">
      <c r="A562" s="745"/>
      <c r="B562" s="746"/>
      <c r="K562" s="746"/>
      <c r="L562" s="746"/>
      <c r="M562" s="746"/>
      <c r="N562" s="746"/>
      <c r="O562" s="745"/>
      <c r="P562" s="745"/>
      <c r="Q562" s="745"/>
    </row>
    <row r="563" spans="1:17">
      <c r="A563" s="745"/>
      <c r="B563" s="746"/>
      <c r="K563" s="746"/>
      <c r="L563" s="746"/>
      <c r="M563" s="746"/>
      <c r="N563" s="746"/>
      <c r="O563" s="745"/>
      <c r="P563" s="745"/>
      <c r="Q563" s="745"/>
    </row>
    <row r="564" spans="1:17">
      <c r="A564" s="745"/>
      <c r="B564" s="746"/>
      <c r="K564" s="746"/>
      <c r="L564" s="746"/>
      <c r="M564" s="746"/>
      <c r="N564" s="746"/>
      <c r="O564" s="745"/>
      <c r="P564" s="745"/>
      <c r="Q564" s="745"/>
    </row>
    <row r="565" spans="1:17">
      <c r="A565" s="745"/>
      <c r="B565" s="746"/>
      <c r="K565" s="746"/>
      <c r="L565" s="746"/>
      <c r="M565" s="746"/>
      <c r="N565" s="746"/>
      <c r="O565" s="745"/>
      <c r="P565" s="745"/>
      <c r="Q565" s="745"/>
    </row>
    <row r="566" spans="1:17">
      <c r="A566" s="745"/>
      <c r="B566" s="746"/>
      <c r="K566" s="746"/>
      <c r="L566" s="746"/>
      <c r="M566" s="746"/>
      <c r="N566" s="746"/>
      <c r="O566" s="745"/>
      <c r="P566" s="745"/>
      <c r="Q566" s="745"/>
    </row>
    <row r="567" spans="1:17">
      <c r="A567" s="745"/>
      <c r="B567" s="746"/>
      <c r="K567" s="746"/>
      <c r="L567" s="746"/>
      <c r="M567" s="746"/>
      <c r="N567" s="746"/>
      <c r="O567" s="745"/>
      <c r="P567" s="745"/>
      <c r="Q567" s="745"/>
    </row>
    <row r="568" spans="1:17">
      <c r="A568" s="745"/>
      <c r="B568" s="746"/>
      <c r="K568" s="746"/>
      <c r="L568" s="746"/>
      <c r="M568" s="746"/>
      <c r="N568" s="746"/>
      <c r="O568" s="745"/>
      <c r="P568" s="745"/>
      <c r="Q568" s="745"/>
    </row>
    <row r="569" spans="1:17">
      <c r="A569" s="745"/>
      <c r="B569" s="746"/>
      <c r="K569" s="746"/>
      <c r="L569" s="746"/>
      <c r="M569" s="746"/>
      <c r="N569" s="746"/>
      <c r="O569" s="745"/>
      <c r="P569" s="745"/>
      <c r="Q569" s="745"/>
    </row>
    <row r="570" spans="1:17">
      <c r="A570" s="745"/>
      <c r="B570" s="746"/>
      <c r="K570" s="746"/>
      <c r="L570" s="746"/>
      <c r="M570" s="746"/>
      <c r="N570" s="746"/>
      <c r="O570" s="745"/>
      <c r="P570" s="745"/>
      <c r="Q570" s="745"/>
    </row>
    <row r="571" spans="1:17">
      <c r="A571" s="745"/>
      <c r="B571" s="746"/>
      <c r="K571" s="746"/>
      <c r="L571" s="746"/>
      <c r="M571" s="746"/>
      <c r="N571" s="746"/>
      <c r="O571" s="745"/>
      <c r="P571" s="745"/>
      <c r="Q571" s="745"/>
    </row>
    <row r="572" spans="1:17">
      <c r="A572" s="745"/>
      <c r="B572" s="746"/>
      <c r="K572" s="746"/>
      <c r="L572" s="746"/>
      <c r="M572" s="746"/>
      <c r="N572" s="746"/>
      <c r="O572" s="745"/>
      <c r="P572" s="745"/>
      <c r="Q572" s="745"/>
    </row>
    <row r="573" spans="1:17">
      <c r="A573" s="745"/>
      <c r="B573" s="746"/>
      <c r="K573" s="746"/>
      <c r="L573" s="746"/>
      <c r="M573" s="746"/>
      <c r="N573" s="746"/>
      <c r="O573" s="745"/>
      <c r="P573" s="745"/>
      <c r="Q573" s="745"/>
    </row>
    <row r="574" spans="1:17">
      <c r="A574" s="745"/>
      <c r="B574" s="746"/>
      <c r="K574" s="746"/>
      <c r="L574" s="746"/>
      <c r="M574" s="746"/>
      <c r="N574" s="746"/>
      <c r="O574" s="745"/>
      <c r="P574" s="745"/>
      <c r="Q574" s="745"/>
    </row>
    <row r="575" spans="1:17">
      <c r="A575" s="745"/>
      <c r="B575" s="746"/>
      <c r="K575" s="746"/>
      <c r="L575" s="746"/>
      <c r="M575" s="746"/>
      <c r="N575" s="746"/>
      <c r="O575" s="745"/>
      <c r="P575" s="745"/>
      <c r="Q575" s="745"/>
    </row>
    <row r="576" spans="1:17">
      <c r="A576" s="745"/>
      <c r="B576" s="746"/>
      <c r="K576" s="746"/>
      <c r="L576" s="746"/>
      <c r="M576" s="746"/>
      <c r="N576" s="746"/>
      <c r="O576" s="745"/>
      <c r="P576" s="745"/>
      <c r="Q576" s="745"/>
    </row>
    <row r="577" spans="1:17">
      <c r="A577" s="745"/>
      <c r="B577" s="746"/>
      <c r="K577" s="746"/>
      <c r="L577" s="746"/>
      <c r="M577" s="746"/>
      <c r="N577" s="746"/>
      <c r="O577" s="745"/>
      <c r="P577" s="745"/>
      <c r="Q577" s="745"/>
    </row>
    <row r="578" spans="1:17">
      <c r="A578" s="745"/>
      <c r="B578" s="746"/>
      <c r="K578" s="746"/>
      <c r="L578" s="746"/>
      <c r="M578" s="746"/>
      <c r="N578" s="746"/>
      <c r="O578" s="745"/>
      <c r="P578" s="745"/>
      <c r="Q578" s="745"/>
    </row>
    <row r="579" spans="1:17">
      <c r="A579" s="745"/>
      <c r="B579" s="746"/>
      <c r="K579" s="746"/>
      <c r="L579" s="746"/>
      <c r="M579" s="746"/>
      <c r="N579" s="746"/>
      <c r="O579" s="745"/>
      <c r="P579" s="745"/>
      <c r="Q579" s="745"/>
    </row>
    <row r="580" spans="1:17">
      <c r="A580" s="745"/>
      <c r="B580" s="746"/>
      <c r="K580" s="746"/>
      <c r="L580" s="746"/>
      <c r="M580" s="746"/>
      <c r="N580" s="746"/>
      <c r="O580" s="745"/>
      <c r="P580" s="745"/>
      <c r="Q580" s="745"/>
    </row>
    <row r="581" spans="1:17">
      <c r="A581" s="745"/>
      <c r="B581" s="746"/>
      <c r="K581" s="746"/>
      <c r="L581" s="746"/>
      <c r="M581" s="746"/>
      <c r="N581" s="746"/>
      <c r="O581" s="745"/>
      <c r="P581" s="745"/>
      <c r="Q581" s="745"/>
    </row>
    <row r="582" spans="1:17">
      <c r="A582" s="745"/>
      <c r="B582" s="746"/>
      <c r="K582" s="746"/>
      <c r="L582" s="746"/>
      <c r="M582" s="746"/>
      <c r="N582" s="746"/>
      <c r="O582" s="745"/>
      <c r="P582" s="745"/>
      <c r="Q582" s="745"/>
    </row>
    <row r="583" spans="1:17">
      <c r="A583" s="745"/>
      <c r="B583" s="746"/>
      <c r="K583" s="746"/>
      <c r="L583" s="746"/>
      <c r="M583" s="746"/>
      <c r="N583" s="746"/>
      <c r="O583" s="745"/>
      <c r="P583" s="745"/>
      <c r="Q583" s="745"/>
    </row>
    <row r="584" spans="1:17">
      <c r="A584" s="745"/>
      <c r="B584" s="746"/>
      <c r="K584" s="746"/>
      <c r="L584" s="746"/>
      <c r="M584" s="746"/>
      <c r="N584" s="746"/>
      <c r="O584" s="745"/>
      <c r="P584" s="745"/>
      <c r="Q584" s="745"/>
    </row>
    <row r="585" spans="1:17">
      <c r="A585" s="745"/>
      <c r="B585" s="746"/>
      <c r="K585" s="746"/>
      <c r="L585" s="746"/>
      <c r="M585" s="746"/>
      <c r="N585" s="746"/>
      <c r="O585" s="745"/>
      <c r="P585" s="745"/>
      <c r="Q585" s="745"/>
    </row>
    <row r="586" spans="1:17">
      <c r="A586" s="745"/>
      <c r="B586" s="746"/>
      <c r="K586" s="746"/>
      <c r="L586" s="746"/>
      <c r="M586" s="746"/>
      <c r="N586" s="746"/>
      <c r="O586" s="745"/>
      <c r="P586" s="745"/>
      <c r="Q586" s="745"/>
    </row>
    <row r="587" spans="1:17">
      <c r="A587" s="745"/>
      <c r="B587" s="746"/>
      <c r="K587" s="746"/>
      <c r="L587" s="746"/>
      <c r="M587" s="746"/>
      <c r="N587" s="746"/>
      <c r="O587" s="745"/>
      <c r="P587" s="745"/>
      <c r="Q587" s="745"/>
    </row>
    <row r="588" spans="1:17">
      <c r="A588" s="745"/>
      <c r="B588" s="746"/>
      <c r="K588" s="746"/>
      <c r="L588" s="746"/>
      <c r="M588" s="746"/>
      <c r="N588" s="746"/>
      <c r="O588" s="745"/>
      <c r="P588" s="745"/>
      <c r="Q588" s="745"/>
    </row>
    <row r="589" spans="1:17">
      <c r="A589" s="745"/>
      <c r="B589" s="746"/>
      <c r="K589" s="746"/>
      <c r="L589" s="746"/>
      <c r="M589" s="746"/>
      <c r="N589" s="746"/>
      <c r="O589" s="745"/>
      <c r="P589" s="745"/>
      <c r="Q589" s="745"/>
    </row>
    <row r="590" spans="1:17">
      <c r="A590" s="745"/>
      <c r="B590" s="746"/>
      <c r="K590" s="746"/>
      <c r="L590" s="746"/>
      <c r="M590" s="746"/>
      <c r="N590" s="746"/>
      <c r="O590" s="745"/>
      <c r="P590" s="745"/>
      <c r="Q590" s="745"/>
    </row>
    <row r="591" spans="1:17">
      <c r="A591" s="745"/>
      <c r="B591" s="746"/>
      <c r="K591" s="746"/>
      <c r="L591" s="746"/>
      <c r="M591" s="746"/>
      <c r="N591" s="746"/>
      <c r="O591" s="745"/>
      <c r="P591" s="745"/>
      <c r="Q591" s="745"/>
    </row>
    <row r="592" spans="1:17">
      <c r="A592" s="745"/>
      <c r="B592" s="746"/>
      <c r="K592" s="746"/>
      <c r="L592" s="746"/>
      <c r="M592" s="746"/>
      <c r="N592" s="746"/>
      <c r="O592" s="745"/>
      <c r="P592" s="745"/>
      <c r="Q592" s="745"/>
    </row>
    <row r="593" spans="1:17">
      <c r="A593" s="745"/>
      <c r="B593" s="746"/>
      <c r="K593" s="746"/>
      <c r="L593" s="746"/>
      <c r="M593" s="746"/>
      <c r="N593" s="746"/>
      <c r="O593" s="745"/>
      <c r="P593" s="745"/>
      <c r="Q593" s="745"/>
    </row>
    <row r="594" spans="1:17">
      <c r="A594" s="745"/>
      <c r="B594" s="746"/>
      <c r="K594" s="746"/>
      <c r="L594" s="746"/>
      <c r="M594" s="746"/>
      <c r="N594" s="746"/>
      <c r="O594" s="745"/>
      <c r="P594" s="745"/>
      <c r="Q594" s="745"/>
    </row>
    <row r="595" spans="1:17">
      <c r="A595" s="745"/>
      <c r="B595" s="746"/>
      <c r="K595" s="746"/>
      <c r="L595" s="746"/>
      <c r="M595" s="746"/>
      <c r="N595" s="746"/>
      <c r="O595" s="745"/>
      <c r="P595" s="745"/>
      <c r="Q595" s="745"/>
    </row>
    <row r="596" spans="1:17">
      <c r="A596" s="745"/>
      <c r="B596" s="746"/>
      <c r="K596" s="746"/>
      <c r="L596" s="746"/>
      <c r="M596" s="746"/>
      <c r="N596" s="746"/>
      <c r="O596" s="745"/>
      <c r="P596" s="745"/>
      <c r="Q596" s="745"/>
    </row>
    <row r="597" spans="1:17">
      <c r="A597" s="745"/>
      <c r="B597" s="746"/>
      <c r="K597" s="746"/>
      <c r="L597" s="746"/>
      <c r="M597" s="746"/>
      <c r="N597" s="746"/>
      <c r="O597" s="745"/>
      <c r="P597" s="745"/>
      <c r="Q597" s="745"/>
    </row>
    <row r="598" spans="1:17">
      <c r="A598" s="745"/>
      <c r="B598" s="746"/>
      <c r="K598" s="746"/>
      <c r="L598" s="746"/>
      <c r="M598" s="746"/>
      <c r="N598" s="746"/>
      <c r="O598" s="745"/>
      <c r="P598" s="745"/>
      <c r="Q598" s="745"/>
    </row>
    <row r="599" spans="1:17">
      <c r="A599" s="745"/>
      <c r="B599" s="746"/>
      <c r="K599" s="746"/>
      <c r="L599" s="746"/>
      <c r="M599" s="746"/>
      <c r="N599" s="746"/>
      <c r="O599" s="745"/>
      <c r="P599" s="745"/>
      <c r="Q599" s="745"/>
    </row>
    <row r="600" spans="1:17">
      <c r="A600" s="745"/>
      <c r="B600" s="746"/>
      <c r="K600" s="746"/>
      <c r="L600" s="746"/>
      <c r="M600" s="746"/>
      <c r="N600" s="746"/>
      <c r="O600" s="745"/>
      <c r="P600" s="745"/>
      <c r="Q600" s="745"/>
    </row>
    <row r="601" spans="1:17">
      <c r="A601" s="745"/>
      <c r="B601" s="746"/>
      <c r="K601" s="746"/>
      <c r="L601" s="746"/>
      <c r="M601" s="746"/>
      <c r="N601" s="746"/>
      <c r="O601" s="745"/>
      <c r="P601" s="745"/>
      <c r="Q601" s="745"/>
    </row>
    <row r="602" spans="1:17">
      <c r="A602" s="745"/>
      <c r="B602" s="746"/>
      <c r="K602" s="746"/>
      <c r="L602" s="746"/>
      <c r="M602" s="746"/>
      <c r="N602" s="746"/>
      <c r="O602" s="745"/>
      <c r="P602" s="745"/>
      <c r="Q602" s="745"/>
    </row>
    <row r="603" spans="1:17">
      <c r="A603" s="745"/>
      <c r="B603" s="746"/>
      <c r="K603" s="746"/>
      <c r="L603" s="746"/>
      <c r="M603" s="746"/>
      <c r="N603" s="746"/>
      <c r="O603" s="745"/>
      <c r="P603" s="745"/>
      <c r="Q603" s="745"/>
    </row>
    <row r="604" spans="1:17">
      <c r="A604" s="745"/>
      <c r="B604" s="746"/>
      <c r="K604" s="746"/>
      <c r="L604" s="746"/>
      <c r="M604" s="746"/>
      <c r="N604" s="746"/>
      <c r="O604" s="745"/>
      <c r="P604" s="745"/>
      <c r="Q604" s="745"/>
    </row>
    <row r="605" spans="1:17">
      <c r="A605" s="745"/>
      <c r="B605" s="746"/>
      <c r="K605" s="746"/>
      <c r="L605" s="746"/>
      <c r="M605" s="746"/>
      <c r="N605" s="746"/>
      <c r="O605" s="745"/>
      <c r="P605" s="745"/>
      <c r="Q605" s="745"/>
    </row>
    <row r="606" spans="1:17">
      <c r="A606" s="745"/>
      <c r="B606" s="746"/>
      <c r="K606" s="746"/>
      <c r="L606" s="746"/>
      <c r="M606" s="746"/>
      <c r="N606" s="746"/>
      <c r="O606" s="745"/>
      <c r="P606" s="745"/>
      <c r="Q606" s="745"/>
    </row>
    <row r="607" spans="1:17">
      <c r="A607" s="745"/>
      <c r="B607" s="746"/>
      <c r="K607" s="746"/>
      <c r="L607" s="746"/>
      <c r="M607" s="746"/>
      <c r="N607" s="746"/>
      <c r="O607" s="745"/>
      <c r="P607" s="745"/>
      <c r="Q607" s="745"/>
    </row>
    <row r="608" spans="1:17">
      <c r="A608" s="745"/>
      <c r="B608" s="746"/>
      <c r="K608" s="746"/>
      <c r="L608" s="746"/>
      <c r="M608" s="746"/>
      <c r="N608" s="746"/>
      <c r="O608" s="745"/>
      <c r="P608" s="745"/>
      <c r="Q608" s="745"/>
    </row>
    <row r="609" spans="1:17">
      <c r="A609" s="745"/>
      <c r="B609" s="746"/>
      <c r="K609" s="746"/>
      <c r="L609" s="746"/>
      <c r="M609" s="746"/>
      <c r="N609" s="746"/>
      <c r="O609" s="745"/>
      <c r="P609" s="745"/>
      <c r="Q609" s="745"/>
    </row>
    <row r="610" spans="1:17">
      <c r="A610" s="745"/>
      <c r="B610" s="746"/>
      <c r="K610" s="746"/>
      <c r="L610" s="746"/>
      <c r="M610" s="746"/>
      <c r="N610" s="746"/>
      <c r="O610" s="745"/>
      <c r="P610" s="745"/>
      <c r="Q610" s="745"/>
    </row>
    <row r="611" spans="1:17">
      <c r="A611" s="745"/>
      <c r="B611" s="746"/>
      <c r="K611" s="746"/>
      <c r="L611" s="746"/>
      <c r="M611" s="746"/>
      <c r="N611" s="746"/>
      <c r="O611" s="745"/>
      <c r="P611" s="745"/>
      <c r="Q611" s="745"/>
    </row>
    <row r="612" spans="1:17">
      <c r="A612" s="745"/>
      <c r="B612" s="746"/>
      <c r="K612" s="746"/>
      <c r="L612" s="746"/>
      <c r="M612" s="746"/>
      <c r="N612" s="746"/>
      <c r="O612" s="745"/>
      <c r="P612" s="745"/>
      <c r="Q612" s="745"/>
    </row>
    <row r="613" spans="1:17">
      <c r="A613" s="745"/>
      <c r="B613" s="746"/>
      <c r="K613" s="746"/>
      <c r="L613" s="746"/>
      <c r="M613" s="746"/>
      <c r="N613" s="746"/>
      <c r="O613" s="745"/>
      <c r="P613" s="745"/>
      <c r="Q613" s="745"/>
    </row>
    <row r="614" spans="1:17">
      <c r="A614" s="745"/>
      <c r="B614" s="746"/>
      <c r="K614" s="746"/>
      <c r="L614" s="746"/>
      <c r="M614" s="746"/>
      <c r="N614" s="746"/>
      <c r="O614" s="745"/>
      <c r="P614" s="745"/>
      <c r="Q614" s="745"/>
    </row>
    <row r="615" spans="1:17">
      <c r="A615" s="745"/>
      <c r="B615" s="746"/>
      <c r="K615" s="746"/>
      <c r="L615" s="746"/>
      <c r="M615" s="746"/>
      <c r="N615" s="746"/>
      <c r="O615" s="745"/>
      <c r="P615" s="745"/>
      <c r="Q615" s="745"/>
    </row>
    <row r="616" spans="1:17">
      <c r="A616" s="745"/>
      <c r="B616" s="746"/>
      <c r="K616" s="746"/>
      <c r="L616" s="746"/>
      <c r="M616" s="746"/>
      <c r="N616" s="746"/>
      <c r="O616" s="745"/>
      <c r="P616" s="745"/>
      <c r="Q616" s="745"/>
    </row>
    <row r="617" spans="1:17">
      <c r="A617" s="745"/>
      <c r="B617" s="746"/>
      <c r="K617" s="746"/>
      <c r="L617" s="746"/>
      <c r="M617" s="746"/>
      <c r="N617" s="746"/>
      <c r="O617" s="745"/>
      <c r="P617" s="745"/>
      <c r="Q617" s="745"/>
    </row>
    <row r="618" spans="1:17">
      <c r="A618" s="745"/>
      <c r="B618" s="746"/>
      <c r="K618" s="746"/>
      <c r="L618" s="746"/>
      <c r="M618" s="746"/>
      <c r="N618" s="746"/>
      <c r="O618" s="745"/>
      <c r="P618" s="745"/>
      <c r="Q618" s="745"/>
    </row>
    <row r="619" spans="1:17">
      <c r="A619" s="745"/>
      <c r="B619" s="746"/>
      <c r="K619" s="746"/>
      <c r="L619" s="746"/>
      <c r="M619" s="746"/>
      <c r="N619" s="746"/>
      <c r="O619" s="745"/>
      <c r="P619" s="745"/>
      <c r="Q619" s="745"/>
    </row>
    <row r="620" spans="1:17">
      <c r="A620" s="745"/>
      <c r="B620" s="746"/>
      <c r="K620" s="746"/>
      <c r="L620" s="746"/>
      <c r="M620" s="746"/>
      <c r="N620" s="746"/>
      <c r="O620" s="745"/>
      <c r="P620" s="745"/>
      <c r="Q620" s="745"/>
    </row>
    <row r="621" spans="1:17">
      <c r="A621" s="745"/>
      <c r="B621" s="746"/>
      <c r="K621" s="746"/>
      <c r="L621" s="746"/>
      <c r="M621" s="746"/>
      <c r="N621" s="746"/>
      <c r="O621" s="745"/>
      <c r="P621" s="745"/>
      <c r="Q621" s="745"/>
    </row>
    <row r="622" spans="1:17">
      <c r="A622" s="745"/>
      <c r="B622" s="746"/>
      <c r="K622" s="746"/>
      <c r="L622" s="746"/>
      <c r="M622" s="746"/>
      <c r="N622" s="746"/>
      <c r="O622" s="745"/>
      <c r="P622" s="745"/>
      <c r="Q622" s="745"/>
    </row>
    <row r="623" spans="1:17">
      <c r="A623" s="745"/>
      <c r="B623" s="746"/>
      <c r="K623" s="746"/>
      <c r="L623" s="746"/>
      <c r="M623" s="746"/>
      <c r="N623" s="746"/>
      <c r="O623" s="745"/>
      <c r="P623" s="745"/>
      <c r="Q623" s="745"/>
    </row>
    <row r="624" spans="1:17">
      <c r="A624" s="745"/>
      <c r="B624" s="746"/>
      <c r="K624" s="746"/>
      <c r="L624" s="746"/>
      <c r="M624" s="746"/>
      <c r="N624" s="746"/>
      <c r="O624" s="745"/>
      <c r="P624" s="745"/>
      <c r="Q624" s="745"/>
    </row>
    <row r="625" spans="1:17">
      <c r="A625" s="745"/>
      <c r="B625" s="746"/>
      <c r="K625" s="746"/>
      <c r="L625" s="746"/>
      <c r="M625" s="746"/>
      <c r="N625" s="746"/>
      <c r="O625" s="745"/>
      <c r="P625" s="745"/>
      <c r="Q625" s="745"/>
    </row>
    <row r="626" spans="1:17">
      <c r="A626" s="745"/>
      <c r="B626" s="746"/>
      <c r="K626" s="746"/>
      <c r="L626" s="746"/>
      <c r="M626" s="746"/>
      <c r="N626" s="746"/>
      <c r="O626" s="745"/>
      <c r="P626" s="745"/>
      <c r="Q626" s="745"/>
    </row>
    <row r="627" spans="1:17">
      <c r="A627" s="745"/>
      <c r="B627" s="746"/>
      <c r="K627" s="746"/>
      <c r="L627" s="746"/>
      <c r="M627" s="746"/>
      <c r="N627" s="746"/>
      <c r="O627" s="745"/>
      <c r="P627" s="745"/>
      <c r="Q627" s="745"/>
    </row>
    <row r="628" spans="1:17">
      <c r="A628" s="745"/>
      <c r="B628" s="746"/>
      <c r="K628" s="746"/>
      <c r="L628" s="746"/>
      <c r="M628" s="746"/>
      <c r="N628" s="746"/>
      <c r="O628" s="745"/>
      <c r="P628" s="745"/>
      <c r="Q628" s="745"/>
    </row>
    <row r="629" spans="1:17">
      <c r="A629" s="745"/>
      <c r="B629" s="746"/>
      <c r="K629" s="746"/>
      <c r="L629" s="746"/>
      <c r="M629" s="746"/>
      <c r="N629" s="746"/>
      <c r="O629" s="745"/>
      <c r="P629" s="745"/>
      <c r="Q629" s="745"/>
    </row>
    <row r="630" spans="1:17">
      <c r="A630" s="745"/>
      <c r="B630" s="746"/>
      <c r="K630" s="746"/>
      <c r="L630" s="746"/>
      <c r="M630" s="746"/>
      <c r="N630" s="746"/>
      <c r="O630" s="745"/>
      <c r="P630" s="745"/>
      <c r="Q630" s="745"/>
    </row>
    <row r="631" spans="1:17">
      <c r="A631" s="745"/>
      <c r="B631" s="746"/>
      <c r="K631" s="746"/>
      <c r="L631" s="746"/>
      <c r="M631" s="746"/>
      <c r="N631" s="746"/>
      <c r="O631" s="745"/>
      <c r="P631" s="745"/>
      <c r="Q631" s="745"/>
    </row>
    <row r="632" spans="1:17">
      <c r="A632" s="745"/>
      <c r="B632" s="746"/>
      <c r="K632" s="746"/>
      <c r="L632" s="746"/>
      <c r="M632" s="746"/>
      <c r="N632" s="746"/>
      <c r="O632" s="745"/>
      <c r="P632" s="745"/>
      <c r="Q632" s="745"/>
    </row>
    <row r="633" spans="1:17">
      <c r="A633" s="745"/>
      <c r="B633" s="746"/>
      <c r="K633" s="746"/>
      <c r="L633" s="746"/>
      <c r="M633" s="746"/>
      <c r="N633" s="746"/>
      <c r="O633" s="745"/>
      <c r="P633" s="745"/>
      <c r="Q633" s="745"/>
    </row>
    <row r="634" spans="1:17">
      <c r="A634" s="745"/>
      <c r="B634" s="746"/>
      <c r="K634" s="746"/>
      <c r="L634" s="746"/>
      <c r="M634" s="746"/>
      <c r="N634" s="746"/>
      <c r="O634" s="745"/>
      <c r="P634" s="745"/>
      <c r="Q634" s="745"/>
    </row>
    <row r="635" spans="1:17">
      <c r="A635" s="745"/>
      <c r="B635" s="746"/>
      <c r="K635" s="746"/>
      <c r="L635" s="746"/>
      <c r="M635" s="746"/>
      <c r="N635" s="746"/>
      <c r="O635" s="745"/>
      <c r="P635" s="745"/>
      <c r="Q635" s="745"/>
    </row>
    <row r="636" spans="1:17">
      <c r="A636" s="745"/>
      <c r="B636" s="746"/>
      <c r="K636" s="746"/>
      <c r="L636" s="746"/>
      <c r="M636" s="746"/>
      <c r="N636" s="746"/>
      <c r="O636" s="745"/>
      <c r="P636" s="745"/>
      <c r="Q636" s="745"/>
    </row>
    <row r="637" spans="1:17">
      <c r="A637" s="745"/>
      <c r="B637" s="746"/>
      <c r="K637" s="746"/>
      <c r="L637" s="746"/>
      <c r="M637" s="746"/>
      <c r="N637" s="746"/>
      <c r="O637" s="745"/>
      <c r="P637" s="745"/>
      <c r="Q637" s="745"/>
    </row>
    <row r="638" spans="1:17">
      <c r="A638" s="745"/>
      <c r="B638" s="746"/>
      <c r="K638" s="746"/>
      <c r="L638" s="746"/>
      <c r="M638" s="746"/>
      <c r="N638" s="746"/>
      <c r="O638" s="745"/>
      <c r="P638" s="745"/>
      <c r="Q638" s="745"/>
    </row>
    <row r="639" spans="1:17">
      <c r="A639" s="745"/>
      <c r="B639" s="746"/>
      <c r="K639" s="746"/>
      <c r="L639" s="746"/>
      <c r="M639" s="746"/>
      <c r="N639" s="746"/>
      <c r="O639" s="745"/>
      <c r="P639" s="745"/>
      <c r="Q639" s="745"/>
    </row>
    <row r="640" spans="1:17">
      <c r="A640" s="745"/>
      <c r="B640" s="746"/>
      <c r="K640" s="746"/>
      <c r="L640" s="746"/>
      <c r="M640" s="746"/>
      <c r="N640" s="746"/>
      <c r="O640" s="745"/>
      <c r="P640" s="745"/>
      <c r="Q640" s="745"/>
    </row>
    <row r="641" spans="1:17">
      <c r="A641" s="745"/>
      <c r="B641" s="746"/>
      <c r="K641" s="746"/>
      <c r="L641" s="746"/>
      <c r="M641" s="746"/>
      <c r="N641" s="746"/>
      <c r="O641" s="745"/>
      <c r="P641" s="745"/>
      <c r="Q641" s="745"/>
    </row>
    <row r="642" spans="1:17">
      <c r="A642" s="745"/>
      <c r="B642" s="746"/>
      <c r="K642" s="746"/>
      <c r="L642" s="746"/>
      <c r="M642" s="746"/>
      <c r="N642" s="746"/>
      <c r="O642" s="745"/>
      <c r="P642" s="745"/>
      <c r="Q642" s="745"/>
    </row>
    <row r="643" spans="1:17">
      <c r="A643" s="745"/>
      <c r="B643" s="746"/>
      <c r="K643" s="746"/>
      <c r="L643" s="746"/>
      <c r="M643" s="746"/>
      <c r="N643" s="746"/>
      <c r="O643" s="745"/>
      <c r="P643" s="745"/>
      <c r="Q643" s="745"/>
    </row>
    <row r="644" spans="1:17">
      <c r="A644" s="745"/>
      <c r="B644" s="746"/>
      <c r="K644" s="746"/>
      <c r="L644" s="746"/>
      <c r="M644" s="746"/>
      <c r="N644" s="746"/>
      <c r="O644" s="745"/>
      <c r="P644" s="745"/>
      <c r="Q644" s="745"/>
    </row>
    <row r="645" spans="1:17">
      <c r="A645" s="745"/>
      <c r="B645" s="746"/>
      <c r="K645" s="746"/>
      <c r="L645" s="746"/>
      <c r="M645" s="746"/>
      <c r="N645" s="746"/>
      <c r="O645" s="745"/>
      <c r="P645" s="745"/>
      <c r="Q645" s="745"/>
    </row>
    <row r="646" spans="1:17">
      <c r="A646" s="745"/>
      <c r="B646" s="746"/>
      <c r="K646" s="746"/>
      <c r="L646" s="746"/>
      <c r="M646" s="746"/>
      <c r="N646" s="746"/>
      <c r="O646" s="745"/>
      <c r="P646" s="745"/>
      <c r="Q646" s="745"/>
    </row>
    <row r="647" spans="1:17">
      <c r="A647" s="745"/>
      <c r="B647" s="746"/>
      <c r="K647" s="746"/>
      <c r="L647" s="746"/>
      <c r="M647" s="746"/>
      <c r="N647" s="746"/>
      <c r="O647" s="745"/>
      <c r="P647" s="745"/>
      <c r="Q647" s="745"/>
    </row>
    <row r="648" spans="1:17">
      <c r="A648" s="745"/>
      <c r="B648" s="746"/>
      <c r="K648" s="746"/>
      <c r="L648" s="746"/>
      <c r="M648" s="746"/>
      <c r="N648" s="746"/>
      <c r="O648" s="745"/>
      <c r="P648" s="745"/>
      <c r="Q648" s="745"/>
    </row>
    <row r="649" spans="1:17">
      <c r="A649" s="745"/>
      <c r="B649" s="746"/>
      <c r="K649" s="746"/>
      <c r="L649" s="746"/>
      <c r="M649" s="746"/>
      <c r="N649" s="746"/>
      <c r="O649" s="745"/>
      <c r="P649" s="745"/>
      <c r="Q649" s="745"/>
    </row>
    <row r="650" spans="1:17">
      <c r="A650" s="745"/>
      <c r="B650" s="746"/>
      <c r="K650" s="746"/>
      <c r="L650" s="746"/>
      <c r="M650" s="746"/>
      <c r="N650" s="746"/>
      <c r="O650" s="745"/>
      <c r="P650" s="745"/>
      <c r="Q650" s="745"/>
    </row>
    <row r="651" spans="1:17">
      <c r="A651" s="745"/>
      <c r="B651" s="746"/>
      <c r="K651" s="746"/>
      <c r="L651" s="746"/>
      <c r="M651" s="746"/>
      <c r="N651" s="746"/>
      <c r="O651" s="745"/>
      <c r="P651" s="745"/>
      <c r="Q651" s="745"/>
    </row>
    <row r="652" spans="1:17">
      <c r="A652" s="745"/>
      <c r="B652" s="746"/>
      <c r="K652" s="746"/>
      <c r="L652" s="746"/>
      <c r="M652" s="746"/>
      <c r="N652" s="746"/>
      <c r="O652" s="745"/>
      <c r="P652" s="745"/>
      <c r="Q652" s="745"/>
    </row>
    <row r="653" spans="1:17">
      <c r="A653" s="745"/>
      <c r="B653" s="746"/>
      <c r="K653" s="746"/>
      <c r="L653" s="746"/>
      <c r="M653" s="746"/>
      <c r="N653" s="746"/>
      <c r="O653" s="745"/>
      <c r="P653" s="745"/>
      <c r="Q653" s="745"/>
    </row>
    <row r="654" spans="1:17">
      <c r="A654" s="745"/>
      <c r="B654" s="746"/>
      <c r="K654" s="746"/>
      <c r="L654" s="746"/>
      <c r="M654" s="746"/>
      <c r="N654" s="746"/>
      <c r="O654" s="745"/>
      <c r="P654" s="745"/>
      <c r="Q654" s="745"/>
    </row>
    <row r="655" spans="1:17">
      <c r="A655" s="745"/>
      <c r="B655" s="746"/>
      <c r="K655" s="746"/>
      <c r="L655" s="746"/>
      <c r="M655" s="746"/>
      <c r="N655" s="746"/>
      <c r="O655" s="745"/>
      <c r="P655" s="745"/>
      <c r="Q655" s="745"/>
    </row>
    <row r="656" spans="1:17">
      <c r="A656" s="745"/>
      <c r="B656" s="746"/>
      <c r="K656" s="746"/>
      <c r="L656" s="746"/>
      <c r="M656" s="746"/>
      <c r="N656" s="746"/>
      <c r="O656" s="745"/>
      <c r="P656" s="745"/>
      <c r="Q656" s="745"/>
    </row>
    <row r="657" spans="1:17">
      <c r="A657" s="745"/>
      <c r="B657" s="746"/>
      <c r="K657" s="746"/>
      <c r="L657" s="746"/>
      <c r="M657" s="746"/>
      <c r="N657" s="746"/>
      <c r="O657" s="745"/>
      <c r="P657" s="745"/>
      <c r="Q657" s="745"/>
    </row>
    <row r="658" spans="1:17">
      <c r="A658" s="745"/>
      <c r="B658" s="746"/>
      <c r="K658" s="746"/>
      <c r="L658" s="746"/>
      <c r="M658" s="746"/>
      <c r="N658" s="746"/>
      <c r="O658" s="745"/>
      <c r="P658" s="745"/>
      <c r="Q658" s="745"/>
    </row>
    <row r="659" spans="1:17">
      <c r="A659" s="745"/>
      <c r="B659" s="746"/>
      <c r="K659" s="746"/>
      <c r="L659" s="746"/>
      <c r="M659" s="746"/>
      <c r="N659" s="746"/>
      <c r="O659" s="745"/>
      <c r="P659" s="745"/>
      <c r="Q659" s="745"/>
    </row>
    <row r="660" spans="1:17">
      <c r="A660" s="745"/>
      <c r="B660" s="746"/>
      <c r="K660" s="746"/>
      <c r="L660" s="746"/>
      <c r="M660" s="746"/>
      <c r="N660" s="746"/>
      <c r="O660" s="745"/>
      <c r="P660" s="745"/>
      <c r="Q660" s="745"/>
    </row>
    <row r="661" spans="1:17">
      <c r="A661" s="745"/>
      <c r="B661" s="746"/>
      <c r="K661" s="746"/>
      <c r="L661" s="746"/>
      <c r="M661" s="746"/>
      <c r="N661" s="746"/>
      <c r="O661" s="745"/>
      <c r="P661" s="745"/>
      <c r="Q661" s="745"/>
    </row>
    <row r="662" spans="1:17">
      <c r="A662" s="745"/>
      <c r="B662" s="746"/>
      <c r="K662" s="746"/>
      <c r="L662" s="746"/>
      <c r="M662" s="746"/>
      <c r="N662" s="746"/>
      <c r="O662" s="745"/>
      <c r="P662" s="745"/>
      <c r="Q662" s="745"/>
    </row>
    <row r="663" spans="1:17">
      <c r="A663" s="745"/>
      <c r="B663" s="746"/>
      <c r="K663" s="746"/>
      <c r="L663" s="746"/>
      <c r="M663" s="746"/>
      <c r="N663" s="746"/>
      <c r="O663" s="745"/>
      <c r="P663" s="745"/>
      <c r="Q663" s="745"/>
    </row>
    <row r="664" spans="1:17">
      <c r="A664" s="745"/>
      <c r="B664" s="746"/>
      <c r="K664" s="746"/>
      <c r="L664" s="746"/>
      <c r="M664" s="746"/>
      <c r="N664" s="746"/>
      <c r="O664" s="745"/>
      <c r="P664" s="745"/>
      <c r="Q664" s="745"/>
    </row>
    <row r="665" spans="1:17">
      <c r="A665" s="745"/>
      <c r="B665" s="746"/>
      <c r="K665" s="746"/>
      <c r="L665" s="746"/>
      <c r="M665" s="746"/>
      <c r="N665" s="746"/>
      <c r="O665" s="745"/>
      <c r="P665" s="745"/>
      <c r="Q665" s="745"/>
    </row>
    <row r="666" spans="1:17">
      <c r="A666" s="745"/>
      <c r="B666" s="746"/>
      <c r="K666" s="746"/>
      <c r="L666" s="746"/>
      <c r="M666" s="746"/>
      <c r="N666" s="746"/>
      <c r="O666" s="745"/>
      <c r="P666" s="745"/>
      <c r="Q666" s="745"/>
    </row>
    <row r="667" spans="1:17">
      <c r="A667" s="745"/>
      <c r="B667" s="746"/>
      <c r="K667" s="746"/>
      <c r="L667" s="746"/>
      <c r="M667" s="746"/>
      <c r="N667" s="746"/>
      <c r="O667" s="745"/>
      <c r="P667" s="745"/>
      <c r="Q667" s="745"/>
    </row>
    <row r="668" spans="1:17">
      <c r="A668" s="745"/>
      <c r="B668" s="746"/>
      <c r="K668" s="746"/>
      <c r="L668" s="746"/>
      <c r="M668" s="746"/>
      <c r="N668" s="746"/>
      <c r="O668" s="745"/>
      <c r="P668" s="745"/>
      <c r="Q668" s="745"/>
    </row>
    <row r="669" spans="1:17">
      <c r="A669" s="745"/>
      <c r="B669" s="746"/>
      <c r="K669" s="746"/>
      <c r="L669" s="746"/>
      <c r="M669" s="746"/>
      <c r="N669" s="746"/>
      <c r="O669" s="745"/>
      <c r="P669" s="745"/>
      <c r="Q669" s="745"/>
    </row>
    <row r="670" spans="1:17">
      <c r="A670" s="745"/>
      <c r="B670" s="746"/>
      <c r="K670" s="746"/>
      <c r="L670" s="746"/>
      <c r="M670" s="746"/>
      <c r="N670" s="746"/>
      <c r="O670" s="745"/>
      <c r="P670" s="745"/>
      <c r="Q670" s="745"/>
    </row>
    <row r="671" spans="1:17">
      <c r="A671" s="745"/>
      <c r="B671" s="746"/>
      <c r="K671" s="746"/>
      <c r="L671" s="746"/>
      <c r="M671" s="746"/>
      <c r="N671" s="746"/>
      <c r="O671" s="745"/>
      <c r="P671" s="745"/>
      <c r="Q671" s="745"/>
    </row>
    <row r="672" spans="1:17">
      <c r="A672" s="745"/>
      <c r="B672" s="746"/>
      <c r="K672" s="746"/>
      <c r="L672" s="746"/>
      <c r="M672" s="746"/>
      <c r="N672" s="746"/>
      <c r="O672" s="745"/>
      <c r="P672" s="745"/>
      <c r="Q672" s="745"/>
    </row>
    <row r="673" spans="1:17">
      <c r="A673" s="745"/>
      <c r="B673" s="746"/>
      <c r="K673" s="746"/>
      <c r="L673" s="746"/>
      <c r="M673" s="746"/>
      <c r="N673" s="746"/>
      <c r="O673" s="745"/>
      <c r="P673" s="745"/>
      <c r="Q673" s="745"/>
    </row>
    <row r="674" spans="1:17">
      <c r="A674" s="745"/>
      <c r="B674" s="746"/>
      <c r="K674" s="746"/>
      <c r="L674" s="746"/>
      <c r="M674" s="746"/>
      <c r="N674" s="746"/>
      <c r="O674" s="745"/>
      <c r="P674" s="745"/>
      <c r="Q674" s="745"/>
    </row>
    <row r="675" spans="1:17">
      <c r="A675" s="745"/>
      <c r="B675" s="746"/>
      <c r="K675" s="746"/>
      <c r="L675" s="746"/>
      <c r="M675" s="746"/>
      <c r="N675" s="746"/>
      <c r="O675" s="745"/>
      <c r="P675" s="745"/>
      <c r="Q675" s="745"/>
    </row>
    <row r="676" spans="1:17">
      <c r="A676" s="745"/>
      <c r="B676" s="746"/>
      <c r="K676" s="746"/>
      <c r="L676" s="746"/>
      <c r="M676" s="746"/>
      <c r="N676" s="746"/>
      <c r="O676" s="745"/>
      <c r="P676" s="745"/>
      <c r="Q676" s="745"/>
    </row>
    <row r="677" spans="1:17">
      <c r="A677" s="745"/>
      <c r="B677" s="746"/>
      <c r="K677" s="746"/>
      <c r="L677" s="746"/>
      <c r="M677" s="746"/>
      <c r="N677" s="746"/>
      <c r="O677" s="745"/>
      <c r="P677" s="745"/>
      <c r="Q677" s="745"/>
    </row>
    <row r="678" spans="1:17">
      <c r="A678" s="745"/>
      <c r="B678" s="746"/>
      <c r="K678" s="746"/>
      <c r="L678" s="746"/>
      <c r="M678" s="746"/>
      <c r="N678" s="746"/>
      <c r="O678" s="745"/>
      <c r="P678" s="745"/>
      <c r="Q678" s="745"/>
    </row>
    <row r="679" spans="1:17">
      <c r="A679" s="745"/>
      <c r="B679" s="746"/>
      <c r="K679" s="746"/>
      <c r="L679" s="746"/>
      <c r="M679" s="746"/>
      <c r="N679" s="746"/>
      <c r="O679" s="745"/>
      <c r="P679" s="745"/>
      <c r="Q679" s="745"/>
    </row>
    <row r="680" spans="1:17">
      <c r="A680" s="745"/>
      <c r="B680" s="746"/>
      <c r="K680" s="746"/>
      <c r="L680" s="746"/>
      <c r="M680" s="746"/>
      <c r="N680" s="746"/>
      <c r="O680" s="745"/>
      <c r="P680" s="745"/>
      <c r="Q680" s="745"/>
    </row>
    <row r="681" spans="1:17">
      <c r="A681" s="745"/>
      <c r="B681" s="746"/>
      <c r="K681" s="746"/>
      <c r="L681" s="746"/>
      <c r="M681" s="746"/>
      <c r="N681" s="746"/>
      <c r="O681" s="745"/>
      <c r="P681" s="745"/>
      <c r="Q681" s="745"/>
    </row>
    <row r="682" spans="1:17">
      <c r="A682" s="745"/>
      <c r="B682" s="746"/>
      <c r="K682" s="746"/>
      <c r="L682" s="746"/>
      <c r="M682" s="746"/>
      <c r="N682" s="746"/>
      <c r="O682" s="745"/>
      <c r="P682" s="745"/>
      <c r="Q682" s="745"/>
    </row>
    <row r="683" spans="1:17">
      <c r="A683" s="745"/>
      <c r="B683" s="746"/>
      <c r="K683" s="746"/>
      <c r="L683" s="746"/>
      <c r="M683" s="746"/>
      <c r="N683" s="746"/>
      <c r="O683" s="745"/>
      <c r="P683" s="745"/>
      <c r="Q683" s="745"/>
    </row>
    <row r="684" spans="1:17">
      <c r="A684" s="745"/>
      <c r="B684" s="746"/>
      <c r="K684" s="746"/>
      <c r="L684" s="746"/>
      <c r="M684" s="746"/>
      <c r="N684" s="746"/>
      <c r="O684" s="745"/>
      <c r="P684" s="745"/>
      <c r="Q684" s="745"/>
    </row>
    <row r="685" spans="1:17">
      <c r="A685" s="745"/>
      <c r="B685" s="746"/>
      <c r="K685" s="746"/>
      <c r="L685" s="746"/>
      <c r="M685" s="746"/>
      <c r="N685" s="746"/>
      <c r="O685" s="745"/>
      <c r="P685" s="745"/>
      <c r="Q685" s="745"/>
    </row>
    <row r="686" spans="1:17">
      <c r="A686" s="745"/>
      <c r="B686" s="746"/>
      <c r="K686" s="746"/>
      <c r="L686" s="746"/>
      <c r="M686" s="746"/>
      <c r="N686" s="746"/>
      <c r="O686" s="745"/>
      <c r="P686" s="745"/>
      <c r="Q686" s="745"/>
    </row>
    <row r="687" spans="1:17">
      <c r="A687" s="745"/>
      <c r="B687" s="746"/>
      <c r="K687" s="746"/>
      <c r="L687" s="746"/>
      <c r="M687" s="746"/>
      <c r="N687" s="746"/>
      <c r="O687" s="745"/>
      <c r="P687" s="745"/>
      <c r="Q687" s="745"/>
    </row>
    <row r="688" spans="1:17">
      <c r="A688" s="745"/>
      <c r="B688" s="746"/>
      <c r="K688" s="746"/>
      <c r="L688" s="746"/>
      <c r="M688" s="746"/>
      <c r="N688" s="746"/>
      <c r="O688" s="745"/>
      <c r="P688" s="745"/>
      <c r="Q688" s="745"/>
    </row>
    <row r="689" spans="1:17">
      <c r="A689" s="745"/>
      <c r="B689" s="746"/>
      <c r="K689" s="746"/>
      <c r="L689" s="746"/>
      <c r="M689" s="746"/>
      <c r="N689" s="746"/>
      <c r="O689" s="745"/>
      <c r="P689" s="745"/>
      <c r="Q689" s="745"/>
    </row>
    <row r="690" spans="1:17">
      <c r="A690" s="745"/>
      <c r="B690" s="746"/>
      <c r="K690" s="746"/>
      <c r="L690" s="746"/>
      <c r="M690" s="746"/>
      <c r="N690" s="746"/>
      <c r="O690" s="745"/>
      <c r="P690" s="745"/>
      <c r="Q690" s="745"/>
    </row>
    <row r="691" spans="1:17">
      <c r="A691" s="745"/>
      <c r="B691" s="746"/>
      <c r="K691" s="746"/>
      <c r="L691" s="746"/>
      <c r="M691" s="746"/>
      <c r="N691" s="746"/>
      <c r="O691" s="745"/>
      <c r="P691" s="745"/>
      <c r="Q691" s="745"/>
    </row>
    <row r="692" spans="1:17">
      <c r="A692" s="745"/>
      <c r="B692" s="746"/>
      <c r="K692" s="746"/>
      <c r="L692" s="746"/>
      <c r="M692" s="746"/>
      <c r="N692" s="746"/>
      <c r="O692" s="745"/>
      <c r="P692" s="745"/>
      <c r="Q692" s="745"/>
    </row>
    <row r="693" spans="1:17">
      <c r="A693" s="745"/>
      <c r="B693" s="746"/>
      <c r="K693" s="746"/>
      <c r="L693" s="746"/>
      <c r="M693" s="746"/>
      <c r="N693" s="746"/>
      <c r="O693" s="745"/>
      <c r="P693" s="745"/>
      <c r="Q693" s="745"/>
    </row>
    <row r="694" spans="1:17">
      <c r="A694" s="745"/>
      <c r="B694" s="746"/>
      <c r="K694" s="746"/>
      <c r="L694" s="746"/>
      <c r="M694" s="746"/>
      <c r="N694" s="746"/>
      <c r="O694" s="745"/>
      <c r="P694" s="745"/>
      <c r="Q694" s="745"/>
    </row>
    <row r="695" spans="1:17">
      <c r="A695" s="745"/>
      <c r="B695" s="746"/>
      <c r="K695" s="746"/>
      <c r="L695" s="746"/>
      <c r="M695" s="746"/>
      <c r="N695" s="746"/>
      <c r="O695" s="745"/>
      <c r="P695" s="745"/>
      <c r="Q695" s="745"/>
    </row>
    <row r="696" spans="1:17">
      <c r="A696" s="745"/>
      <c r="B696" s="746"/>
      <c r="K696" s="746"/>
      <c r="L696" s="746"/>
      <c r="M696" s="746"/>
      <c r="N696" s="746"/>
      <c r="O696" s="745"/>
      <c r="P696" s="745"/>
      <c r="Q696" s="745"/>
    </row>
    <row r="697" spans="1:17">
      <c r="A697" s="745"/>
      <c r="B697" s="746"/>
      <c r="K697" s="746"/>
      <c r="L697" s="746"/>
      <c r="M697" s="746"/>
      <c r="N697" s="746"/>
      <c r="O697" s="745"/>
      <c r="P697" s="745"/>
      <c r="Q697" s="745"/>
    </row>
    <row r="698" spans="1:17">
      <c r="A698" s="745"/>
      <c r="B698" s="746"/>
      <c r="K698" s="746"/>
      <c r="L698" s="746"/>
      <c r="M698" s="746"/>
      <c r="N698" s="746"/>
      <c r="O698" s="745"/>
      <c r="P698" s="745"/>
      <c r="Q698" s="745"/>
    </row>
    <row r="699" spans="1:17">
      <c r="A699" s="745"/>
      <c r="B699" s="746"/>
      <c r="K699" s="746"/>
      <c r="L699" s="746"/>
      <c r="M699" s="746"/>
      <c r="N699" s="746"/>
      <c r="O699" s="745"/>
      <c r="P699" s="745"/>
      <c r="Q699" s="745"/>
    </row>
    <row r="700" spans="1:17">
      <c r="A700" s="745"/>
      <c r="B700" s="746"/>
      <c r="K700" s="746"/>
      <c r="L700" s="746"/>
      <c r="M700" s="746"/>
      <c r="N700" s="746"/>
      <c r="O700" s="745"/>
      <c r="P700" s="745"/>
      <c r="Q700" s="745"/>
    </row>
    <row r="701" spans="1:17">
      <c r="A701" s="745"/>
      <c r="B701" s="746"/>
      <c r="K701" s="746"/>
      <c r="L701" s="746"/>
      <c r="M701" s="746"/>
      <c r="N701" s="746"/>
      <c r="O701" s="745"/>
      <c r="P701" s="745"/>
      <c r="Q701" s="745"/>
    </row>
    <row r="702" spans="1:17">
      <c r="A702" s="745"/>
      <c r="B702" s="746"/>
      <c r="K702" s="746"/>
      <c r="L702" s="746"/>
      <c r="M702" s="746"/>
      <c r="N702" s="746"/>
      <c r="O702" s="745"/>
      <c r="P702" s="745"/>
      <c r="Q702" s="745"/>
    </row>
    <row r="703" spans="1:17">
      <c r="A703" s="745"/>
      <c r="B703" s="746"/>
      <c r="K703" s="746"/>
      <c r="L703" s="746"/>
      <c r="M703" s="746"/>
      <c r="N703" s="746"/>
      <c r="O703" s="745"/>
      <c r="P703" s="745"/>
      <c r="Q703" s="745"/>
    </row>
    <row r="704" spans="1:17">
      <c r="A704" s="745"/>
      <c r="B704" s="746"/>
      <c r="K704" s="746"/>
      <c r="L704" s="746"/>
      <c r="M704" s="746"/>
      <c r="N704" s="746"/>
      <c r="O704" s="745"/>
      <c r="P704" s="745"/>
      <c r="Q704" s="745"/>
    </row>
    <row r="705" spans="1:17">
      <c r="A705" s="745"/>
      <c r="B705" s="746"/>
      <c r="K705" s="746"/>
      <c r="L705" s="746"/>
      <c r="M705" s="746"/>
      <c r="N705" s="746"/>
      <c r="O705" s="745"/>
      <c r="P705" s="745"/>
      <c r="Q705" s="745"/>
    </row>
    <row r="706" spans="1:17">
      <c r="A706" s="745"/>
      <c r="B706" s="746"/>
      <c r="K706" s="746"/>
      <c r="L706" s="746"/>
      <c r="M706" s="746"/>
      <c r="N706" s="746"/>
      <c r="O706" s="745"/>
      <c r="P706" s="745"/>
      <c r="Q706" s="745"/>
    </row>
    <row r="707" spans="1:17">
      <c r="A707" s="745"/>
      <c r="B707" s="746"/>
      <c r="K707" s="746"/>
      <c r="L707" s="746"/>
      <c r="M707" s="746"/>
      <c r="N707" s="746"/>
      <c r="O707" s="745"/>
      <c r="P707" s="745"/>
      <c r="Q707" s="745"/>
    </row>
    <row r="708" spans="1:17">
      <c r="A708" s="745"/>
      <c r="B708" s="746"/>
      <c r="K708" s="746"/>
      <c r="L708" s="746"/>
      <c r="M708" s="746"/>
      <c r="N708" s="746"/>
      <c r="O708" s="745"/>
      <c r="P708" s="745"/>
      <c r="Q708" s="745"/>
    </row>
    <row r="709" spans="1:17">
      <c r="A709" s="745"/>
      <c r="B709" s="746"/>
      <c r="K709" s="746"/>
      <c r="L709" s="746"/>
      <c r="M709" s="746"/>
      <c r="N709" s="746"/>
      <c r="O709" s="745"/>
      <c r="P709" s="745"/>
      <c r="Q709" s="745"/>
    </row>
    <row r="710" spans="1:17">
      <c r="A710" s="745"/>
      <c r="B710" s="746"/>
      <c r="K710" s="746"/>
      <c r="L710" s="746"/>
      <c r="M710" s="746"/>
      <c r="N710" s="746"/>
      <c r="O710" s="745"/>
      <c r="P710" s="745"/>
      <c r="Q710" s="745"/>
    </row>
    <row r="711" spans="1:17">
      <c r="A711" s="745"/>
      <c r="B711" s="746"/>
      <c r="K711" s="746"/>
      <c r="L711" s="746"/>
      <c r="M711" s="746"/>
      <c r="N711" s="746"/>
      <c r="O711" s="745"/>
      <c r="P711" s="745"/>
      <c r="Q711" s="745"/>
    </row>
    <row r="712" spans="1:17">
      <c r="A712" s="745"/>
      <c r="B712" s="746"/>
      <c r="K712" s="746"/>
      <c r="L712" s="746"/>
      <c r="M712" s="746"/>
      <c r="N712" s="746"/>
      <c r="O712" s="745"/>
      <c r="P712" s="745"/>
      <c r="Q712" s="745"/>
    </row>
    <row r="713" spans="1:17">
      <c r="A713" s="745"/>
      <c r="B713" s="746"/>
      <c r="K713" s="746"/>
      <c r="L713" s="746"/>
      <c r="M713" s="746"/>
      <c r="N713" s="746"/>
      <c r="O713" s="745"/>
      <c r="P713" s="745"/>
      <c r="Q713" s="745"/>
    </row>
    <row r="714" spans="1:17">
      <c r="A714" s="745"/>
      <c r="B714" s="746"/>
      <c r="K714" s="746"/>
      <c r="L714" s="746"/>
      <c r="M714" s="746"/>
      <c r="N714" s="746"/>
      <c r="O714" s="745"/>
      <c r="P714" s="745"/>
      <c r="Q714" s="745"/>
    </row>
    <row r="715" spans="1:17">
      <c r="A715" s="745"/>
      <c r="B715" s="746"/>
      <c r="K715" s="746"/>
      <c r="L715" s="746"/>
      <c r="M715" s="746"/>
      <c r="N715" s="746"/>
      <c r="O715" s="745"/>
      <c r="P715" s="745"/>
      <c r="Q715" s="745"/>
    </row>
    <row r="716" spans="1:17">
      <c r="A716" s="745"/>
      <c r="B716" s="746"/>
      <c r="K716" s="746"/>
      <c r="L716" s="746"/>
      <c r="M716" s="746"/>
      <c r="N716" s="746"/>
      <c r="O716" s="745"/>
      <c r="P716" s="745"/>
      <c r="Q716" s="745"/>
    </row>
    <row r="717" spans="1:17">
      <c r="A717" s="745"/>
      <c r="B717" s="746"/>
      <c r="K717" s="746"/>
      <c r="L717" s="746"/>
      <c r="M717" s="746"/>
      <c r="N717" s="746"/>
      <c r="O717" s="745"/>
      <c r="P717" s="745"/>
      <c r="Q717" s="745"/>
    </row>
    <row r="718" spans="1:17">
      <c r="A718" s="745"/>
      <c r="B718" s="746"/>
      <c r="K718" s="746"/>
      <c r="L718" s="746"/>
      <c r="M718" s="746"/>
      <c r="N718" s="746"/>
      <c r="O718" s="745"/>
      <c r="P718" s="745"/>
      <c r="Q718" s="745"/>
    </row>
    <row r="719" spans="1:17">
      <c r="A719" s="745"/>
      <c r="B719" s="746"/>
      <c r="K719" s="746"/>
      <c r="L719" s="746"/>
      <c r="M719" s="746"/>
      <c r="N719" s="746"/>
      <c r="O719" s="745"/>
      <c r="P719" s="745"/>
      <c r="Q719" s="745"/>
    </row>
    <row r="720" spans="1:17">
      <c r="A720" s="745"/>
      <c r="B720" s="746"/>
      <c r="K720" s="746"/>
      <c r="L720" s="746"/>
      <c r="M720" s="746"/>
      <c r="N720" s="746"/>
      <c r="O720" s="745"/>
      <c r="P720" s="745"/>
      <c r="Q720" s="745"/>
    </row>
    <row r="721" spans="1:17">
      <c r="A721" s="745"/>
      <c r="B721" s="746"/>
      <c r="K721" s="746"/>
      <c r="L721" s="746"/>
      <c r="M721" s="746"/>
      <c r="N721" s="746"/>
      <c r="O721" s="745"/>
      <c r="P721" s="745"/>
      <c r="Q721" s="745"/>
    </row>
    <row r="722" spans="1:17">
      <c r="A722" s="745"/>
      <c r="B722" s="746"/>
      <c r="K722" s="746"/>
      <c r="L722" s="746"/>
      <c r="M722" s="746"/>
      <c r="N722" s="746"/>
      <c r="O722" s="745"/>
      <c r="P722" s="745"/>
      <c r="Q722" s="745"/>
    </row>
    <row r="723" spans="1:17">
      <c r="A723" s="745"/>
      <c r="B723" s="746"/>
      <c r="K723" s="746"/>
      <c r="L723" s="746"/>
      <c r="M723" s="746"/>
      <c r="N723" s="746"/>
      <c r="O723" s="745"/>
      <c r="P723" s="745"/>
      <c r="Q723" s="745"/>
    </row>
    <row r="724" spans="1:17">
      <c r="A724" s="745"/>
      <c r="B724" s="746"/>
      <c r="K724" s="746"/>
      <c r="L724" s="746"/>
      <c r="M724" s="746"/>
      <c r="N724" s="746"/>
      <c r="O724" s="745"/>
      <c r="P724" s="745"/>
      <c r="Q724" s="745"/>
    </row>
    <row r="725" spans="1:17">
      <c r="A725" s="745"/>
      <c r="B725" s="746"/>
      <c r="K725" s="746"/>
      <c r="L725" s="746"/>
      <c r="M725" s="746"/>
      <c r="N725" s="746"/>
      <c r="O725" s="745"/>
      <c r="P725" s="745"/>
      <c r="Q725" s="745"/>
    </row>
    <row r="726" spans="1:17">
      <c r="A726" s="745"/>
      <c r="B726" s="746"/>
      <c r="K726" s="746"/>
      <c r="L726" s="746"/>
      <c r="M726" s="746"/>
      <c r="N726" s="746"/>
      <c r="O726" s="745"/>
      <c r="P726" s="745"/>
      <c r="Q726" s="745"/>
    </row>
    <row r="727" spans="1:17">
      <c r="A727" s="745"/>
      <c r="B727" s="746"/>
      <c r="K727" s="746"/>
      <c r="L727" s="746"/>
      <c r="M727" s="746"/>
      <c r="N727" s="746"/>
      <c r="O727" s="745"/>
      <c r="P727" s="745"/>
      <c r="Q727" s="745"/>
    </row>
    <row r="728" spans="1:17">
      <c r="A728" s="745"/>
      <c r="B728" s="746"/>
      <c r="K728" s="746"/>
      <c r="L728" s="746"/>
      <c r="M728" s="746"/>
      <c r="N728" s="746"/>
      <c r="O728" s="745"/>
      <c r="P728" s="745"/>
      <c r="Q728" s="745"/>
    </row>
    <row r="729" spans="1:17">
      <c r="A729" s="745"/>
      <c r="B729" s="746"/>
      <c r="K729" s="746"/>
      <c r="L729" s="746"/>
      <c r="M729" s="746"/>
      <c r="N729" s="746"/>
      <c r="O729" s="745"/>
      <c r="P729" s="745"/>
      <c r="Q729" s="745"/>
    </row>
    <row r="730" spans="1:17">
      <c r="A730" s="745"/>
      <c r="B730" s="746"/>
      <c r="K730" s="746"/>
      <c r="L730" s="746"/>
      <c r="M730" s="746"/>
      <c r="N730" s="746"/>
      <c r="O730" s="745"/>
      <c r="P730" s="745"/>
      <c r="Q730" s="745"/>
    </row>
    <row r="731" spans="1:17">
      <c r="A731" s="745"/>
      <c r="B731" s="746"/>
      <c r="K731" s="746"/>
      <c r="L731" s="746"/>
      <c r="M731" s="746"/>
      <c r="N731" s="746"/>
      <c r="O731" s="745"/>
      <c r="P731" s="745"/>
      <c r="Q731" s="745"/>
    </row>
    <row r="732" spans="1:17">
      <c r="A732" s="745"/>
      <c r="B732" s="746"/>
      <c r="K732" s="746"/>
      <c r="L732" s="746"/>
      <c r="M732" s="746"/>
      <c r="N732" s="746"/>
      <c r="O732" s="745"/>
      <c r="P732" s="745"/>
      <c r="Q732" s="745"/>
    </row>
    <row r="733" spans="1:17">
      <c r="A733" s="745"/>
      <c r="B733" s="746"/>
      <c r="K733" s="746"/>
      <c r="L733" s="746"/>
      <c r="M733" s="746"/>
      <c r="N733" s="746"/>
      <c r="O733" s="745"/>
      <c r="P733" s="745"/>
      <c r="Q733" s="745"/>
    </row>
    <row r="734" spans="1:17">
      <c r="A734" s="745"/>
      <c r="B734" s="746"/>
      <c r="K734" s="746"/>
      <c r="L734" s="746"/>
      <c r="M734" s="746"/>
      <c r="N734" s="746"/>
      <c r="O734" s="745"/>
      <c r="P734" s="745"/>
      <c r="Q734" s="745"/>
    </row>
    <row r="735" spans="1:17">
      <c r="A735" s="745"/>
      <c r="B735" s="746"/>
      <c r="K735" s="746"/>
      <c r="L735" s="746"/>
      <c r="M735" s="746"/>
      <c r="N735" s="746"/>
      <c r="O735" s="745"/>
      <c r="P735" s="745"/>
      <c r="Q735" s="745"/>
    </row>
    <row r="736" spans="1:17">
      <c r="A736" s="745"/>
      <c r="B736" s="746"/>
      <c r="K736" s="746"/>
      <c r="L736" s="746"/>
      <c r="M736" s="746"/>
      <c r="N736" s="746"/>
      <c r="O736" s="745"/>
      <c r="P736" s="745"/>
      <c r="Q736" s="745"/>
    </row>
    <row r="737" spans="1:17">
      <c r="A737" s="745"/>
      <c r="B737" s="746"/>
      <c r="K737" s="746"/>
      <c r="L737" s="746"/>
      <c r="M737" s="746"/>
      <c r="N737" s="746"/>
      <c r="O737" s="745"/>
      <c r="P737" s="745"/>
      <c r="Q737" s="745"/>
    </row>
    <row r="738" spans="1:17">
      <c r="A738" s="745"/>
      <c r="B738" s="746"/>
      <c r="K738" s="746"/>
      <c r="L738" s="746"/>
      <c r="M738" s="746"/>
      <c r="N738" s="746"/>
      <c r="O738" s="745"/>
      <c r="P738" s="745"/>
      <c r="Q738" s="745"/>
    </row>
    <row r="739" spans="1:17">
      <c r="A739" s="745"/>
      <c r="B739" s="746"/>
      <c r="K739" s="746"/>
      <c r="L739" s="746"/>
      <c r="M739" s="746"/>
      <c r="N739" s="746"/>
      <c r="O739" s="745"/>
      <c r="P739" s="745"/>
      <c r="Q739" s="745"/>
    </row>
    <row r="740" spans="1:17">
      <c r="A740" s="745"/>
      <c r="B740" s="746"/>
      <c r="K740" s="746"/>
      <c r="L740" s="746"/>
      <c r="M740" s="746"/>
      <c r="N740" s="746"/>
      <c r="O740" s="745"/>
      <c r="P740" s="745"/>
      <c r="Q740" s="745"/>
    </row>
    <row r="741" spans="1:17">
      <c r="A741" s="745"/>
      <c r="B741" s="746"/>
      <c r="K741" s="746"/>
      <c r="L741" s="746"/>
      <c r="M741" s="746"/>
      <c r="N741" s="746"/>
      <c r="O741" s="745"/>
      <c r="P741" s="745"/>
      <c r="Q741" s="745"/>
    </row>
    <row r="742" spans="1:17">
      <c r="A742" s="745"/>
      <c r="B742" s="746"/>
      <c r="K742" s="746"/>
      <c r="L742" s="746"/>
      <c r="M742" s="746"/>
      <c r="N742" s="746"/>
      <c r="O742" s="745"/>
      <c r="P742" s="745"/>
      <c r="Q742" s="745"/>
    </row>
    <row r="743" spans="1:17">
      <c r="A743" s="745"/>
      <c r="B743" s="746"/>
      <c r="K743" s="746"/>
      <c r="L743" s="746"/>
      <c r="M743" s="746"/>
      <c r="N743" s="746"/>
      <c r="O743" s="745"/>
      <c r="P743" s="745"/>
      <c r="Q743" s="745"/>
    </row>
    <row r="744" spans="1:17">
      <c r="A744" s="745"/>
      <c r="B744" s="746"/>
      <c r="K744" s="746"/>
      <c r="L744" s="746"/>
      <c r="M744" s="746"/>
      <c r="N744" s="746"/>
      <c r="O744" s="745"/>
      <c r="P744" s="745"/>
      <c r="Q744" s="745"/>
    </row>
    <row r="745" spans="1:17">
      <c r="A745" s="745"/>
      <c r="B745" s="746"/>
      <c r="K745" s="746"/>
      <c r="L745" s="746"/>
      <c r="M745" s="746"/>
      <c r="N745" s="746"/>
      <c r="O745" s="745"/>
      <c r="P745" s="745"/>
      <c r="Q745" s="745"/>
    </row>
    <row r="746" spans="1:17">
      <c r="A746" s="745"/>
      <c r="B746" s="746"/>
      <c r="K746" s="746"/>
      <c r="L746" s="746"/>
      <c r="M746" s="746"/>
      <c r="N746" s="746"/>
      <c r="O746" s="745"/>
      <c r="P746" s="745"/>
      <c r="Q746" s="745"/>
    </row>
    <row r="747" spans="1:17">
      <c r="A747" s="745"/>
      <c r="B747" s="746"/>
      <c r="K747" s="746"/>
      <c r="L747" s="746"/>
      <c r="M747" s="746"/>
      <c r="N747" s="746"/>
      <c r="O747" s="745"/>
      <c r="P747" s="745"/>
      <c r="Q747" s="745"/>
    </row>
    <row r="748" spans="1:17">
      <c r="A748" s="745"/>
      <c r="B748" s="746"/>
      <c r="K748" s="746"/>
      <c r="L748" s="746"/>
      <c r="M748" s="746"/>
      <c r="N748" s="746"/>
      <c r="O748" s="745"/>
      <c r="P748" s="745"/>
      <c r="Q748" s="745"/>
    </row>
    <row r="749" spans="1:17">
      <c r="A749" s="745"/>
      <c r="B749" s="746"/>
      <c r="K749" s="746"/>
      <c r="L749" s="746"/>
      <c r="M749" s="746"/>
      <c r="N749" s="746"/>
      <c r="O749" s="745"/>
      <c r="P749" s="745"/>
      <c r="Q749" s="745"/>
    </row>
    <row r="750" spans="1:17">
      <c r="A750" s="745"/>
      <c r="B750" s="746"/>
      <c r="K750" s="746"/>
      <c r="L750" s="746"/>
      <c r="M750" s="746"/>
      <c r="N750" s="746"/>
      <c r="O750" s="745"/>
      <c r="P750" s="745"/>
      <c r="Q750" s="745"/>
    </row>
    <row r="751" spans="1:17">
      <c r="A751" s="745"/>
      <c r="B751" s="746"/>
      <c r="K751" s="746"/>
      <c r="L751" s="746"/>
      <c r="M751" s="746"/>
      <c r="N751" s="746"/>
      <c r="O751" s="745"/>
      <c r="P751" s="745"/>
      <c r="Q751" s="745"/>
    </row>
    <row r="752" spans="1:17">
      <c r="A752" s="745"/>
      <c r="B752" s="746"/>
      <c r="K752" s="746"/>
      <c r="L752" s="746"/>
      <c r="M752" s="746"/>
      <c r="N752" s="746"/>
      <c r="O752" s="745"/>
      <c r="P752" s="745"/>
      <c r="Q752" s="745"/>
    </row>
    <row r="753" spans="1:17">
      <c r="A753" s="745"/>
      <c r="B753" s="746"/>
      <c r="K753" s="746"/>
      <c r="L753" s="746"/>
      <c r="M753" s="746"/>
      <c r="N753" s="746"/>
      <c r="O753" s="745"/>
      <c r="P753" s="745"/>
      <c r="Q753" s="745"/>
    </row>
    <row r="754" spans="1:17">
      <c r="A754" s="745"/>
      <c r="B754" s="746"/>
      <c r="K754" s="746"/>
      <c r="L754" s="746"/>
      <c r="M754" s="746"/>
      <c r="N754" s="746"/>
      <c r="O754" s="745"/>
      <c r="P754" s="745"/>
      <c r="Q754" s="745"/>
    </row>
    <row r="755" spans="1:17">
      <c r="A755" s="745"/>
      <c r="B755" s="746"/>
      <c r="K755" s="746"/>
      <c r="L755" s="746"/>
      <c r="M755" s="746"/>
      <c r="N755" s="746"/>
      <c r="O755" s="745"/>
      <c r="P755" s="745"/>
      <c r="Q755" s="745"/>
    </row>
    <row r="756" spans="1:17">
      <c r="A756" s="745"/>
      <c r="B756" s="746"/>
      <c r="K756" s="746"/>
      <c r="L756" s="746"/>
      <c r="M756" s="746"/>
      <c r="N756" s="746"/>
      <c r="O756" s="745"/>
      <c r="P756" s="745"/>
      <c r="Q756" s="745"/>
    </row>
    <row r="757" spans="1:17">
      <c r="A757" s="745"/>
      <c r="B757" s="746"/>
      <c r="K757" s="746"/>
      <c r="L757" s="746"/>
      <c r="M757" s="746"/>
      <c r="N757" s="746"/>
      <c r="O757" s="745"/>
      <c r="P757" s="745"/>
      <c r="Q757" s="745"/>
    </row>
    <row r="758" spans="1:17">
      <c r="A758" s="745"/>
      <c r="B758" s="746"/>
      <c r="K758" s="746"/>
      <c r="L758" s="746"/>
      <c r="M758" s="746"/>
      <c r="N758" s="746"/>
      <c r="O758" s="745"/>
      <c r="P758" s="745"/>
      <c r="Q758" s="745"/>
    </row>
    <row r="759" spans="1:17">
      <c r="A759" s="745"/>
      <c r="B759" s="746"/>
      <c r="K759" s="746"/>
      <c r="L759" s="746"/>
      <c r="M759" s="746"/>
      <c r="N759" s="746"/>
      <c r="O759" s="745"/>
      <c r="P759" s="745"/>
      <c r="Q759" s="745"/>
    </row>
    <row r="760" spans="1:17">
      <c r="A760" s="745"/>
      <c r="B760" s="746"/>
      <c r="K760" s="746"/>
      <c r="L760" s="746"/>
      <c r="M760" s="746"/>
      <c r="N760" s="746"/>
      <c r="O760" s="745"/>
      <c r="P760" s="745"/>
      <c r="Q760" s="745"/>
    </row>
    <row r="761" spans="1:17">
      <c r="A761" s="745"/>
      <c r="B761" s="746"/>
      <c r="K761" s="746"/>
      <c r="L761" s="746"/>
      <c r="M761" s="746"/>
      <c r="N761" s="746"/>
      <c r="O761" s="745"/>
      <c r="P761" s="745"/>
      <c r="Q761" s="745"/>
    </row>
    <row r="762" spans="1:17">
      <c r="A762" s="745"/>
      <c r="B762" s="746"/>
      <c r="K762" s="746"/>
      <c r="L762" s="746"/>
      <c r="M762" s="746"/>
      <c r="N762" s="746"/>
      <c r="O762" s="745"/>
      <c r="P762" s="745"/>
      <c r="Q762" s="745"/>
    </row>
    <row r="763" spans="1:17">
      <c r="A763" s="745"/>
      <c r="B763" s="746"/>
      <c r="K763" s="746"/>
      <c r="L763" s="746"/>
      <c r="M763" s="746"/>
      <c r="N763" s="746"/>
      <c r="O763" s="745"/>
      <c r="P763" s="745"/>
      <c r="Q763" s="745"/>
    </row>
    <row r="764" spans="1:17">
      <c r="A764" s="745"/>
      <c r="B764" s="746"/>
      <c r="K764" s="746"/>
      <c r="L764" s="746"/>
      <c r="M764" s="746"/>
      <c r="N764" s="746"/>
      <c r="O764" s="745"/>
      <c r="P764" s="745"/>
      <c r="Q764" s="745"/>
    </row>
    <row r="765" spans="1:17">
      <c r="A765" s="745"/>
      <c r="B765" s="746"/>
      <c r="K765" s="746"/>
      <c r="L765" s="746"/>
      <c r="M765" s="746"/>
      <c r="N765" s="746"/>
      <c r="O765" s="745"/>
      <c r="P765" s="745"/>
      <c r="Q765" s="745"/>
    </row>
    <row r="766" spans="1:17">
      <c r="A766" s="745"/>
      <c r="B766" s="746"/>
      <c r="K766" s="746"/>
      <c r="L766" s="746"/>
      <c r="M766" s="746"/>
      <c r="N766" s="746"/>
      <c r="O766" s="745"/>
      <c r="P766" s="745"/>
      <c r="Q766" s="745"/>
    </row>
    <row r="767" spans="1:17">
      <c r="A767" s="745"/>
      <c r="B767" s="746"/>
      <c r="K767" s="746"/>
      <c r="L767" s="746"/>
      <c r="M767" s="746"/>
      <c r="N767" s="746"/>
      <c r="O767" s="745"/>
      <c r="P767" s="745"/>
      <c r="Q767" s="745"/>
    </row>
    <row r="768" spans="1:17">
      <c r="A768" s="745"/>
      <c r="B768" s="746"/>
      <c r="K768" s="746"/>
      <c r="L768" s="746"/>
      <c r="M768" s="746"/>
      <c r="N768" s="746"/>
      <c r="O768" s="745"/>
      <c r="P768" s="745"/>
      <c r="Q768" s="745"/>
    </row>
    <row r="769" spans="1:17">
      <c r="A769" s="745"/>
      <c r="B769" s="746"/>
      <c r="K769" s="746"/>
      <c r="L769" s="746"/>
      <c r="M769" s="746"/>
      <c r="N769" s="746"/>
      <c r="O769" s="745"/>
      <c r="P769" s="745"/>
      <c r="Q769" s="745"/>
    </row>
    <row r="770" spans="1:17">
      <c r="A770" s="745"/>
      <c r="B770" s="746"/>
      <c r="K770" s="746"/>
      <c r="L770" s="746"/>
      <c r="M770" s="746"/>
      <c r="N770" s="746"/>
      <c r="O770" s="745"/>
      <c r="P770" s="745"/>
      <c r="Q770" s="745"/>
    </row>
    <row r="771" spans="1:17">
      <c r="A771" s="745"/>
      <c r="B771" s="746"/>
      <c r="K771" s="746"/>
      <c r="L771" s="746"/>
      <c r="M771" s="746"/>
      <c r="N771" s="746"/>
      <c r="O771" s="745"/>
      <c r="P771" s="745"/>
      <c r="Q771" s="745"/>
    </row>
    <row r="772" spans="1:17">
      <c r="A772" s="745"/>
      <c r="B772" s="746"/>
      <c r="K772" s="746"/>
      <c r="L772" s="746"/>
      <c r="M772" s="746"/>
      <c r="N772" s="746"/>
      <c r="O772" s="745"/>
      <c r="P772" s="745"/>
      <c r="Q772" s="745"/>
    </row>
    <row r="773" spans="1:17">
      <c r="A773" s="745"/>
      <c r="B773" s="746"/>
      <c r="K773" s="746"/>
      <c r="L773" s="746"/>
      <c r="M773" s="746"/>
      <c r="N773" s="746"/>
      <c r="O773" s="745"/>
      <c r="P773" s="745"/>
      <c r="Q773" s="745"/>
    </row>
    <row r="774" spans="1:17">
      <c r="A774" s="745"/>
      <c r="B774" s="746"/>
      <c r="K774" s="746"/>
      <c r="L774" s="746"/>
      <c r="M774" s="746"/>
      <c r="N774" s="746"/>
      <c r="O774" s="745"/>
      <c r="P774" s="745"/>
      <c r="Q774" s="745"/>
    </row>
    <row r="775" spans="1:17">
      <c r="A775" s="745"/>
      <c r="B775" s="746"/>
      <c r="K775" s="746"/>
      <c r="L775" s="746"/>
      <c r="M775" s="746"/>
      <c r="N775" s="746"/>
      <c r="O775" s="745"/>
      <c r="P775" s="745"/>
      <c r="Q775" s="745"/>
    </row>
    <row r="776" spans="1:17">
      <c r="A776" s="745"/>
      <c r="B776" s="746"/>
      <c r="K776" s="746"/>
      <c r="L776" s="746"/>
      <c r="M776" s="746"/>
      <c r="N776" s="746"/>
      <c r="O776" s="745"/>
      <c r="P776" s="745"/>
      <c r="Q776" s="745"/>
    </row>
    <row r="777" spans="1:17">
      <c r="A777" s="745"/>
      <c r="B777" s="746"/>
      <c r="K777" s="746"/>
      <c r="L777" s="746"/>
      <c r="M777" s="746"/>
      <c r="N777" s="746"/>
      <c r="O777" s="745"/>
      <c r="P777" s="745"/>
      <c r="Q777" s="745"/>
    </row>
    <row r="778" spans="1:17">
      <c r="A778" s="745"/>
      <c r="B778" s="746"/>
      <c r="K778" s="746"/>
      <c r="L778" s="746"/>
      <c r="M778" s="746"/>
      <c r="N778" s="746"/>
      <c r="O778" s="745"/>
      <c r="P778" s="745"/>
      <c r="Q778" s="745"/>
    </row>
    <row r="779" spans="1:17">
      <c r="A779" s="745"/>
      <c r="B779" s="746"/>
      <c r="K779" s="746"/>
      <c r="L779" s="746"/>
      <c r="M779" s="746"/>
      <c r="N779" s="746"/>
      <c r="O779" s="745"/>
      <c r="P779" s="745"/>
      <c r="Q779" s="745"/>
    </row>
    <row r="780" spans="1:17">
      <c r="A780" s="745"/>
      <c r="B780" s="746"/>
      <c r="K780" s="746"/>
      <c r="L780" s="746"/>
      <c r="M780" s="746"/>
      <c r="N780" s="746"/>
      <c r="O780" s="745"/>
      <c r="P780" s="745"/>
      <c r="Q780" s="745"/>
    </row>
    <row r="781" spans="1:17">
      <c r="A781" s="745"/>
      <c r="B781" s="746"/>
      <c r="K781" s="746"/>
      <c r="L781" s="746"/>
      <c r="M781" s="746"/>
      <c r="N781" s="746"/>
      <c r="O781" s="745"/>
      <c r="P781" s="745"/>
      <c r="Q781" s="745"/>
    </row>
    <row r="782" spans="1:17">
      <c r="A782" s="745"/>
      <c r="B782" s="746"/>
      <c r="K782" s="746"/>
      <c r="L782" s="746"/>
      <c r="M782" s="746"/>
      <c r="N782" s="746"/>
      <c r="O782" s="745"/>
      <c r="P782" s="745"/>
      <c r="Q782" s="745"/>
    </row>
    <row r="783" spans="1:17">
      <c r="A783" s="745"/>
      <c r="B783" s="746"/>
      <c r="K783" s="746"/>
      <c r="L783" s="746"/>
      <c r="M783" s="746"/>
      <c r="N783" s="746"/>
      <c r="O783" s="745"/>
      <c r="P783" s="745"/>
      <c r="Q783" s="745"/>
    </row>
    <row r="784" spans="1:17">
      <c r="A784" s="745"/>
      <c r="B784" s="746"/>
      <c r="K784" s="746"/>
      <c r="L784" s="746"/>
      <c r="M784" s="746"/>
      <c r="N784" s="746"/>
      <c r="O784" s="745"/>
      <c r="P784" s="745"/>
      <c r="Q784" s="745"/>
    </row>
    <row r="785" spans="1:17">
      <c r="A785" s="745"/>
      <c r="B785" s="746"/>
      <c r="K785" s="746"/>
      <c r="L785" s="746"/>
      <c r="M785" s="746"/>
      <c r="N785" s="746"/>
      <c r="O785" s="745"/>
      <c r="P785" s="745"/>
      <c r="Q785" s="745"/>
    </row>
    <row r="786" spans="1:17">
      <c r="A786" s="745"/>
      <c r="B786" s="746"/>
      <c r="K786" s="746"/>
      <c r="L786" s="746"/>
      <c r="M786" s="746"/>
      <c r="N786" s="746"/>
      <c r="O786" s="745"/>
      <c r="P786" s="745"/>
      <c r="Q786" s="745"/>
    </row>
    <row r="787" spans="1:17">
      <c r="A787" s="745"/>
      <c r="B787" s="746"/>
      <c r="K787" s="746"/>
      <c r="L787" s="746"/>
      <c r="M787" s="746"/>
      <c r="N787" s="746"/>
      <c r="O787" s="745"/>
      <c r="P787" s="745"/>
      <c r="Q787" s="745"/>
    </row>
    <row r="788" spans="1:17">
      <c r="A788" s="745"/>
      <c r="B788" s="746"/>
      <c r="K788" s="746"/>
      <c r="L788" s="746"/>
      <c r="M788" s="746"/>
      <c r="N788" s="746"/>
      <c r="O788" s="745"/>
      <c r="P788" s="745"/>
      <c r="Q788" s="745"/>
    </row>
    <row r="789" spans="1:17">
      <c r="A789" s="745"/>
      <c r="B789" s="746"/>
      <c r="K789" s="746"/>
      <c r="L789" s="746"/>
      <c r="M789" s="746"/>
      <c r="N789" s="746"/>
      <c r="O789" s="745"/>
      <c r="P789" s="745"/>
      <c r="Q789" s="745"/>
    </row>
    <row r="790" spans="1:17">
      <c r="A790" s="745"/>
      <c r="B790" s="746"/>
      <c r="K790" s="746"/>
      <c r="L790" s="746"/>
      <c r="M790" s="746"/>
      <c r="N790" s="746"/>
      <c r="O790" s="745"/>
      <c r="P790" s="745"/>
      <c r="Q790" s="745"/>
    </row>
    <row r="791" spans="1:17">
      <c r="A791" s="745"/>
      <c r="B791" s="746"/>
      <c r="K791" s="746"/>
      <c r="L791" s="746"/>
      <c r="M791" s="746"/>
      <c r="N791" s="746"/>
      <c r="O791" s="745"/>
      <c r="P791" s="745"/>
      <c r="Q791" s="745"/>
    </row>
    <row r="792" spans="1:17">
      <c r="A792" s="745"/>
      <c r="B792" s="746"/>
      <c r="K792" s="746"/>
      <c r="L792" s="746"/>
      <c r="M792" s="746"/>
      <c r="N792" s="746"/>
      <c r="O792" s="745"/>
      <c r="P792" s="745"/>
      <c r="Q792" s="745"/>
    </row>
    <row r="793" spans="1:17">
      <c r="A793" s="745"/>
      <c r="B793" s="746"/>
      <c r="K793" s="746"/>
      <c r="L793" s="746"/>
      <c r="M793" s="746"/>
      <c r="N793" s="746"/>
      <c r="O793" s="745"/>
      <c r="P793" s="745"/>
      <c r="Q793" s="745"/>
    </row>
    <row r="794" spans="1:17">
      <c r="A794" s="745"/>
      <c r="B794" s="746"/>
      <c r="K794" s="746"/>
      <c r="L794" s="746"/>
      <c r="M794" s="746"/>
      <c r="N794" s="746"/>
      <c r="O794" s="745"/>
      <c r="P794" s="745"/>
      <c r="Q794" s="745"/>
    </row>
    <row r="795" spans="1:17">
      <c r="A795" s="745"/>
      <c r="B795" s="746"/>
      <c r="K795" s="746"/>
      <c r="L795" s="746"/>
      <c r="M795" s="746"/>
      <c r="N795" s="746"/>
      <c r="O795" s="745"/>
      <c r="P795" s="745"/>
      <c r="Q795" s="745"/>
    </row>
    <row r="796" spans="1:17">
      <c r="A796" s="745"/>
      <c r="B796" s="746"/>
      <c r="K796" s="746"/>
      <c r="L796" s="746"/>
      <c r="M796" s="746"/>
      <c r="N796" s="746"/>
      <c r="O796" s="745"/>
      <c r="P796" s="745"/>
      <c r="Q796" s="745"/>
    </row>
    <row r="797" spans="1:17">
      <c r="A797" s="745"/>
      <c r="B797" s="746"/>
      <c r="K797" s="746"/>
      <c r="L797" s="746"/>
      <c r="M797" s="746"/>
      <c r="N797" s="746"/>
      <c r="O797" s="745"/>
      <c r="P797" s="745"/>
      <c r="Q797" s="745"/>
    </row>
    <row r="798" spans="1:17">
      <c r="A798" s="745"/>
      <c r="B798" s="746"/>
      <c r="K798" s="746"/>
      <c r="L798" s="746"/>
      <c r="M798" s="746"/>
      <c r="N798" s="746"/>
      <c r="O798" s="745"/>
      <c r="P798" s="745"/>
      <c r="Q798" s="745"/>
    </row>
    <row r="799" spans="1:17">
      <c r="A799" s="745"/>
      <c r="B799" s="746"/>
      <c r="K799" s="746"/>
      <c r="L799" s="746"/>
      <c r="M799" s="746"/>
      <c r="N799" s="746"/>
      <c r="O799" s="745"/>
      <c r="P799" s="745"/>
      <c r="Q799" s="745"/>
    </row>
    <row r="800" spans="1:17">
      <c r="A800" s="745"/>
      <c r="B800" s="746"/>
      <c r="K800" s="746"/>
      <c r="L800" s="746"/>
      <c r="M800" s="746"/>
      <c r="N800" s="746"/>
      <c r="O800" s="745"/>
      <c r="P800" s="745"/>
      <c r="Q800" s="745"/>
    </row>
    <row r="801" spans="1:17">
      <c r="A801" s="745"/>
      <c r="B801" s="746"/>
      <c r="K801" s="746"/>
      <c r="L801" s="746"/>
      <c r="M801" s="746"/>
      <c r="N801" s="746"/>
      <c r="O801" s="745"/>
      <c r="P801" s="745"/>
      <c r="Q801" s="745"/>
    </row>
    <row r="802" spans="1:17">
      <c r="A802" s="745"/>
      <c r="B802" s="746"/>
      <c r="K802" s="746"/>
      <c r="L802" s="746"/>
      <c r="M802" s="746"/>
      <c r="N802" s="746"/>
      <c r="O802" s="745"/>
      <c r="P802" s="745"/>
      <c r="Q802" s="745"/>
    </row>
    <row r="803" spans="1:17">
      <c r="A803" s="745"/>
      <c r="B803" s="746"/>
      <c r="K803" s="746"/>
      <c r="L803" s="746"/>
      <c r="M803" s="746"/>
      <c r="N803" s="746"/>
      <c r="O803" s="745"/>
      <c r="P803" s="745"/>
      <c r="Q803" s="745"/>
    </row>
    <row r="804" spans="1:17">
      <c r="A804" s="745"/>
      <c r="B804" s="746"/>
      <c r="K804" s="746"/>
      <c r="L804" s="746"/>
      <c r="M804" s="746"/>
      <c r="N804" s="746"/>
      <c r="O804" s="745"/>
      <c r="P804" s="745"/>
      <c r="Q804" s="745"/>
    </row>
    <row r="805" spans="1:17">
      <c r="A805" s="745"/>
      <c r="B805" s="746"/>
      <c r="K805" s="746"/>
      <c r="L805" s="746"/>
      <c r="M805" s="746"/>
      <c r="N805" s="746"/>
      <c r="O805" s="745"/>
      <c r="P805" s="745"/>
      <c r="Q805" s="745"/>
    </row>
    <row r="806" spans="1:17">
      <c r="A806" s="745"/>
      <c r="B806" s="746"/>
      <c r="K806" s="746"/>
      <c r="L806" s="746"/>
      <c r="M806" s="746"/>
      <c r="N806" s="746"/>
      <c r="O806" s="745"/>
      <c r="P806" s="745"/>
      <c r="Q806" s="745"/>
    </row>
    <row r="807" spans="1:17">
      <c r="A807" s="745"/>
      <c r="B807" s="746"/>
      <c r="K807" s="746"/>
      <c r="L807" s="746"/>
      <c r="M807" s="746"/>
      <c r="N807" s="746"/>
      <c r="O807" s="745"/>
      <c r="P807" s="745"/>
      <c r="Q807" s="745"/>
    </row>
    <row r="808" spans="1:17">
      <c r="A808" s="745"/>
      <c r="B808" s="746"/>
      <c r="K808" s="746"/>
      <c r="L808" s="746"/>
      <c r="M808" s="746"/>
      <c r="N808" s="746"/>
      <c r="O808" s="745"/>
      <c r="P808" s="745"/>
      <c r="Q808" s="745"/>
    </row>
    <row r="809" spans="1:17">
      <c r="A809" s="745"/>
      <c r="B809" s="746"/>
      <c r="K809" s="746"/>
      <c r="L809" s="746"/>
      <c r="M809" s="746"/>
      <c r="N809" s="746"/>
      <c r="O809" s="745"/>
      <c r="P809" s="745"/>
      <c r="Q809" s="745"/>
    </row>
    <row r="810" spans="1:17">
      <c r="A810" s="745"/>
      <c r="B810" s="746"/>
      <c r="K810" s="746"/>
      <c r="L810" s="746"/>
      <c r="M810" s="746"/>
      <c r="N810" s="746"/>
      <c r="O810" s="745"/>
      <c r="P810" s="745"/>
      <c r="Q810" s="745"/>
    </row>
    <row r="811" spans="1:17">
      <c r="A811" s="745"/>
      <c r="B811" s="746"/>
      <c r="K811" s="746"/>
      <c r="L811" s="746"/>
      <c r="M811" s="746"/>
      <c r="N811" s="746"/>
      <c r="O811" s="745"/>
      <c r="P811" s="745"/>
      <c r="Q811" s="745"/>
    </row>
    <row r="812" spans="1:17">
      <c r="A812" s="745"/>
      <c r="B812" s="746"/>
      <c r="K812" s="746"/>
      <c r="L812" s="746"/>
      <c r="M812" s="746"/>
      <c r="N812" s="746"/>
      <c r="O812" s="745"/>
      <c r="P812" s="745"/>
      <c r="Q812" s="745"/>
    </row>
    <row r="813" spans="1:17">
      <c r="A813" s="745"/>
      <c r="B813" s="746"/>
      <c r="K813" s="746"/>
      <c r="L813" s="746"/>
      <c r="M813" s="746"/>
      <c r="N813" s="746"/>
      <c r="O813" s="745"/>
      <c r="P813" s="745"/>
      <c r="Q813" s="745"/>
    </row>
    <row r="814" spans="1:17">
      <c r="A814" s="745"/>
      <c r="B814" s="746"/>
      <c r="K814" s="746"/>
      <c r="L814" s="746"/>
      <c r="M814" s="746"/>
      <c r="N814" s="746"/>
      <c r="O814" s="745"/>
      <c r="P814" s="745"/>
      <c r="Q814" s="745"/>
    </row>
    <row r="815" spans="1:17">
      <c r="A815" s="745"/>
      <c r="B815" s="746"/>
      <c r="K815" s="746"/>
      <c r="L815" s="746"/>
      <c r="M815" s="746"/>
      <c r="N815" s="746"/>
      <c r="O815" s="745"/>
      <c r="P815" s="745"/>
      <c r="Q815" s="745"/>
    </row>
    <row r="816" spans="1:17">
      <c r="A816" s="745"/>
      <c r="B816" s="746"/>
      <c r="K816" s="746"/>
      <c r="L816" s="746"/>
      <c r="M816" s="746"/>
      <c r="N816" s="746"/>
      <c r="O816" s="745"/>
      <c r="P816" s="745"/>
      <c r="Q816" s="745"/>
    </row>
    <row r="817" spans="1:17">
      <c r="A817" s="745"/>
      <c r="B817" s="746"/>
      <c r="K817" s="746"/>
      <c r="L817" s="746"/>
      <c r="M817" s="746"/>
      <c r="N817" s="746"/>
      <c r="O817" s="745"/>
      <c r="P817" s="745"/>
      <c r="Q817" s="745"/>
    </row>
    <row r="818" spans="1:17">
      <c r="A818" s="745"/>
      <c r="B818" s="746"/>
      <c r="K818" s="746"/>
      <c r="L818" s="746"/>
      <c r="M818" s="746"/>
      <c r="N818" s="746"/>
      <c r="O818" s="745"/>
      <c r="P818" s="745"/>
      <c r="Q818" s="745"/>
    </row>
    <row r="819" spans="1:17">
      <c r="A819" s="745"/>
      <c r="B819" s="746"/>
      <c r="K819" s="746"/>
      <c r="L819" s="746"/>
      <c r="M819" s="746"/>
      <c r="N819" s="746"/>
      <c r="O819" s="745"/>
      <c r="P819" s="745"/>
      <c r="Q819" s="745"/>
    </row>
    <row r="820" spans="1:17">
      <c r="A820" s="745"/>
      <c r="B820" s="746"/>
      <c r="K820" s="746"/>
      <c r="L820" s="746"/>
      <c r="M820" s="746"/>
      <c r="N820" s="746"/>
      <c r="O820" s="745"/>
      <c r="P820" s="745"/>
      <c r="Q820" s="745"/>
    </row>
    <row r="821" spans="1:17">
      <c r="A821" s="745"/>
      <c r="B821" s="746"/>
      <c r="K821" s="746"/>
      <c r="L821" s="746"/>
      <c r="M821" s="746"/>
      <c r="N821" s="746"/>
      <c r="O821" s="745"/>
      <c r="P821" s="745"/>
      <c r="Q821" s="745"/>
    </row>
    <row r="822" spans="1:17">
      <c r="A822" s="745"/>
      <c r="B822" s="746"/>
      <c r="K822" s="746"/>
      <c r="L822" s="746"/>
      <c r="M822" s="746"/>
      <c r="N822" s="746"/>
      <c r="O822" s="745"/>
      <c r="P822" s="745"/>
      <c r="Q822" s="745"/>
    </row>
    <row r="823" spans="1:17">
      <c r="A823" s="745"/>
      <c r="B823" s="746"/>
      <c r="K823" s="746"/>
      <c r="L823" s="746"/>
      <c r="M823" s="746"/>
      <c r="N823" s="746"/>
      <c r="O823" s="745"/>
      <c r="P823" s="745"/>
      <c r="Q823" s="745"/>
    </row>
    <row r="824" spans="1:17">
      <c r="A824" s="745"/>
      <c r="B824" s="746"/>
      <c r="K824" s="746"/>
      <c r="L824" s="746"/>
      <c r="M824" s="746"/>
      <c r="N824" s="746"/>
      <c r="O824" s="745"/>
      <c r="P824" s="745"/>
      <c r="Q824" s="745"/>
    </row>
    <row r="825" spans="1:17">
      <c r="A825" s="745"/>
      <c r="B825" s="746"/>
      <c r="K825" s="746"/>
      <c r="L825" s="746"/>
      <c r="M825" s="746"/>
      <c r="N825" s="746"/>
      <c r="O825" s="745"/>
      <c r="P825" s="745"/>
      <c r="Q825" s="745"/>
    </row>
    <row r="826" spans="1:17">
      <c r="A826" s="745"/>
      <c r="B826" s="746"/>
      <c r="K826" s="746"/>
      <c r="L826" s="746"/>
      <c r="M826" s="746"/>
      <c r="N826" s="746"/>
      <c r="O826" s="745"/>
      <c r="P826" s="745"/>
      <c r="Q826" s="745"/>
    </row>
    <row r="827" spans="1:17">
      <c r="A827" s="745"/>
      <c r="B827" s="746"/>
      <c r="K827" s="746"/>
      <c r="L827" s="746"/>
      <c r="M827" s="746"/>
      <c r="N827" s="746"/>
      <c r="O827" s="745"/>
      <c r="P827" s="745"/>
      <c r="Q827" s="745"/>
    </row>
    <row r="828" spans="1:17">
      <c r="A828" s="745"/>
      <c r="B828" s="746"/>
      <c r="K828" s="746"/>
      <c r="L828" s="746"/>
      <c r="M828" s="746"/>
      <c r="N828" s="746"/>
      <c r="O828" s="745"/>
      <c r="P828" s="745"/>
      <c r="Q828" s="745"/>
    </row>
    <row r="829" spans="1:17">
      <c r="A829" s="745"/>
      <c r="B829" s="746"/>
      <c r="K829" s="746"/>
      <c r="L829" s="746"/>
      <c r="M829" s="746"/>
      <c r="N829" s="746"/>
      <c r="O829" s="745"/>
      <c r="P829" s="745"/>
      <c r="Q829" s="745"/>
    </row>
    <row r="830" spans="1:17">
      <c r="A830" s="745"/>
      <c r="B830" s="746"/>
      <c r="K830" s="746"/>
      <c r="L830" s="746"/>
      <c r="M830" s="746"/>
      <c r="N830" s="746"/>
      <c r="O830" s="745"/>
      <c r="P830" s="745"/>
      <c r="Q830" s="745"/>
    </row>
    <row r="831" spans="1:17">
      <c r="A831" s="745"/>
      <c r="B831" s="746"/>
      <c r="K831" s="746"/>
      <c r="L831" s="746"/>
      <c r="M831" s="746"/>
      <c r="N831" s="746"/>
      <c r="O831" s="745"/>
      <c r="P831" s="745"/>
      <c r="Q831" s="745"/>
    </row>
    <row r="832" spans="1:17">
      <c r="A832" s="745"/>
      <c r="B832" s="746"/>
      <c r="K832" s="746"/>
      <c r="L832" s="746"/>
      <c r="M832" s="746"/>
      <c r="N832" s="746"/>
      <c r="O832" s="745"/>
      <c r="P832" s="745"/>
      <c r="Q832" s="745"/>
    </row>
    <row r="833" spans="1:17">
      <c r="A833" s="745"/>
      <c r="B833" s="746"/>
      <c r="K833" s="746"/>
      <c r="L833" s="746"/>
      <c r="M833" s="746"/>
      <c r="N833" s="746"/>
      <c r="O833" s="745"/>
      <c r="P833" s="745"/>
      <c r="Q833" s="745"/>
    </row>
    <row r="834" spans="1:17">
      <c r="A834" s="745"/>
      <c r="B834" s="746"/>
      <c r="K834" s="746"/>
      <c r="L834" s="746"/>
      <c r="M834" s="746"/>
      <c r="N834" s="746"/>
      <c r="O834" s="745"/>
      <c r="P834" s="745"/>
      <c r="Q834" s="745"/>
    </row>
    <row r="835" spans="1:17">
      <c r="A835" s="745"/>
      <c r="B835" s="746"/>
      <c r="K835" s="746"/>
      <c r="L835" s="746"/>
      <c r="M835" s="746"/>
      <c r="N835" s="746"/>
      <c r="O835" s="745"/>
      <c r="P835" s="745"/>
      <c r="Q835" s="745"/>
    </row>
    <row r="836" spans="1:17">
      <c r="A836" s="745"/>
      <c r="B836" s="746"/>
      <c r="K836" s="746"/>
      <c r="L836" s="746"/>
      <c r="M836" s="746"/>
      <c r="N836" s="746"/>
      <c r="O836" s="745"/>
      <c r="P836" s="745"/>
      <c r="Q836" s="745"/>
    </row>
    <row r="837" spans="1:17">
      <c r="A837" s="745"/>
      <c r="B837" s="746"/>
      <c r="K837" s="746"/>
      <c r="L837" s="746"/>
      <c r="M837" s="746"/>
      <c r="N837" s="746"/>
      <c r="O837" s="745"/>
      <c r="P837" s="745"/>
      <c r="Q837" s="745"/>
    </row>
    <row r="838" spans="1:17">
      <c r="A838" s="745"/>
      <c r="B838" s="746"/>
      <c r="K838" s="746"/>
      <c r="L838" s="746"/>
      <c r="M838" s="746"/>
      <c r="N838" s="746"/>
      <c r="O838" s="745"/>
      <c r="P838" s="745"/>
      <c r="Q838" s="745"/>
    </row>
    <row r="839" spans="1:17">
      <c r="A839" s="745"/>
      <c r="B839" s="746"/>
      <c r="K839" s="746"/>
      <c r="L839" s="746"/>
      <c r="M839" s="746"/>
      <c r="N839" s="746"/>
      <c r="O839" s="745"/>
      <c r="P839" s="745"/>
      <c r="Q839" s="745"/>
    </row>
    <row r="840" spans="1:17">
      <c r="A840" s="745"/>
      <c r="B840" s="746"/>
      <c r="K840" s="746"/>
      <c r="L840" s="746"/>
      <c r="M840" s="746"/>
      <c r="N840" s="746"/>
      <c r="O840" s="745"/>
      <c r="P840" s="745"/>
      <c r="Q840" s="745"/>
    </row>
    <row r="841" spans="1:17">
      <c r="A841" s="745"/>
      <c r="B841" s="746"/>
      <c r="K841" s="746"/>
      <c r="L841" s="746"/>
      <c r="M841" s="746"/>
      <c r="N841" s="746"/>
      <c r="O841" s="745"/>
      <c r="P841" s="745"/>
      <c r="Q841" s="745"/>
    </row>
    <row r="842" spans="1:17">
      <c r="A842" s="745"/>
      <c r="B842" s="746"/>
      <c r="K842" s="746"/>
      <c r="L842" s="746"/>
      <c r="M842" s="746"/>
      <c r="N842" s="746"/>
      <c r="O842" s="745"/>
      <c r="P842" s="745"/>
      <c r="Q842" s="745"/>
    </row>
    <row r="843" spans="1:17">
      <c r="A843" s="745"/>
      <c r="B843" s="746"/>
      <c r="K843" s="746"/>
      <c r="L843" s="746"/>
      <c r="M843" s="746"/>
      <c r="N843" s="746"/>
      <c r="O843" s="745"/>
      <c r="P843" s="745"/>
      <c r="Q843" s="745"/>
    </row>
    <row r="844" spans="1:17">
      <c r="A844" s="745"/>
      <c r="B844" s="746"/>
      <c r="K844" s="746"/>
      <c r="L844" s="746"/>
      <c r="M844" s="746"/>
      <c r="N844" s="746"/>
      <c r="O844" s="745"/>
      <c r="P844" s="745"/>
      <c r="Q844" s="745"/>
    </row>
    <row r="845" spans="1:17">
      <c r="A845" s="745"/>
      <c r="B845" s="746"/>
      <c r="K845" s="746"/>
      <c r="L845" s="746"/>
      <c r="M845" s="746"/>
      <c r="N845" s="746"/>
      <c r="O845" s="745"/>
      <c r="P845" s="745"/>
      <c r="Q845" s="745"/>
    </row>
    <row r="846" spans="1:17">
      <c r="A846" s="745"/>
      <c r="B846" s="746"/>
      <c r="K846" s="746"/>
      <c r="L846" s="746"/>
      <c r="M846" s="746"/>
      <c r="N846" s="746"/>
      <c r="O846" s="745"/>
      <c r="P846" s="745"/>
      <c r="Q846" s="745"/>
    </row>
    <row r="847" spans="1:17">
      <c r="A847" s="745"/>
      <c r="B847" s="746"/>
      <c r="K847" s="746"/>
      <c r="L847" s="746"/>
      <c r="M847" s="746"/>
      <c r="N847" s="746"/>
      <c r="O847" s="745"/>
      <c r="P847" s="745"/>
      <c r="Q847" s="745"/>
    </row>
    <row r="848" spans="1:17">
      <c r="A848" s="745"/>
      <c r="B848" s="746"/>
      <c r="K848" s="746"/>
      <c r="L848" s="746"/>
      <c r="M848" s="746"/>
      <c r="N848" s="746"/>
      <c r="O848" s="745"/>
      <c r="P848" s="745"/>
      <c r="Q848" s="745"/>
    </row>
    <row r="849" spans="1:17">
      <c r="A849" s="745"/>
      <c r="B849" s="746"/>
      <c r="K849" s="746"/>
      <c r="L849" s="746"/>
      <c r="M849" s="746"/>
      <c r="N849" s="746"/>
      <c r="O849" s="745"/>
      <c r="P849" s="745"/>
      <c r="Q849" s="745"/>
    </row>
    <row r="850" spans="1:17">
      <c r="A850" s="745"/>
      <c r="B850" s="746"/>
      <c r="K850" s="746"/>
      <c r="L850" s="746"/>
      <c r="M850" s="746"/>
      <c r="N850" s="746"/>
      <c r="O850" s="745"/>
      <c r="P850" s="745"/>
      <c r="Q850" s="745"/>
    </row>
    <row r="851" spans="1:17">
      <c r="A851" s="745"/>
      <c r="B851" s="746"/>
      <c r="K851" s="746"/>
      <c r="L851" s="746"/>
      <c r="M851" s="746"/>
      <c r="N851" s="746"/>
      <c r="O851" s="745"/>
      <c r="P851" s="745"/>
      <c r="Q851" s="745"/>
    </row>
    <row r="852" spans="1:17">
      <c r="A852" s="745"/>
      <c r="B852" s="746"/>
      <c r="K852" s="746"/>
      <c r="L852" s="746"/>
      <c r="M852" s="746"/>
      <c r="N852" s="746"/>
      <c r="O852" s="745"/>
      <c r="P852" s="745"/>
      <c r="Q852" s="745"/>
    </row>
    <row r="853" spans="1:17">
      <c r="A853" s="745"/>
      <c r="B853" s="746"/>
      <c r="K853" s="746"/>
      <c r="L853" s="746"/>
      <c r="M853" s="746"/>
      <c r="N853" s="746"/>
      <c r="O853" s="745"/>
      <c r="P853" s="745"/>
      <c r="Q853" s="745"/>
    </row>
    <row r="854" spans="1:17">
      <c r="A854" s="745"/>
      <c r="B854" s="746"/>
      <c r="K854" s="746"/>
      <c r="L854" s="746"/>
      <c r="M854" s="746"/>
      <c r="N854" s="746"/>
      <c r="O854" s="745"/>
      <c r="P854" s="745"/>
      <c r="Q854" s="745"/>
    </row>
    <row r="855" spans="1:17">
      <c r="A855" s="745"/>
      <c r="B855" s="746"/>
      <c r="K855" s="746"/>
      <c r="L855" s="746"/>
      <c r="M855" s="746"/>
      <c r="N855" s="746"/>
      <c r="O855" s="745"/>
      <c r="P855" s="745"/>
      <c r="Q855" s="745"/>
    </row>
    <row r="856" spans="1:17">
      <c r="A856" s="745"/>
      <c r="B856" s="746"/>
      <c r="K856" s="746"/>
      <c r="L856" s="746"/>
      <c r="M856" s="746"/>
      <c r="N856" s="746"/>
      <c r="O856" s="745"/>
      <c r="P856" s="745"/>
      <c r="Q856" s="745"/>
    </row>
    <row r="857" spans="1:17">
      <c r="A857" s="745"/>
      <c r="B857" s="746"/>
      <c r="K857" s="746"/>
      <c r="L857" s="746"/>
      <c r="M857" s="746"/>
      <c r="N857" s="746"/>
      <c r="O857" s="745"/>
      <c r="P857" s="745"/>
      <c r="Q857" s="745"/>
    </row>
    <row r="858" spans="1:17">
      <c r="A858" s="745"/>
      <c r="B858" s="746"/>
      <c r="K858" s="746"/>
      <c r="L858" s="746"/>
      <c r="M858" s="746"/>
      <c r="N858" s="746"/>
      <c r="O858" s="745"/>
      <c r="P858" s="745"/>
      <c r="Q858" s="745"/>
    </row>
    <row r="859" spans="1:17">
      <c r="A859" s="745"/>
      <c r="B859" s="746"/>
      <c r="K859" s="746"/>
      <c r="L859" s="746"/>
      <c r="M859" s="746"/>
      <c r="N859" s="746"/>
      <c r="O859" s="745"/>
      <c r="P859" s="745"/>
      <c r="Q859" s="745"/>
    </row>
    <row r="860" spans="1:17">
      <c r="A860" s="745"/>
      <c r="B860" s="746"/>
      <c r="K860" s="746"/>
      <c r="L860" s="746"/>
      <c r="M860" s="746"/>
      <c r="N860" s="746"/>
      <c r="O860" s="745"/>
      <c r="P860" s="745"/>
      <c r="Q860" s="745"/>
    </row>
    <row r="861" spans="1:17">
      <c r="A861" s="745"/>
      <c r="B861" s="746"/>
      <c r="K861" s="746"/>
      <c r="L861" s="746"/>
      <c r="M861" s="746"/>
      <c r="N861" s="746"/>
      <c r="O861" s="745"/>
      <c r="P861" s="745"/>
      <c r="Q861" s="745"/>
    </row>
    <row r="862" spans="1:17">
      <c r="A862" s="745"/>
      <c r="B862" s="746"/>
      <c r="K862" s="746"/>
      <c r="L862" s="746"/>
      <c r="M862" s="746"/>
      <c r="N862" s="746"/>
      <c r="O862" s="745"/>
      <c r="P862" s="745"/>
      <c r="Q862" s="745"/>
    </row>
    <row r="863" spans="1:17">
      <c r="A863" s="745"/>
      <c r="B863" s="746"/>
      <c r="K863" s="746"/>
      <c r="L863" s="746"/>
      <c r="M863" s="746"/>
      <c r="N863" s="746"/>
      <c r="O863" s="745"/>
      <c r="P863" s="745"/>
      <c r="Q863" s="745"/>
    </row>
    <row r="864" spans="1:17">
      <c r="A864" s="745"/>
      <c r="B864" s="746"/>
      <c r="K864" s="746"/>
      <c r="L864" s="746"/>
      <c r="M864" s="746"/>
      <c r="N864" s="746"/>
      <c r="O864" s="745"/>
      <c r="P864" s="745"/>
      <c r="Q864" s="745"/>
    </row>
    <row r="865" spans="1:17">
      <c r="A865" s="745"/>
      <c r="B865" s="746"/>
      <c r="K865" s="746"/>
      <c r="L865" s="746"/>
      <c r="M865" s="746"/>
      <c r="N865" s="746"/>
      <c r="O865" s="745"/>
      <c r="P865" s="745"/>
      <c r="Q865" s="745"/>
    </row>
    <row r="866" spans="1:17">
      <c r="A866" s="745"/>
      <c r="B866" s="746"/>
      <c r="K866" s="746"/>
      <c r="L866" s="746"/>
      <c r="M866" s="746"/>
      <c r="N866" s="746"/>
      <c r="O866" s="745"/>
      <c r="P866" s="745"/>
      <c r="Q866" s="745"/>
    </row>
    <row r="867" spans="1:17">
      <c r="A867" s="745"/>
      <c r="B867" s="746"/>
      <c r="K867" s="746"/>
      <c r="L867" s="746"/>
      <c r="M867" s="746"/>
      <c r="N867" s="746"/>
      <c r="O867" s="745"/>
      <c r="P867" s="745"/>
      <c r="Q867" s="745"/>
    </row>
    <row r="868" spans="1:17">
      <c r="A868" s="745"/>
      <c r="B868" s="746"/>
      <c r="K868" s="746"/>
      <c r="L868" s="746"/>
      <c r="M868" s="746"/>
      <c r="N868" s="746"/>
      <c r="O868" s="745"/>
      <c r="P868" s="745"/>
      <c r="Q868" s="745"/>
    </row>
    <row r="869" spans="1:17">
      <c r="A869" s="745"/>
      <c r="B869" s="746"/>
      <c r="K869" s="746"/>
      <c r="L869" s="746"/>
      <c r="M869" s="746"/>
      <c r="N869" s="746"/>
      <c r="O869" s="745"/>
      <c r="P869" s="745"/>
      <c r="Q869" s="745"/>
    </row>
    <row r="870" spans="1:17">
      <c r="A870" s="745"/>
      <c r="B870" s="746"/>
      <c r="K870" s="746"/>
      <c r="L870" s="746"/>
      <c r="M870" s="746"/>
      <c r="N870" s="746"/>
      <c r="O870" s="745"/>
      <c r="P870" s="745"/>
      <c r="Q870" s="745"/>
    </row>
    <row r="871" spans="1:17">
      <c r="A871" s="745"/>
      <c r="B871" s="746"/>
      <c r="K871" s="746"/>
      <c r="L871" s="746"/>
      <c r="M871" s="746"/>
      <c r="N871" s="746"/>
      <c r="O871" s="745"/>
      <c r="P871" s="745"/>
      <c r="Q871" s="745"/>
    </row>
    <row r="872" spans="1:17">
      <c r="A872" s="745"/>
      <c r="B872" s="746"/>
      <c r="K872" s="746"/>
      <c r="L872" s="746"/>
      <c r="M872" s="746"/>
      <c r="N872" s="746"/>
      <c r="O872" s="745"/>
      <c r="P872" s="745"/>
      <c r="Q872" s="745"/>
    </row>
    <row r="873" spans="1:17">
      <c r="A873" s="745"/>
      <c r="B873" s="746"/>
      <c r="K873" s="746"/>
      <c r="L873" s="746"/>
      <c r="M873" s="746"/>
      <c r="N873" s="746"/>
      <c r="O873" s="745"/>
      <c r="P873" s="745"/>
      <c r="Q873" s="745"/>
    </row>
    <row r="874" spans="1:17">
      <c r="A874" s="745"/>
      <c r="B874" s="746"/>
      <c r="K874" s="746"/>
      <c r="L874" s="746"/>
      <c r="M874" s="746"/>
      <c r="N874" s="746"/>
      <c r="O874" s="745"/>
      <c r="P874" s="745"/>
      <c r="Q874" s="745"/>
    </row>
    <row r="875" spans="1:17">
      <c r="A875" s="745"/>
      <c r="B875" s="746"/>
      <c r="K875" s="746"/>
      <c r="L875" s="746"/>
      <c r="M875" s="746"/>
      <c r="N875" s="746"/>
      <c r="O875" s="745"/>
      <c r="P875" s="745"/>
      <c r="Q875" s="745"/>
    </row>
    <row r="876" spans="1:17">
      <c r="A876" s="745"/>
      <c r="B876" s="746"/>
      <c r="K876" s="746"/>
      <c r="L876" s="746"/>
      <c r="M876" s="746"/>
      <c r="N876" s="746"/>
      <c r="O876" s="745"/>
      <c r="P876" s="745"/>
      <c r="Q876" s="745"/>
    </row>
    <row r="877" spans="1:17">
      <c r="A877" s="745"/>
      <c r="B877" s="746"/>
      <c r="K877" s="746"/>
      <c r="L877" s="746"/>
      <c r="M877" s="746"/>
      <c r="N877" s="746"/>
      <c r="O877" s="745"/>
      <c r="P877" s="745"/>
      <c r="Q877" s="745"/>
    </row>
    <row r="878" spans="1:17">
      <c r="A878" s="745"/>
      <c r="B878" s="746"/>
      <c r="K878" s="746"/>
      <c r="L878" s="746"/>
      <c r="M878" s="746"/>
      <c r="N878" s="746"/>
      <c r="O878" s="745"/>
      <c r="P878" s="745"/>
      <c r="Q878" s="745"/>
    </row>
    <row r="879" spans="1:17">
      <c r="A879" s="745"/>
      <c r="B879" s="746"/>
      <c r="K879" s="746"/>
      <c r="L879" s="746"/>
      <c r="M879" s="746"/>
      <c r="N879" s="746"/>
      <c r="O879" s="745"/>
      <c r="P879" s="745"/>
      <c r="Q879" s="745"/>
    </row>
    <row r="880" spans="1:17">
      <c r="A880" s="745"/>
      <c r="B880" s="746"/>
      <c r="K880" s="746"/>
      <c r="L880" s="746"/>
      <c r="M880" s="746"/>
      <c r="N880" s="746"/>
      <c r="O880" s="745"/>
      <c r="P880" s="745"/>
      <c r="Q880" s="745"/>
    </row>
    <row r="881" spans="1:17">
      <c r="A881" s="745"/>
      <c r="B881" s="746"/>
      <c r="K881" s="746"/>
      <c r="L881" s="746"/>
      <c r="M881" s="746"/>
      <c r="N881" s="746"/>
      <c r="O881" s="745"/>
      <c r="P881" s="745"/>
      <c r="Q881" s="745"/>
    </row>
    <row r="882" spans="1:17">
      <c r="A882" s="745"/>
      <c r="B882" s="746"/>
      <c r="K882" s="746"/>
      <c r="L882" s="746"/>
      <c r="M882" s="746"/>
      <c r="N882" s="746"/>
      <c r="O882" s="745"/>
      <c r="P882" s="745"/>
      <c r="Q882" s="745"/>
    </row>
    <row r="883" spans="1:17">
      <c r="A883" s="745"/>
      <c r="B883" s="746"/>
      <c r="K883" s="746"/>
      <c r="L883" s="746"/>
      <c r="M883" s="746"/>
      <c r="N883" s="746"/>
      <c r="O883" s="745"/>
      <c r="P883" s="745"/>
      <c r="Q883" s="745"/>
    </row>
    <row r="884" spans="1:17">
      <c r="A884" s="745"/>
      <c r="B884" s="746"/>
      <c r="K884" s="746"/>
      <c r="L884" s="746"/>
      <c r="M884" s="746"/>
      <c r="N884" s="746"/>
      <c r="O884" s="745"/>
      <c r="P884" s="745"/>
      <c r="Q884" s="745"/>
    </row>
    <row r="885" spans="1:17">
      <c r="A885" s="745"/>
      <c r="B885" s="746"/>
      <c r="K885" s="746"/>
      <c r="L885" s="746"/>
      <c r="M885" s="746"/>
      <c r="N885" s="746"/>
      <c r="O885" s="745"/>
      <c r="P885" s="745"/>
      <c r="Q885" s="745"/>
    </row>
    <row r="886" spans="1:17">
      <c r="A886" s="745"/>
      <c r="B886" s="746"/>
      <c r="K886" s="746"/>
      <c r="L886" s="746"/>
      <c r="M886" s="746"/>
      <c r="N886" s="746"/>
      <c r="O886" s="745"/>
      <c r="P886" s="745"/>
      <c r="Q886" s="745"/>
    </row>
    <row r="887" spans="1:17">
      <c r="A887" s="745"/>
      <c r="B887" s="746"/>
      <c r="K887" s="746"/>
      <c r="L887" s="746"/>
      <c r="M887" s="746"/>
      <c r="N887" s="746"/>
      <c r="O887" s="745"/>
      <c r="P887" s="745"/>
      <c r="Q887" s="745"/>
    </row>
    <row r="888" spans="1:17">
      <c r="A888" s="745"/>
      <c r="B888" s="746"/>
      <c r="K888" s="746"/>
      <c r="L888" s="746"/>
      <c r="M888" s="746"/>
      <c r="N888" s="746"/>
      <c r="O888" s="745"/>
      <c r="P888" s="745"/>
      <c r="Q888" s="745"/>
    </row>
    <row r="889" spans="1:17">
      <c r="A889" s="745"/>
      <c r="B889" s="746"/>
      <c r="K889" s="746"/>
      <c r="L889" s="746"/>
      <c r="M889" s="746"/>
      <c r="N889" s="746"/>
      <c r="O889" s="745"/>
      <c r="P889" s="745"/>
      <c r="Q889" s="745"/>
    </row>
    <row r="890" spans="1:17">
      <c r="A890" s="745"/>
      <c r="B890" s="746"/>
      <c r="K890" s="746"/>
      <c r="L890" s="746"/>
      <c r="M890" s="746"/>
      <c r="N890" s="746"/>
      <c r="O890" s="745"/>
      <c r="P890" s="745"/>
      <c r="Q890" s="745"/>
    </row>
    <row r="891" spans="1:17">
      <c r="A891" s="745"/>
      <c r="B891" s="746"/>
      <c r="K891" s="746"/>
      <c r="L891" s="746"/>
      <c r="M891" s="746"/>
      <c r="N891" s="746"/>
      <c r="O891" s="745"/>
      <c r="P891" s="745"/>
      <c r="Q891" s="745"/>
    </row>
    <row r="892" spans="1:17">
      <c r="A892" s="745"/>
      <c r="B892" s="746"/>
      <c r="K892" s="746"/>
      <c r="L892" s="746"/>
      <c r="M892" s="746"/>
      <c r="N892" s="746"/>
      <c r="O892" s="745"/>
      <c r="P892" s="745"/>
      <c r="Q892" s="745"/>
    </row>
    <row r="893" spans="1:17">
      <c r="A893" s="745"/>
      <c r="B893" s="746"/>
      <c r="K893" s="746"/>
      <c r="L893" s="746"/>
      <c r="M893" s="746"/>
      <c r="N893" s="746"/>
      <c r="O893" s="745"/>
      <c r="P893" s="745"/>
      <c r="Q893" s="745"/>
    </row>
    <row r="894" spans="1:17">
      <c r="A894" s="745"/>
      <c r="B894" s="746"/>
      <c r="K894" s="746"/>
      <c r="L894" s="746"/>
      <c r="M894" s="746"/>
      <c r="N894" s="746"/>
      <c r="O894" s="745"/>
      <c r="P894" s="745"/>
      <c r="Q894" s="745"/>
    </row>
    <row r="895" spans="1:17">
      <c r="A895" s="745"/>
      <c r="B895" s="746"/>
      <c r="K895" s="746"/>
      <c r="L895" s="746"/>
      <c r="M895" s="746"/>
      <c r="N895" s="746"/>
      <c r="O895" s="745"/>
      <c r="P895" s="745"/>
      <c r="Q895" s="745"/>
    </row>
    <row r="896" spans="1:17">
      <c r="A896" s="745"/>
      <c r="B896" s="746"/>
      <c r="K896" s="746"/>
      <c r="L896" s="746"/>
      <c r="M896" s="746"/>
      <c r="N896" s="746"/>
      <c r="O896" s="745"/>
      <c r="P896" s="745"/>
      <c r="Q896" s="745"/>
    </row>
    <row r="897" spans="1:17">
      <c r="A897" s="745"/>
      <c r="B897" s="746"/>
      <c r="K897" s="746"/>
      <c r="L897" s="746"/>
      <c r="M897" s="746"/>
      <c r="N897" s="746"/>
      <c r="O897" s="745"/>
      <c r="P897" s="745"/>
      <c r="Q897" s="745"/>
    </row>
    <row r="898" spans="1:17">
      <c r="A898" s="745"/>
      <c r="B898" s="746"/>
      <c r="K898" s="746"/>
      <c r="L898" s="746"/>
      <c r="M898" s="746"/>
      <c r="N898" s="746"/>
      <c r="O898" s="745"/>
      <c r="P898" s="745"/>
      <c r="Q898" s="745"/>
    </row>
    <row r="899" spans="1:17">
      <c r="A899" s="745"/>
      <c r="B899" s="746"/>
      <c r="K899" s="746"/>
      <c r="L899" s="746"/>
      <c r="M899" s="746"/>
      <c r="N899" s="746"/>
      <c r="O899" s="745"/>
      <c r="P899" s="745"/>
      <c r="Q899" s="745"/>
    </row>
    <row r="900" spans="1:17">
      <c r="A900" s="745"/>
      <c r="B900" s="746"/>
      <c r="K900" s="746"/>
      <c r="L900" s="746"/>
      <c r="M900" s="746"/>
      <c r="N900" s="746"/>
      <c r="O900" s="745"/>
      <c r="P900" s="745"/>
      <c r="Q900" s="745"/>
    </row>
    <row r="901" spans="1:17">
      <c r="A901" s="745"/>
      <c r="B901" s="746"/>
      <c r="K901" s="746"/>
      <c r="L901" s="746"/>
      <c r="M901" s="746"/>
      <c r="N901" s="746"/>
      <c r="O901" s="745"/>
      <c r="P901" s="745"/>
      <c r="Q901" s="745"/>
    </row>
    <row r="902" spans="1:17">
      <c r="A902" s="745"/>
      <c r="B902" s="746"/>
      <c r="K902" s="746"/>
      <c r="L902" s="746"/>
      <c r="M902" s="746"/>
      <c r="N902" s="746"/>
      <c r="O902" s="745"/>
      <c r="P902" s="745"/>
      <c r="Q902" s="745"/>
    </row>
    <row r="903" spans="1:17">
      <c r="A903" s="745"/>
      <c r="B903" s="746"/>
      <c r="K903" s="746"/>
      <c r="L903" s="746"/>
      <c r="M903" s="746"/>
      <c r="N903" s="746"/>
      <c r="O903" s="745"/>
      <c r="P903" s="745"/>
      <c r="Q903" s="745"/>
    </row>
    <row r="904" spans="1:17">
      <c r="A904" s="745"/>
      <c r="B904" s="746"/>
      <c r="K904" s="746"/>
      <c r="L904" s="746"/>
      <c r="M904" s="746"/>
      <c r="N904" s="746"/>
      <c r="O904" s="745"/>
      <c r="P904" s="745"/>
      <c r="Q904" s="745"/>
    </row>
    <row r="905" spans="1:17">
      <c r="A905" s="745"/>
      <c r="B905" s="746"/>
      <c r="K905" s="746"/>
      <c r="L905" s="746"/>
      <c r="M905" s="746"/>
      <c r="N905" s="746"/>
      <c r="O905" s="745"/>
      <c r="P905" s="745"/>
      <c r="Q905" s="745"/>
    </row>
    <row r="906" spans="1:17">
      <c r="A906" s="745"/>
      <c r="B906" s="746"/>
      <c r="K906" s="746"/>
      <c r="L906" s="746"/>
      <c r="M906" s="746"/>
      <c r="N906" s="746"/>
      <c r="O906" s="745"/>
      <c r="P906" s="745"/>
      <c r="Q906" s="745"/>
    </row>
    <row r="907" spans="1:17">
      <c r="A907" s="745"/>
      <c r="B907" s="746"/>
      <c r="K907" s="746"/>
      <c r="L907" s="746"/>
      <c r="M907" s="746"/>
      <c r="N907" s="746"/>
      <c r="O907" s="745"/>
      <c r="P907" s="745"/>
      <c r="Q907" s="745"/>
    </row>
    <row r="908" spans="1:17">
      <c r="A908" s="745"/>
      <c r="B908" s="746"/>
      <c r="K908" s="746"/>
      <c r="L908" s="746"/>
      <c r="M908" s="746"/>
      <c r="N908" s="746"/>
      <c r="O908" s="745"/>
      <c r="P908" s="745"/>
      <c r="Q908" s="745"/>
    </row>
    <row r="909" spans="1:17">
      <c r="A909" s="745"/>
      <c r="B909" s="746"/>
      <c r="K909" s="746"/>
      <c r="L909" s="746"/>
      <c r="M909" s="746"/>
      <c r="N909" s="746"/>
      <c r="O909" s="745"/>
      <c r="P909" s="745"/>
      <c r="Q909" s="745"/>
    </row>
    <row r="910" spans="1:17">
      <c r="A910" s="745"/>
      <c r="B910" s="746"/>
      <c r="K910" s="746"/>
      <c r="L910" s="746"/>
      <c r="M910" s="746"/>
      <c r="N910" s="746"/>
      <c r="O910" s="745"/>
      <c r="P910" s="745"/>
      <c r="Q910" s="745"/>
    </row>
    <row r="911" spans="1:17">
      <c r="A911" s="745"/>
      <c r="B911" s="746"/>
      <c r="K911" s="746"/>
      <c r="L911" s="746"/>
      <c r="M911" s="746"/>
      <c r="N911" s="746"/>
      <c r="O911" s="745"/>
      <c r="P911" s="745"/>
      <c r="Q911" s="745"/>
    </row>
    <row r="912" spans="1:17">
      <c r="A912" s="745"/>
      <c r="B912" s="746"/>
      <c r="K912" s="746"/>
      <c r="L912" s="746"/>
      <c r="M912" s="746"/>
      <c r="N912" s="746"/>
      <c r="O912" s="745"/>
      <c r="P912" s="745"/>
      <c r="Q912" s="745"/>
    </row>
    <row r="913" spans="1:17">
      <c r="A913" s="745"/>
      <c r="B913" s="746"/>
      <c r="K913" s="746"/>
      <c r="L913" s="746"/>
      <c r="M913" s="746"/>
      <c r="N913" s="746"/>
      <c r="O913" s="745"/>
      <c r="P913" s="745"/>
      <c r="Q913" s="745"/>
    </row>
    <row r="914" spans="1:17">
      <c r="A914" s="745"/>
      <c r="B914" s="746"/>
      <c r="K914" s="746"/>
      <c r="L914" s="746"/>
      <c r="M914" s="746"/>
      <c r="N914" s="746"/>
      <c r="O914" s="745"/>
      <c r="P914" s="745"/>
      <c r="Q914" s="745"/>
    </row>
    <row r="915" spans="1:17">
      <c r="A915" s="745"/>
      <c r="B915" s="746"/>
      <c r="K915" s="746"/>
      <c r="L915" s="746"/>
      <c r="M915" s="746"/>
      <c r="N915" s="746"/>
      <c r="O915" s="745"/>
      <c r="P915" s="745"/>
      <c r="Q915" s="745"/>
    </row>
    <row r="916" spans="1:17">
      <c r="A916" s="745"/>
      <c r="B916" s="746"/>
      <c r="K916" s="746"/>
      <c r="L916" s="746"/>
      <c r="M916" s="746"/>
      <c r="N916" s="746"/>
      <c r="O916" s="745"/>
      <c r="P916" s="745"/>
      <c r="Q916" s="745"/>
    </row>
    <row r="917" spans="1:17">
      <c r="A917" s="745"/>
      <c r="B917" s="746"/>
      <c r="K917" s="746"/>
      <c r="L917" s="746"/>
      <c r="M917" s="746"/>
      <c r="N917" s="746"/>
      <c r="O917" s="745"/>
      <c r="P917" s="745"/>
      <c r="Q917" s="745"/>
    </row>
    <row r="918" spans="1:17">
      <c r="A918" s="745"/>
      <c r="B918" s="746"/>
      <c r="K918" s="746"/>
      <c r="L918" s="746"/>
      <c r="M918" s="746"/>
      <c r="N918" s="746"/>
      <c r="O918" s="745"/>
      <c r="P918" s="745"/>
      <c r="Q918" s="745"/>
    </row>
    <row r="919" spans="1:17">
      <c r="A919" s="745"/>
      <c r="B919" s="746"/>
      <c r="K919" s="746"/>
      <c r="L919" s="746"/>
      <c r="M919" s="746"/>
      <c r="N919" s="746"/>
      <c r="O919" s="745"/>
      <c r="P919" s="745"/>
      <c r="Q919" s="745"/>
    </row>
    <row r="920" spans="1:17">
      <c r="A920" s="745"/>
      <c r="B920" s="746"/>
      <c r="K920" s="746"/>
      <c r="L920" s="746"/>
      <c r="M920" s="746"/>
      <c r="N920" s="746"/>
      <c r="O920" s="745"/>
      <c r="P920" s="745"/>
      <c r="Q920" s="745"/>
    </row>
    <row r="921" spans="1:17">
      <c r="A921" s="745"/>
      <c r="B921" s="746"/>
      <c r="K921" s="746"/>
      <c r="L921" s="746"/>
      <c r="M921" s="746"/>
      <c r="N921" s="746"/>
      <c r="O921" s="745"/>
      <c r="P921" s="745"/>
      <c r="Q921" s="745"/>
    </row>
    <row r="922" spans="1:17">
      <c r="A922" s="745"/>
      <c r="B922" s="746"/>
      <c r="K922" s="746"/>
      <c r="L922" s="746"/>
      <c r="M922" s="746"/>
      <c r="N922" s="746"/>
      <c r="O922" s="745"/>
      <c r="P922" s="745"/>
      <c r="Q922" s="745"/>
    </row>
    <row r="923" spans="1:17">
      <c r="A923" s="745"/>
      <c r="B923" s="746"/>
      <c r="K923" s="746"/>
      <c r="L923" s="746"/>
      <c r="M923" s="746"/>
      <c r="N923" s="746"/>
      <c r="O923" s="745"/>
      <c r="P923" s="745"/>
      <c r="Q923" s="745"/>
    </row>
    <row r="924" spans="1:17">
      <c r="A924" s="745"/>
      <c r="B924" s="746"/>
      <c r="K924" s="746"/>
      <c r="L924" s="746"/>
      <c r="M924" s="746"/>
      <c r="N924" s="746"/>
      <c r="O924" s="745"/>
      <c r="P924" s="745"/>
      <c r="Q924" s="745"/>
    </row>
    <row r="925" spans="1:17">
      <c r="A925" s="745"/>
      <c r="B925" s="746"/>
      <c r="K925" s="746"/>
      <c r="L925" s="746"/>
      <c r="M925" s="746"/>
      <c r="N925" s="746"/>
      <c r="O925" s="745"/>
      <c r="P925" s="745"/>
      <c r="Q925" s="745"/>
    </row>
    <row r="926" spans="1:17">
      <c r="A926" s="745"/>
      <c r="B926" s="746"/>
      <c r="K926" s="746"/>
      <c r="L926" s="746"/>
      <c r="M926" s="746"/>
      <c r="N926" s="746"/>
      <c r="O926" s="745"/>
      <c r="P926" s="745"/>
      <c r="Q926" s="745"/>
    </row>
    <row r="927" spans="1:17">
      <c r="A927" s="745"/>
      <c r="B927" s="746"/>
      <c r="K927" s="746"/>
      <c r="L927" s="746"/>
      <c r="M927" s="746"/>
      <c r="N927" s="746"/>
      <c r="O927" s="745"/>
      <c r="P927" s="745"/>
      <c r="Q927" s="745"/>
    </row>
    <row r="928" spans="1:17">
      <c r="A928" s="745"/>
      <c r="B928" s="746"/>
      <c r="K928" s="746"/>
      <c r="L928" s="746"/>
      <c r="M928" s="746"/>
      <c r="N928" s="746"/>
      <c r="O928" s="745"/>
      <c r="P928" s="745"/>
      <c r="Q928" s="745"/>
    </row>
    <row r="929" spans="1:17">
      <c r="A929" s="745"/>
      <c r="B929" s="746"/>
      <c r="K929" s="746"/>
      <c r="L929" s="746"/>
      <c r="M929" s="746"/>
      <c r="N929" s="746"/>
      <c r="O929" s="745"/>
      <c r="P929" s="745"/>
      <c r="Q929" s="745"/>
    </row>
    <row r="930" spans="1:17">
      <c r="A930" s="745"/>
      <c r="B930" s="746"/>
      <c r="K930" s="746"/>
      <c r="L930" s="746"/>
      <c r="M930" s="746"/>
      <c r="N930" s="746"/>
      <c r="O930" s="745"/>
      <c r="P930" s="745"/>
      <c r="Q930" s="745"/>
    </row>
    <row r="931" spans="1:17">
      <c r="A931" s="745"/>
      <c r="B931" s="746"/>
      <c r="K931" s="746"/>
      <c r="L931" s="746"/>
      <c r="M931" s="746"/>
      <c r="N931" s="746"/>
      <c r="O931" s="745"/>
      <c r="P931" s="745"/>
      <c r="Q931" s="745"/>
    </row>
    <row r="932" spans="1:17">
      <c r="A932" s="745"/>
      <c r="B932" s="746"/>
      <c r="K932" s="746"/>
      <c r="L932" s="746"/>
      <c r="M932" s="746"/>
      <c r="N932" s="746"/>
      <c r="O932" s="745"/>
      <c r="P932" s="745"/>
      <c r="Q932" s="745"/>
    </row>
    <row r="933" spans="1:17">
      <c r="A933" s="745"/>
      <c r="B933" s="746"/>
      <c r="K933" s="746"/>
      <c r="L933" s="746"/>
      <c r="M933" s="746"/>
      <c r="N933" s="746"/>
      <c r="O933" s="745"/>
      <c r="P933" s="745"/>
      <c r="Q933" s="745"/>
    </row>
    <row r="934" spans="1:17">
      <c r="A934" s="745"/>
      <c r="B934" s="746"/>
      <c r="K934" s="746"/>
      <c r="L934" s="746"/>
      <c r="M934" s="746"/>
      <c r="N934" s="746"/>
      <c r="O934" s="745"/>
      <c r="P934" s="745"/>
      <c r="Q934" s="745"/>
    </row>
    <row r="935" spans="1:17">
      <c r="A935" s="745"/>
      <c r="B935" s="746"/>
      <c r="K935" s="746"/>
      <c r="L935" s="746"/>
      <c r="M935" s="746"/>
      <c r="N935" s="746"/>
      <c r="O935" s="745"/>
      <c r="P935" s="745"/>
      <c r="Q935" s="745"/>
    </row>
    <row r="936" spans="1:17">
      <c r="A936" s="745"/>
      <c r="B936" s="746"/>
      <c r="K936" s="746"/>
      <c r="L936" s="746"/>
      <c r="M936" s="746"/>
      <c r="N936" s="746"/>
      <c r="O936" s="745"/>
      <c r="P936" s="745"/>
      <c r="Q936" s="745"/>
    </row>
    <row r="937" spans="1:17">
      <c r="A937" s="745"/>
      <c r="B937" s="746"/>
      <c r="K937" s="746"/>
      <c r="L937" s="746"/>
      <c r="M937" s="746"/>
      <c r="N937" s="746"/>
      <c r="O937" s="745"/>
      <c r="P937" s="745"/>
      <c r="Q937" s="745"/>
    </row>
    <row r="938" spans="1:17">
      <c r="A938" s="745"/>
      <c r="B938" s="746"/>
      <c r="K938" s="746"/>
      <c r="L938" s="746"/>
      <c r="M938" s="746"/>
      <c r="N938" s="746"/>
      <c r="O938" s="745"/>
      <c r="P938" s="745"/>
      <c r="Q938" s="745"/>
    </row>
    <row r="939" spans="1:17">
      <c r="A939" s="745"/>
      <c r="B939" s="746"/>
      <c r="K939" s="746"/>
      <c r="L939" s="746"/>
      <c r="M939" s="746"/>
      <c r="N939" s="746"/>
      <c r="O939" s="745"/>
      <c r="P939" s="745"/>
      <c r="Q939" s="745"/>
    </row>
    <row r="940" spans="1:17">
      <c r="A940" s="745"/>
      <c r="B940" s="746"/>
      <c r="K940" s="746"/>
      <c r="L940" s="746"/>
      <c r="M940" s="746"/>
      <c r="N940" s="746"/>
      <c r="O940" s="745"/>
      <c r="P940" s="745"/>
      <c r="Q940" s="745"/>
    </row>
    <row r="941" spans="1:17">
      <c r="A941" s="745"/>
      <c r="B941" s="746"/>
      <c r="K941" s="746"/>
      <c r="L941" s="746"/>
      <c r="M941" s="746"/>
      <c r="N941" s="746"/>
      <c r="O941" s="745"/>
      <c r="P941" s="745"/>
      <c r="Q941" s="745"/>
    </row>
    <row r="942" spans="1:17">
      <c r="A942" s="745"/>
      <c r="B942" s="746"/>
      <c r="K942" s="746"/>
      <c r="L942" s="746"/>
      <c r="M942" s="746"/>
      <c r="N942" s="746"/>
      <c r="O942" s="745"/>
      <c r="P942" s="745"/>
      <c r="Q942" s="745"/>
    </row>
    <row r="943" spans="1:17">
      <c r="A943" s="745"/>
      <c r="B943" s="746"/>
      <c r="K943" s="746"/>
      <c r="L943" s="746"/>
      <c r="M943" s="746"/>
      <c r="N943" s="746"/>
      <c r="O943" s="745"/>
      <c r="P943" s="745"/>
      <c r="Q943" s="745"/>
    </row>
    <row r="944" spans="1:17">
      <c r="A944" s="745"/>
      <c r="B944" s="746"/>
      <c r="K944" s="746"/>
      <c r="L944" s="746"/>
      <c r="M944" s="746"/>
      <c r="N944" s="746"/>
      <c r="O944" s="745"/>
      <c r="P944" s="745"/>
      <c r="Q944" s="745"/>
    </row>
    <row r="945" spans="1:17">
      <c r="A945" s="745"/>
      <c r="B945" s="746"/>
      <c r="K945" s="746"/>
      <c r="L945" s="746"/>
      <c r="M945" s="746"/>
      <c r="N945" s="746"/>
      <c r="O945" s="745"/>
      <c r="P945" s="745"/>
      <c r="Q945" s="745"/>
    </row>
    <row r="946" spans="1:17">
      <c r="A946" s="745"/>
      <c r="B946" s="746"/>
      <c r="K946" s="746"/>
      <c r="L946" s="746"/>
      <c r="M946" s="746"/>
      <c r="N946" s="746"/>
      <c r="O946" s="745"/>
      <c r="P946" s="745"/>
      <c r="Q946" s="745"/>
    </row>
    <row r="947" spans="1:17">
      <c r="A947" s="745"/>
      <c r="B947" s="746"/>
      <c r="K947" s="746"/>
      <c r="L947" s="746"/>
      <c r="M947" s="746"/>
      <c r="N947" s="746"/>
      <c r="O947" s="745"/>
      <c r="P947" s="745"/>
      <c r="Q947" s="745"/>
    </row>
    <row r="948" spans="1:17">
      <c r="A948" s="745"/>
      <c r="B948" s="746"/>
      <c r="K948" s="746"/>
      <c r="L948" s="746"/>
      <c r="M948" s="746"/>
      <c r="N948" s="746"/>
      <c r="O948" s="745"/>
      <c r="P948" s="745"/>
      <c r="Q948" s="745"/>
    </row>
    <row r="949" spans="1:17">
      <c r="A949" s="745"/>
      <c r="B949" s="746"/>
      <c r="K949" s="746"/>
      <c r="L949" s="746"/>
      <c r="M949" s="746"/>
      <c r="N949" s="746"/>
      <c r="O949" s="745"/>
      <c r="P949" s="745"/>
      <c r="Q949" s="745"/>
    </row>
    <row r="950" spans="1:17">
      <c r="A950" s="745"/>
      <c r="B950" s="746"/>
      <c r="K950" s="746"/>
      <c r="L950" s="746"/>
      <c r="M950" s="746"/>
      <c r="N950" s="746"/>
      <c r="O950" s="745"/>
      <c r="P950" s="745"/>
      <c r="Q950" s="745"/>
    </row>
    <row r="951" spans="1:17">
      <c r="A951" s="745"/>
      <c r="B951" s="746"/>
      <c r="K951" s="746"/>
      <c r="L951" s="746"/>
      <c r="M951" s="746"/>
      <c r="N951" s="746"/>
      <c r="O951" s="745"/>
      <c r="P951" s="745"/>
      <c r="Q951" s="745"/>
    </row>
    <row r="952" spans="1:17">
      <c r="A952" s="745"/>
      <c r="B952" s="746"/>
      <c r="K952" s="746"/>
      <c r="L952" s="746"/>
      <c r="M952" s="746"/>
      <c r="N952" s="746"/>
      <c r="O952" s="745"/>
      <c r="P952" s="745"/>
      <c r="Q952" s="745"/>
    </row>
    <row r="953" spans="1:17">
      <c r="A953" s="745"/>
      <c r="B953" s="746"/>
      <c r="K953" s="746"/>
      <c r="L953" s="746"/>
      <c r="M953" s="746"/>
      <c r="N953" s="746"/>
      <c r="O953" s="745"/>
      <c r="P953" s="745"/>
      <c r="Q953" s="745"/>
    </row>
    <row r="954" spans="1:17">
      <c r="A954" s="745"/>
      <c r="B954" s="746"/>
      <c r="K954" s="746"/>
      <c r="L954" s="746"/>
      <c r="M954" s="746"/>
      <c r="N954" s="746"/>
      <c r="O954" s="745"/>
      <c r="P954" s="745"/>
      <c r="Q954" s="745"/>
    </row>
    <row r="955" spans="1:17">
      <c r="A955" s="745"/>
      <c r="B955" s="746"/>
      <c r="K955" s="746"/>
      <c r="L955" s="746"/>
      <c r="M955" s="746"/>
      <c r="N955" s="746"/>
      <c r="O955" s="745"/>
      <c r="P955" s="745"/>
      <c r="Q955" s="745"/>
    </row>
    <row r="956" spans="1:17">
      <c r="A956" s="745"/>
      <c r="B956" s="746"/>
      <c r="K956" s="746"/>
      <c r="L956" s="746"/>
      <c r="M956" s="746"/>
      <c r="N956" s="746"/>
      <c r="O956" s="745"/>
      <c r="P956" s="745"/>
      <c r="Q956" s="745"/>
    </row>
    <row r="957" spans="1:17">
      <c r="A957" s="745"/>
      <c r="B957" s="746"/>
      <c r="K957" s="746"/>
      <c r="L957" s="746"/>
      <c r="M957" s="746"/>
      <c r="N957" s="746"/>
      <c r="O957" s="745"/>
      <c r="P957" s="745"/>
      <c r="Q957" s="745"/>
    </row>
    <row r="958" spans="1:17">
      <c r="A958" s="745"/>
      <c r="B958" s="746"/>
      <c r="K958" s="746"/>
      <c r="L958" s="746"/>
      <c r="M958" s="746"/>
      <c r="N958" s="746"/>
      <c r="O958" s="745"/>
      <c r="P958" s="745"/>
      <c r="Q958" s="745"/>
    </row>
    <row r="959" spans="1:17">
      <c r="A959" s="745"/>
      <c r="B959" s="746"/>
      <c r="K959" s="746"/>
      <c r="L959" s="746"/>
      <c r="M959" s="746"/>
      <c r="N959" s="746"/>
      <c r="O959" s="745"/>
      <c r="P959" s="745"/>
      <c r="Q959" s="745"/>
    </row>
    <row r="960" spans="1:17">
      <c r="A960" s="745"/>
      <c r="B960" s="746"/>
      <c r="K960" s="746"/>
      <c r="L960" s="746"/>
      <c r="M960" s="746"/>
      <c r="N960" s="746"/>
      <c r="O960" s="745"/>
      <c r="P960" s="745"/>
      <c r="Q960" s="745"/>
    </row>
    <row r="961" spans="1:17">
      <c r="A961" s="745"/>
      <c r="B961" s="746"/>
      <c r="K961" s="746"/>
      <c r="L961" s="746"/>
      <c r="M961" s="746"/>
      <c r="N961" s="746"/>
      <c r="O961" s="745"/>
      <c r="P961" s="745"/>
      <c r="Q961" s="745"/>
    </row>
    <row r="962" spans="1:17">
      <c r="A962" s="745"/>
      <c r="B962" s="746"/>
      <c r="K962" s="746"/>
      <c r="L962" s="746"/>
      <c r="M962" s="746"/>
      <c r="N962" s="746"/>
      <c r="O962" s="745"/>
      <c r="P962" s="745"/>
      <c r="Q962" s="745"/>
    </row>
    <row r="963" spans="1:17">
      <c r="A963" s="745"/>
      <c r="B963" s="746"/>
      <c r="K963" s="746"/>
      <c r="L963" s="746"/>
      <c r="M963" s="746"/>
      <c r="N963" s="746"/>
      <c r="O963" s="745"/>
      <c r="P963" s="745"/>
      <c r="Q963" s="745"/>
    </row>
    <row r="964" spans="1:17">
      <c r="A964" s="745"/>
      <c r="B964" s="746"/>
      <c r="K964" s="746"/>
      <c r="L964" s="746"/>
      <c r="M964" s="746"/>
      <c r="N964" s="746"/>
      <c r="O964" s="745"/>
      <c r="P964" s="745"/>
      <c r="Q964" s="745"/>
    </row>
    <row r="965" spans="1:17">
      <c r="A965" s="745"/>
      <c r="B965" s="746"/>
      <c r="K965" s="746"/>
      <c r="L965" s="746"/>
      <c r="M965" s="746"/>
      <c r="N965" s="746"/>
      <c r="O965" s="745"/>
      <c r="P965" s="745"/>
      <c r="Q965" s="745"/>
    </row>
    <row r="966" spans="1:17">
      <c r="A966" s="745"/>
      <c r="B966" s="746"/>
      <c r="K966" s="746"/>
      <c r="L966" s="746"/>
      <c r="M966" s="746"/>
      <c r="N966" s="746"/>
      <c r="O966" s="745"/>
      <c r="P966" s="745"/>
      <c r="Q966" s="745"/>
    </row>
    <row r="967" spans="1:17">
      <c r="A967" s="745"/>
      <c r="B967" s="746"/>
      <c r="K967" s="746"/>
      <c r="L967" s="746"/>
      <c r="M967" s="746"/>
      <c r="N967" s="746"/>
      <c r="O967" s="745"/>
      <c r="P967" s="745"/>
      <c r="Q967" s="745"/>
    </row>
    <row r="968" spans="1:17">
      <c r="A968" s="745"/>
      <c r="B968" s="746"/>
      <c r="K968" s="746"/>
      <c r="L968" s="746"/>
      <c r="M968" s="746"/>
      <c r="N968" s="746"/>
      <c r="O968" s="745"/>
      <c r="P968" s="745"/>
      <c r="Q968" s="745"/>
    </row>
    <row r="969" spans="1:17">
      <c r="A969" s="745"/>
      <c r="B969" s="746"/>
      <c r="K969" s="746"/>
      <c r="L969" s="746"/>
      <c r="M969" s="746"/>
      <c r="N969" s="746"/>
      <c r="O969" s="745"/>
      <c r="P969" s="745"/>
      <c r="Q969" s="745"/>
    </row>
    <row r="970" spans="1:17">
      <c r="A970" s="745"/>
      <c r="B970" s="746"/>
      <c r="K970" s="746"/>
      <c r="L970" s="746"/>
      <c r="M970" s="746"/>
      <c r="N970" s="746"/>
      <c r="O970" s="745"/>
      <c r="P970" s="745"/>
      <c r="Q970" s="745"/>
    </row>
    <row r="971" spans="1:17">
      <c r="A971" s="745"/>
      <c r="B971" s="746"/>
      <c r="K971" s="746"/>
      <c r="L971" s="746"/>
      <c r="M971" s="746"/>
      <c r="N971" s="746"/>
      <c r="O971" s="745"/>
      <c r="P971" s="745"/>
      <c r="Q971" s="745"/>
    </row>
    <row r="972" spans="1:17">
      <c r="A972" s="745"/>
      <c r="B972" s="746"/>
      <c r="K972" s="746"/>
      <c r="L972" s="746"/>
      <c r="M972" s="746"/>
      <c r="N972" s="746"/>
      <c r="O972" s="745"/>
      <c r="P972" s="745"/>
      <c r="Q972" s="745"/>
    </row>
    <row r="973" spans="1:17">
      <c r="A973" s="745"/>
      <c r="B973" s="746"/>
      <c r="K973" s="746"/>
      <c r="L973" s="746"/>
      <c r="M973" s="746"/>
      <c r="N973" s="746"/>
      <c r="O973" s="745"/>
      <c r="P973" s="745"/>
      <c r="Q973" s="745"/>
    </row>
    <row r="974" spans="1:17">
      <c r="A974" s="745"/>
      <c r="B974" s="746"/>
      <c r="K974" s="746"/>
      <c r="L974" s="746"/>
      <c r="M974" s="746"/>
      <c r="N974" s="746"/>
      <c r="O974" s="745"/>
      <c r="P974" s="745"/>
      <c r="Q974" s="745"/>
    </row>
    <row r="975" spans="1:17">
      <c r="A975" s="745"/>
      <c r="B975" s="746"/>
      <c r="K975" s="746"/>
      <c r="L975" s="746"/>
      <c r="M975" s="746"/>
      <c r="N975" s="746"/>
      <c r="O975" s="745"/>
      <c r="P975" s="745"/>
      <c r="Q975" s="745"/>
    </row>
    <row r="976" spans="1:17">
      <c r="A976" s="745"/>
      <c r="B976" s="746"/>
      <c r="K976" s="746"/>
      <c r="L976" s="746"/>
      <c r="M976" s="746"/>
      <c r="N976" s="746"/>
      <c r="O976" s="745"/>
      <c r="P976" s="745"/>
      <c r="Q976" s="745"/>
    </row>
    <row r="977" spans="1:17">
      <c r="A977" s="745"/>
      <c r="B977" s="746"/>
      <c r="K977" s="746"/>
      <c r="L977" s="746"/>
      <c r="M977" s="746"/>
      <c r="N977" s="746"/>
      <c r="O977" s="745"/>
      <c r="P977" s="745"/>
      <c r="Q977" s="745"/>
    </row>
    <row r="978" spans="1:17">
      <c r="A978" s="745"/>
      <c r="B978" s="746"/>
      <c r="K978" s="746"/>
      <c r="L978" s="746"/>
      <c r="M978" s="746"/>
      <c r="N978" s="746"/>
      <c r="O978" s="745"/>
      <c r="P978" s="745"/>
      <c r="Q978" s="745"/>
    </row>
    <row r="979" spans="1:17">
      <c r="A979" s="745"/>
      <c r="B979" s="746"/>
      <c r="K979" s="746"/>
      <c r="L979" s="746"/>
      <c r="M979" s="746"/>
      <c r="N979" s="746"/>
      <c r="O979" s="745"/>
      <c r="P979" s="745"/>
      <c r="Q979" s="745"/>
    </row>
    <row r="980" spans="1:17">
      <c r="A980" s="745"/>
      <c r="B980" s="746"/>
      <c r="K980" s="746"/>
      <c r="L980" s="746"/>
      <c r="M980" s="746"/>
      <c r="N980" s="746"/>
      <c r="O980" s="745"/>
      <c r="P980" s="745"/>
      <c r="Q980" s="745"/>
    </row>
    <row r="981" spans="1:17">
      <c r="A981" s="745"/>
      <c r="B981" s="746"/>
      <c r="K981" s="746"/>
      <c r="L981" s="746"/>
      <c r="M981" s="746"/>
      <c r="N981" s="746"/>
      <c r="O981" s="745"/>
      <c r="P981" s="745"/>
      <c r="Q981" s="745"/>
    </row>
    <row r="982" spans="1:17">
      <c r="A982" s="745"/>
      <c r="B982" s="746"/>
      <c r="K982" s="746"/>
      <c r="L982" s="746"/>
      <c r="M982" s="746"/>
      <c r="N982" s="746"/>
      <c r="O982" s="745"/>
      <c r="P982" s="745"/>
      <c r="Q982" s="745"/>
    </row>
    <row r="983" spans="1:17">
      <c r="A983" s="745"/>
      <c r="B983" s="746"/>
      <c r="K983" s="746"/>
      <c r="L983" s="746"/>
      <c r="M983" s="746"/>
      <c r="N983" s="746"/>
      <c r="O983" s="745"/>
      <c r="P983" s="745"/>
      <c r="Q983" s="745"/>
    </row>
    <row r="984" spans="1:17">
      <c r="A984" s="745"/>
      <c r="B984" s="746"/>
      <c r="K984" s="746"/>
      <c r="L984" s="746"/>
      <c r="M984" s="746"/>
      <c r="N984" s="746"/>
      <c r="O984" s="745"/>
      <c r="P984" s="745"/>
      <c r="Q984" s="745"/>
    </row>
    <row r="985" spans="1:17">
      <c r="A985" s="745"/>
      <c r="B985" s="746"/>
      <c r="K985" s="746"/>
      <c r="L985" s="746"/>
      <c r="M985" s="746"/>
      <c r="N985" s="746"/>
      <c r="O985" s="745"/>
      <c r="P985" s="745"/>
      <c r="Q985" s="745"/>
    </row>
    <row r="986" spans="1:17">
      <c r="A986" s="745"/>
      <c r="B986" s="746"/>
      <c r="K986" s="746"/>
      <c r="L986" s="746"/>
      <c r="M986" s="746"/>
      <c r="N986" s="746"/>
      <c r="O986" s="745"/>
      <c r="P986" s="745"/>
      <c r="Q986" s="745"/>
    </row>
    <row r="987" spans="1:17">
      <c r="A987" s="745"/>
      <c r="B987" s="746"/>
      <c r="K987" s="746"/>
      <c r="L987" s="746"/>
      <c r="M987" s="746"/>
      <c r="N987" s="746"/>
      <c r="O987" s="745"/>
      <c r="P987" s="745"/>
      <c r="Q987" s="745"/>
    </row>
    <row r="988" spans="1:17">
      <c r="A988" s="745"/>
      <c r="B988" s="746"/>
      <c r="K988" s="746"/>
      <c r="L988" s="746"/>
      <c r="M988" s="746"/>
      <c r="N988" s="746"/>
      <c r="O988" s="745"/>
      <c r="P988" s="745"/>
      <c r="Q988" s="745"/>
    </row>
    <row r="989" spans="1:17">
      <c r="A989" s="745"/>
      <c r="B989" s="746"/>
      <c r="K989" s="746"/>
      <c r="L989" s="746"/>
      <c r="M989" s="746"/>
      <c r="N989" s="746"/>
      <c r="O989" s="745"/>
      <c r="P989" s="745"/>
      <c r="Q989" s="745"/>
    </row>
    <row r="990" spans="1:17">
      <c r="A990" s="745"/>
      <c r="B990" s="746"/>
      <c r="K990" s="746"/>
      <c r="L990" s="746"/>
      <c r="M990" s="746"/>
      <c r="N990" s="746"/>
      <c r="O990" s="745"/>
      <c r="P990" s="745"/>
      <c r="Q990" s="745"/>
    </row>
    <row r="991" spans="1:17">
      <c r="A991" s="745"/>
      <c r="B991" s="746"/>
      <c r="K991" s="746"/>
      <c r="L991" s="746"/>
      <c r="M991" s="746"/>
      <c r="N991" s="746"/>
      <c r="O991" s="745"/>
      <c r="P991" s="745"/>
      <c r="Q991" s="745"/>
    </row>
    <row r="992" spans="1:17">
      <c r="A992" s="745"/>
      <c r="B992" s="746"/>
      <c r="K992" s="746"/>
      <c r="L992" s="746"/>
      <c r="M992" s="746"/>
      <c r="N992" s="746"/>
      <c r="O992" s="745"/>
      <c r="P992" s="745"/>
      <c r="Q992" s="745"/>
    </row>
    <row r="993" spans="1:17">
      <c r="A993" s="745"/>
      <c r="B993" s="746"/>
      <c r="K993" s="746"/>
      <c r="L993" s="746"/>
      <c r="M993" s="746"/>
      <c r="N993" s="746"/>
      <c r="O993" s="745"/>
      <c r="P993" s="745"/>
      <c r="Q993" s="745"/>
    </row>
    <row r="994" spans="1:17">
      <c r="A994" s="745"/>
      <c r="B994" s="746"/>
      <c r="K994" s="746"/>
      <c r="L994" s="746"/>
      <c r="M994" s="746"/>
      <c r="N994" s="746"/>
      <c r="O994" s="745"/>
      <c r="P994" s="745"/>
      <c r="Q994" s="745"/>
    </row>
    <row r="995" spans="1:17">
      <c r="A995" s="745"/>
      <c r="B995" s="746"/>
      <c r="K995" s="746"/>
      <c r="L995" s="746"/>
      <c r="M995" s="746"/>
      <c r="N995" s="746"/>
      <c r="O995" s="745"/>
      <c r="P995" s="745"/>
      <c r="Q995" s="745"/>
    </row>
    <row r="996" spans="1:17">
      <c r="A996" s="745"/>
      <c r="B996" s="746"/>
      <c r="K996" s="746"/>
      <c r="L996" s="746"/>
      <c r="M996" s="746"/>
      <c r="N996" s="746"/>
      <c r="O996" s="745"/>
      <c r="P996" s="745"/>
      <c r="Q996" s="745"/>
    </row>
    <row r="997" spans="1:17">
      <c r="A997" s="745"/>
      <c r="B997" s="746"/>
      <c r="K997" s="746"/>
      <c r="L997" s="746"/>
      <c r="M997" s="746"/>
      <c r="N997" s="746"/>
      <c r="O997" s="745"/>
      <c r="P997" s="745"/>
      <c r="Q997" s="745"/>
    </row>
    <row r="998" spans="1:17">
      <c r="A998" s="745"/>
      <c r="B998" s="746"/>
      <c r="K998" s="746"/>
      <c r="L998" s="746"/>
      <c r="M998" s="746"/>
      <c r="N998" s="746"/>
      <c r="O998" s="745"/>
      <c r="P998" s="745"/>
      <c r="Q998" s="745"/>
    </row>
    <row r="999" spans="1:17">
      <c r="A999" s="745"/>
      <c r="B999" s="746"/>
      <c r="K999" s="746"/>
      <c r="L999" s="746"/>
      <c r="M999" s="746"/>
      <c r="N999" s="746"/>
      <c r="O999" s="745"/>
      <c r="P999" s="745"/>
      <c r="Q999" s="745"/>
    </row>
    <row r="1000" spans="1:17">
      <c r="A1000" s="745"/>
      <c r="B1000" s="746"/>
      <c r="K1000" s="746"/>
      <c r="L1000" s="746"/>
      <c r="M1000" s="746"/>
      <c r="N1000" s="746"/>
      <c r="O1000" s="745"/>
      <c r="P1000" s="745"/>
      <c r="Q1000" s="745"/>
    </row>
    <row r="1001" spans="1:17">
      <c r="A1001" s="745"/>
      <c r="B1001" s="746"/>
      <c r="K1001" s="746"/>
      <c r="L1001" s="746"/>
      <c r="M1001" s="746"/>
      <c r="N1001" s="746"/>
      <c r="O1001" s="745"/>
      <c r="P1001" s="745"/>
      <c r="Q1001" s="745"/>
    </row>
    <row r="1002" spans="1:17">
      <c r="A1002" s="745"/>
      <c r="B1002" s="746"/>
      <c r="K1002" s="746"/>
      <c r="L1002" s="746"/>
      <c r="M1002" s="746"/>
      <c r="N1002" s="746"/>
      <c r="O1002" s="745"/>
      <c r="P1002" s="745"/>
      <c r="Q1002" s="745"/>
    </row>
    <row r="1003" spans="1:17">
      <c r="A1003" s="745"/>
      <c r="B1003" s="746"/>
      <c r="K1003" s="746"/>
      <c r="L1003" s="746"/>
      <c r="M1003" s="746"/>
      <c r="N1003" s="746"/>
      <c r="O1003" s="745"/>
      <c r="P1003" s="745"/>
      <c r="Q1003" s="745"/>
    </row>
    <row r="1004" spans="1:17">
      <c r="A1004" s="745"/>
      <c r="B1004" s="746"/>
      <c r="K1004" s="746"/>
      <c r="L1004" s="746"/>
      <c r="M1004" s="746"/>
      <c r="N1004" s="746"/>
      <c r="O1004" s="745"/>
      <c r="P1004" s="745"/>
      <c r="Q1004" s="745"/>
    </row>
    <row r="1005" spans="1:17">
      <c r="A1005" s="745"/>
      <c r="B1005" s="746"/>
      <c r="K1005" s="746"/>
      <c r="L1005" s="746"/>
      <c r="M1005" s="746"/>
      <c r="N1005" s="746"/>
      <c r="O1005" s="745"/>
      <c r="P1005" s="745"/>
      <c r="Q1005" s="745"/>
    </row>
    <row r="1006" spans="1:17">
      <c r="A1006" s="745"/>
      <c r="B1006" s="746"/>
      <c r="K1006" s="746"/>
      <c r="L1006" s="746"/>
      <c r="M1006" s="746"/>
      <c r="N1006" s="746"/>
      <c r="O1006" s="745"/>
      <c r="P1006" s="745"/>
      <c r="Q1006" s="745"/>
    </row>
    <row r="1007" spans="1:17">
      <c r="A1007" s="745"/>
      <c r="B1007" s="746"/>
      <c r="K1007" s="746"/>
      <c r="L1007" s="746"/>
      <c r="M1007" s="746"/>
      <c r="N1007" s="746"/>
      <c r="O1007" s="745"/>
      <c r="P1007" s="745"/>
      <c r="Q1007" s="745"/>
    </row>
    <row r="1008" spans="1:17">
      <c r="A1008" s="745"/>
      <c r="B1008" s="746"/>
      <c r="K1008" s="746"/>
      <c r="L1008" s="746"/>
      <c r="M1008" s="746"/>
      <c r="N1008" s="746"/>
      <c r="O1008" s="745"/>
      <c r="P1008" s="745"/>
      <c r="Q1008" s="745"/>
    </row>
    <row r="1009" spans="1:17">
      <c r="A1009" s="745"/>
      <c r="B1009" s="746"/>
      <c r="K1009" s="746"/>
      <c r="L1009" s="746"/>
      <c r="M1009" s="746"/>
      <c r="N1009" s="746"/>
      <c r="O1009" s="745"/>
      <c r="P1009" s="745"/>
      <c r="Q1009" s="745"/>
    </row>
    <row r="1010" spans="1:17">
      <c r="A1010" s="745"/>
      <c r="B1010" s="746"/>
      <c r="K1010" s="746"/>
      <c r="L1010" s="746"/>
      <c r="M1010" s="746"/>
      <c r="N1010" s="746"/>
      <c r="O1010" s="745"/>
      <c r="P1010" s="745"/>
      <c r="Q1010" s="745"/>
    </row>
    <row r="1011" spans="1:17">
      <c r="A1011" s="745"/>
      <c r="B1011" s="746"/>
      <c r="K1011" s="746"/>
      <c r="L1011" s="746"/>
      <c r="M1011" s="746"/>
      <c r="N1011" s="746"/>
      <c r="O1011" s="745"/>
      <c r="P1011" s="745"/>
      <c r="Q1011" s="745"/>
    </row>
    <row r="1012" spans="1:17">
      <c r="A1012" s="745"/>
      <c r="B1012" s="746"/>
      <c r="K1012" s="746"/>
      <c r="L1012" s="746"/>
      <c r="M1012" s="746"/>
      <c r="N1012" s="746"/>
      <c r="O1012" s="745"/>
      <c r="P1012" s="745"/>
      <c r="Q1012" s="745"/>
    </row>
    <row r="1013" spans="1:17">
      <c r="A1013" s="745"/>
      <c r="B1013" s="746"/>
      <c r="K1013" s="746"/>
      <c r="L1013" s="746"/>
      <c r="M1013" s="746"/>
      <c r="N1013" s="746"/>
      <c r="O1013" s="745"/>
      <c r="P1013" s="745"/>
      <c r="Q1013" s="745"/>
    </row>
  </sheetData>
  <mergeCells count="46">
    <mergeCell ref="A1:L1"/>
    <mergeCell ref="A3:B4"/>
    <mergeCell ref="K3:K4"/>
    <mergeCell ref="L3:L4"/>
    <mergeCell ref="A5:B5"/>
    <mergeCell ref="J3:J4"/>
    <mergeCell ref="E3:I3"/>
    <mergeCell ref="A47:B47"/>
    <mergeCell ref="A27:B27"/>
    <mergeCell ref="A28:B28"/>
    <mergeCell ref="A29:B29"/>
    <mergeCell ref="A30:B30"/>
    <mergeCell ref="A31:B31"/>
    <mergeCell ref="A32:B32"/>
    <mergeCell ref="A33:B33"/>
    <mergeCell ref="A34:B34"/>
    <mergeCell ref="A41:B41"/>
    <mergeCell ref="A42:B42"/>
    <mergeCell ref="A46:B46"/>
    <mergeCell ref="A35:B35"/>
    <mergeCell ref="A36:B36"/>
    <mergeCell ref="A25:B25"/>
    <mergeCell ref="A22:B22"/>
    <mergeCell ref="A23:B23"/>
    <mergeCell ref="A43:B43"/>
    <mergeCell ref="A44:B44"/>
    <mergeCell ref="A26:B26"/>
    <mergeCell ref="A39:B39"/>
    <mergeCell ref="A40:B40"/>
    <mergeCell ref="A37:B37"/>
    <mergeCell ref="A38:B38"/>
    <mergeCell ref="A20:B20"/>
    <mergeCell ref="A21:B21"/>
    <mergeCell ref="A24:B24"/>
    <mergeCell ref="A15:B15"/>
    <mergeCell ref="A16:B16"/>
    <mergeCell ref="A17:B17"/>
    <mergeCell ref="A18:B18"/>
    <mergeCell ref="A19:B19"/>
    <mergeCell ref="A12:B12"/>
    <mergeCell ref="A13:B13"/>
    <mergeCell ref="A11:B11"/>
    <mergeCell ref="A6:B6"/>
    <mergeCell ref="A7:B7"/>
    <mergeCell ref="A9:B9"/>
    <mergeCell ref="A10:B10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2" sqref="L22:L23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Z696"/>
  <sheetViews>
    <sheetView showGridLines="0" view="pageBreakPreview" zoomScaleSheetLayoutView="100" workbookViewId="0">
      <pane xSplit="2" ySplit="6" topLeftCell="H655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I681" sqref="I681:I696"/>
    </sheetView>
  </sheetViews>
  <sheetFormatPr defaultColWidth="9.140625" defaultRowHeight="12.75"/>
  <cols>
    <col min="1" max="1" width="3.42578125" style="196" customWidth="1"/>
    <col min="2" max="2" width="61.42578125" style="196" customWidth="1"/>
    <col min="3" max="3" width="11.5703125" style="196" customWidth="1"/>
    <col min="4" max="4" width="14.140625" style="196" customWidth="1"/>
    <col min="5" max="5" width="12.140625" style="196" customWidth="1"/>
    <col min="6" max="9" width="11.140625" style="196" customWidth="1"/>
    <col min="10" max="10" width="10.42578125" style="196" customWidth="1"/>
    <col min="11" max="11" width="9.5703125" style="196" customWidth="1"/>
    <col min="12" max="12" width="9.85546875" style="196" customWidth="1"/>
    <col min="13" max="13" width="11.85546875" style="196" customWidth="1"/>
    <col min="14" max="14" width="12.7109375" style="196" customWidth="1"/>
    <col min="15" max="15" width="14.140625" style="196" hidden="1" customWidth="1"/>
    <col min="16" max="16" width="16" style="196" hidden="1" customWidth="1"/>
    <col min="17" max="17" width="10" style="196" hidden="1" customWidth="1"/>
    <col min="18" max="18" width="16.42578125" style="196" hidden="1" customWidth="1"/>
    <col min="19" max="22" width="0" style="196" hidden="1" customWidth="1"/>
    <col min="23" max="16384" width="9.140625" style="196"/>
  </cols>
  <sheetData>
    <row r="1" spans="1:18" ht="15.75" customHeight="1">
      <c r="F1" s="608"/>
      <c r="G1" s="608"/>
      <c r="H1" s="210" t="s">
        <v>61</v>
      </c>
      <c r="I1" s="210"/>
      <c r="J1" s="210"/>
      <c r="K1" s="210"/>
      <c r="L1" s="210"/>
      <c r="M1" s="3"/>
      <c r="N1" s="4"/>
    </row>
    <row r="2" spans="1:18" ht="18.7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4"/>
    </row>
    <row r="3" spans="1:18" ht="43.5" customHeight="1" thickBot="1">
      <c r="A3" s="3764" t="s">
        <v>583</v>
      </c>
      <c r="B3" s="3764"/>
      <c r="C3" s="3764"/>
      <c r="D3" s="3764"/>
      <c r="E3" s="3764"/>
      <c r="F3" s="3764"/>
      <c r="G3" s="3764"/>
      <c r="H3" s="3764"/>
      <c r="I3" s="3764"/>
      <c r="J3" s="3764"/>
      <c r="K3" s="3764"/>
      <c r="L3" s="3764"/>
      <c r="M3" s="3764"/>
      <c r="N3" s="3764"/>
    </row>
    <row r="4" spans="1:18" ht="13.5" hidden="1" thickBot="1">
      <c r="A4" s="2443"/>
      <c r="B4" s="2443"/>
      <c r="C4" s="2443"/>
      <c r="D4" s="2443"/>
      <c r="E4" s="2443"/>
      <c r="F4" s="2443"/>
      <c r="G4" s="2443"/>
      <c r="H4" s="2443"/>
      <c r="I4" s="2443"/>
      <c r="J4" s="2443"/>
      <c r="K4" s="2443"/>
      <c r="L4" s="2812"/>
      <c r="M4" s="2812"/>
      <c r="N4" s="2813"/>
    </row>
    <row r="5" spans="1:18" ht="64.5" customHeight="1">
      <c r="A5" s="3782" t="s">
        <v>65</v>
      </c>
      <c r="B5" s="3784" t="s">
        <v>66</v>
      </c>
      <c r="C5" s="3765" t="s">
        <v>62</v>
      </c>
      <c r="D5" s="3767" t="s">
        <v>63</v>
      </c>
      <c r="E5" s="2407" t="s">
        <v>240</v>
      </c>
      <c r="F5" s="3818" t="s">
        <v>572</v>
      </c>
      <c r="G5" s="3786" t="s">
        <v>540</v>
      </c>
      <c r="H5" s="3787"/>
      <c r="I5" s="3787"/>
      <c r="J5" s="3787"/>
      <c r="K5" s="3788"/>
      <c r="L5" s="2415"/>
      <c r="M5" s="3774" t="s">
        <v>552</v>
      </c>
      <c r="N5" s="3769" t="s">
        <v>64</v>
      </c>
    </row>
    <row r="6" spans="1:18" ht="24.75" customHeight="1" thickBot="1">
      <c r="A6" s="3783"/>
      <c r="B6" s="3785"/>
      <c r="C6" s="3766"/>
      <c r="D6" s="3768"/>
      <c r="E6" s="2444" t="s">
        <v>538</v>
      </c>
      <c r="F6" s="3819"/>
      <c r="G6" s="2408" t="s">
        <v>193</v>
      </c>
      <c r="H6" s="2408" t="s">
        <v>194</v>
      </c>
      <c r="I6" s="2408" t="s">
        <v>234</v>
      </c>
      <c r="J6" s="2408" t="s">
        <v>235</v>
      </c>
      <c r="K6" s="2408" t="s">
        <v>233</v>
      </c>
      <c r="L6" s="2408">
        <v>2024</v>
      </c>
      <c r="M6" s="3775"/>
      <c r="N6" s="3770"/>
      <c r="O6" s="354"/>
      <c r="P6" s="354"/>
    </row>
    <row r="7" spans="1:18" s="213" customFormat="1" ht="12.75" customHeight="1" thickBot="1">
      <c r="A7" s="5">
        <v>1</v>
      </c>
      <c r="B7" s="6">
        <v>2</v>
      </c>
      <c r="C7" s="7">
        <v>3</v>
      </c>
      <c r="D7" s="8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/>
      <c r="M7" s="10">
        <v>12</v>
      </c>
      <c r="N7" s="11">
        <v>13</v>
      </c>
      <c r="O7" s="212"/>
      <c r="P7" s="212"/>
    </row>
    <row r="8" spans="1:18" ht="16.5" customHeight="1">
      <c r="A8" s="3771" t="s">
        <v>59</v>
      </c>
      <c r="B8" s="178" t="s">
        <v>67</v>
      </c>
      <c r="C8" s="2445"/>
      <c r="D8" s="180">
        <f>+D9+D10</f>
        <v>551658609</v>
      </c>
      <c r="E8" s="180">
        <f>+E9+E10</f>
        <v>65128263</v>
      </c>
      <c r="F8" s="180">
        <f t="shared" ref="F8" si="0">+F9+F10</f>
        <v>63102192</v>
      </c>
      <c r="G8" s="180">
        <f t="shared" ref="G8:K8" si="1">+G9+G10</f>
        <v>206854440</v>
      </c>
      <c r="H8" s="180">
        <f t="shared" si="1"/>
        <v>169573714</v>
      </c>
      <c r="I8" s="180">
        <f t="shared" si="1"/>
        <v>47000000</v>
      </c>
      <c r="J8" s="180">
        <f t="shared" si="1"/>
        <v>0</v>
      </c>
      <c r="K8" s="180">
        <f t="shared" si="1"/>
        <v>0</v>
      </c>
      <c r="L8" s="180">
        <f>+L9+L10</f>
        <v>0</v>
      </c>
      <c r="M8" s="12">
        <f>+M9+M10</f>
        <v>423428154</v>
      </c>
      <c r="N8" s="609"/>
      <c r="O8" s="354"/>
    </row>
    <row r="9" spans="1:18" ht="13.5" customHeight="1">
      <c r="A9" s="3772"/>
      <c r="B9" s="181" t="s">
        <v>68</v>
      </c>
      <c r="C9" s="345"/>
      <c r="D9" s="183">
        <f>+D499+D517+D435+D450</f>
        <v>944587</v>
      </c>
      <c r="E9" s="183">
        <f>+E499+E517+E435+E450</f>
        <v>199084</v>
      </c>
      <c r="F9" s="183">
        <f t="shared" ref="F9:I9" si="2">+F499+F517+F435+F450</f>
        <v>264484</v>
      </c>
      <c r="G9" s="183">
        <f t="shared" si="2"/>
        <v>398847</v>
      </c>
      <c r="H9" s="183">
        <f t="shared" si="2"/>
        <v>82172</v>
      </c>
      <c r="I9" s="183">
        <f t="shared" si="2"/>
        <v>0</v>
      </c>
      <c r="J9" s="183">
        <f t="shared" ref="J9:K9" si="3">+J499+J517+J435</f>
        <v>0</v>
      </c>
      <c r="K9" s="183">
        <f t="shared" si="3"/>
        <v>0</v>
      </c>
      <c r="L9" s="183">
        <f>+L499+L517+L435+L450</f>
        <v>0</v>
      </c>
      <c r="M9" s="1414">
        <f>SUM(G9:K9)</f>
        <v>481019</v>
      </c>
      <c r="N9" s="610"/>
      <c r="O9" s="354">
        <f>E9+F9+G9+H9+I9+J9+K9-D9</f>
        <v>0</v>
      </c>
    </row>
    <row r="10" spans="1:18" ht="14.25" customHeight="1" thickBot="1">
      <c r="A10" s="3772"/>
      <c r="B10" s="611" t="s">
        <v>8</v>
      </c>
      <c r="C10" s="612"/>
      <c r="D10" s="613">
        <f>+D114+D129+D54+D68+D145+D337+D313+D351+D80+D92+D104+D481+D325+D378+D157+D169+D181+D193+D387+D399+D408+D417+D426+D205+D217+D229+D241+D253+D265+D277+D289+D301</f>
        <v>550714022</v>
      </c>
      <c r="E10" s="613">
        <f t="shared" ref="E10:K10" si="4">+E114+E129+E54+E68+E145+E337+E313+E351+E80+E92+E104+E481+E325+E378+E157+E169+E181+E193+E387+E399+E408+E417+E426+E205+E217+E229+E241+E253+E265+E277+E289+E301</f>
        <v>64929179</v>
      </c>
      <c r="F10" s="613">
        <f t="shared" si="4"/>
        <v>62837708</v>
      </c>
      <c r="G10" s="613">
        <f t="shared" si="4"/>
        <v>206455593</v>
      </c>
      <c r="H10" s="613">
        <f t="shared" si="4"/>
        <v>169491542</v>
      </c>
      <c r="I10" s="613">
        <f t="shared" si="4"/>
        <v>47000000</v>
      </c>
      <c r="J10" s="613">
        <f t="shared" si="4"/>
        <v>0</v>
      </c>
      <c r="K10" s="613">
        <f t="shared" si="4"/>
        <v>0</v>
      </c>
      <c r="L10" s="613">
        <f>+L114+L129+L54+L68+L145+L337+L313+L351+L80+L92+L104+L481+L325+L378+L157+L169+L181+L193+L387+L399+L408+L417+L426+L205+L217+L229+L241+L253+L265+L277+L289+L301</f>
        <v>0</v>
      </c>
      <c r="M10" s="125">
        <f>SUM(G10:K10)</f>
        <v>422947135</v>
      </c>
      <c r="N10" s="610"/>
    </row>
    <row r="11" spans="1:18" ht="14.25" customHeight="1">
      <c r="A11" s="3772"/>
      <c r="B11" s="15" t="s">
        <v>9</v>
      </c>
      <c r="C11" s="16"/>
      <c r="D11" s="614">
        <f>+D12+D18</f>
        <v>551658609</v>
      </c>
      <c r="E11" s="614">
        <f t="shared" ref="E11" si="5">+E12+E18</f>
        <v>65128263</v>
      </c>
      <c r="F11" s="614">
        <f t="shared" ref="F11:M11" si="6">+F12+F18</f>
        <v>63102192</v>
      </c>
      <c r="G11" s="614">
        <f t="shared" si="6"/>
        <v>206854440</v>
      </c>
      <c r="H11" s="614">
        <f t="shared" si="6"/>
        <v>169573714</v>
      </c>
      <c r="I11" s="614">
        <f t="shared" si="6"/>
        <v>47000000</v>
      </c>
      <c r="J11" s="614">
        <f t="shared" si="6"/>
        <v>0</v>
      </c>
      <c r="K11" s="614">
        <f t="shared" si="6"/>
        <v>0</v>
      </c>
      <c r="L11" s="614">
        <f>+L12+L18</f>
        <v>0</v>
      </c>
      <c r="M11" s="615">
        <f t="shared" si="6"/>
        <v>423428154</v>
      </c>
      <c r="N11" s="548"/>
      <c r="O11" s="616"/>
      <c r="P11" s="354"/>
      <c r="R11" s="354"/>
    </row>
    <row r="12" spans="1:18" s="619" customFormat="1" ht="14.25" customHeight="1">
      <c r="A12" s="3772"/>
      <c r="B12" s="130" t="s">
        <v>10</v>
      </c>
      <c r="C12" s="2814"/>
      <c r="D12" s="2815">
        <f>+D13+D14+D15+D16+D17</f>
        <v>112949500</v>
      </c>
      <c r="E12" s="2815">
        <f t="shared" ref="E12" si="7">+E13+E14+E15+E16+E17</f>
        <v>12214109</v>
      </c>
      <c r="F12" s="2815">
        <f t="shared" ref="F12:K12" si="8">+F13+F14+F15+F16+F17</f>
        <v>11149757</v>
      </c>
      <c r="G12" s="2815">
        <f t="shared" si="8"/>
        <v>50328668</v>
      </c>
      <c r="H12" s="2815">
        <f t="shared" si="8"/>
        <v>32206966</v>
      </c>
      <c r="I12" s="2815">
        <f t="shared" si="8"/>
        <v>7050000</v>
      </c>
      <c r="J12" s="2815">
        <f t="shared" si="8"/>
        <v>0</v>
      </c>
      <c r="K12" s="2815">
        <f t="shared" si="8"/>
        <v>0</v>
      </c>
      <c r="L12" s="2815">
        <f>+L13+L14+L15+L16+L17</f>
        <v>0</v>
      </c>
      <c r="M12" s="2816">
        <f>SUM(M13:M17)</f>
        <v>89585634</v>
      </c>
      <c r="N12" s="617"/>
      <c r="O12" s="618"/>
      <c r="P12" s="616"/>
    </row>
    <row r="13" spans="1:18" ht="14.25" customHeight="1">
      <c r="A13" s="3772"/>
      <c r="B13" s="133" t="s">
        <v>11</v>
      </c>
      <c r="C13" s="620"/>
      <c r="D13" s="2817">
        <f t="shared" ref="D13:H13" si="9">+D37+D365+D467+D510</f>
        <v>102142829</v>
      </c>
      <c r="E13" s="2817">
        <f t="shared" si="9"/>
        <v>8335747</v>
      </c>
      <c r="F13" s="2817">
        <f t="shared" si="9"/>
        <v>8378881</v>
      </c>
      <c r="G13" s="2817">
        <f t="shared" si="9"/>
        <v>46171235</v>
      </c>
      <c r="H13" s="2817">
        <f t="shared" si="9"/>
        <v>32206966</v>
      </c>
      <c r="I13" s="2817">
        <f>+I37+I365+I467+I510+I267</f>
        <v>7050000</v>
      </c>
      <c r="J13" s="2817">
        <f>+J37+J365+J467+J510+J267</f>
        <v>0</v>
      </c>
      <c r="K13" s="2817">
        <f>+K37+K365+K467+K510+K267</f>
        <v>0</v>
      </c>
      <c r="L13" s="2817">
        <f>+L37+L365+L467+L510</f>
        <v>0</v>
      </c>
      <c r="M13" s="2811">
        <f>SUM(G13:K13)</f>
        <v>85428201</v>
      </c>
      <c r="N13" s="548"/>
      <c r="O13" s="354"/>
      <c r="P13" s="354"/>
      <c r="R13" s="354"/>
    </row>
    <row r="14" spans="1:18" ht="14.25" hidden="1" customHeight="1">
      <c r="A14" s="3772"/>
      <c r="B14" s="2818" t="s">
        <v>69</v>
      </c>
      <c r="C14" s="2243"/>
      <c r="D14" s="2817">
        <f>+D468</f>
        <v>0</v>
      </c>
      <c r="E14" s="2817">
        <f t="shared" ref="E14" si="10">+E468</f>
        <v>0</v>
      </c>
      <c r="F14" s="2817">
        <f t="shared" ref="F14:K14" si="11">+F468</f>
        <v>0</v>
      </c>
      <c r="G14" s="2817">
        <f t="shared" si="11"/>
        <v>0</v>
      </c>
      <c r="H14" s="2817">
        <f t="shared" si="11"/>
        <v>0</v>
      </c>
      <c r="I14" s="2817">
        <f t="shared" si="11"/>
        <v>0</v>
      </c>
      <c r="J14" s="2817">
        <f t="shared" si="11"/>
        <v>0</v>
      </c>
      <c r="K14" s="2817">
        <f t="shared" si="11"/>
        <v>0</v>
      </c>
      <c r="L14" s="2817">
        <f>+L468</f>
        <v>0</v>
      </c>
      <c r="M14" s="2811">
        <f>SUM(F14:K14)</f>
        <v>0</v>
      </c>
      <c r="N14" s="621"/>
      <c r="O14" s="354"/>
    </row>
    <row r="15" spans="1:18" ht="14.25" customHeight="1">
      <c r="A15" s="3772"/>
      <c r="B15" s="133" t="s">
        <v>14</v>
      </c>
      <c r="C15" s="620"/>
      <c r="D15" s="2817">
        <f t="shared" ref="D15:K15" si="12">+D38+D366</f>
        <v>10806671</v>
      </c>
      <c r="E15" s="2817">
        <f t="shared" si="12"/>
        <v>3878362</v>
      </c>
      <c r="F15" s="2817">
        <f t="shared" si="12"/>
        <v>2770876</v>
      </c>
      <c r="G15" s="2817">
        <f t="shared" si="12"/>
        <v>4157433</v>
      </c>
      <c r="H15" s="2817">
        <f t="shared" si="12"/>
        <v>0</v>
      </c>
      <c r="I15" s="2817">
        <f t="shared" si="12"/>
        <v>0</v>
      </c>
      <c r="J15" s="2817">
        <f t="shared" si="12"/>
        <v>0</v>
      </c>
      <c r="K15" s="2817">
        <f t="shared" si="12"/>
        <v>0</v>
      </c>
      <c r="L15" s="2817">
        <f>+L38+L366</f>
        <v>0</v>
      </c>
      <c r="M15" s="1195">
        <f>SUM(G15:K15)</f>
        <v>4157433</v>
      </c>
      <c r="N15" s="621"/>
      <c r="O15" s="354"/>
    </row>
    <row r="16" spans="1:18" ht="14.25" hidden="1" customHeight="1">
      <c r="A16" s="3772"/>
      <c r="B16" s="133" t="s">
        <v>49</v>
      </c>
      <c r="C16" s="620"/>
      <c r="D16" s="2817">
        <f t="shared" ref="D16:K16" si="13">+D469+D40</f>
        <v>0</v>
      </c>
      <c r="E16" s="2817">
        <f t="shared" si="13"/>
        <v>0</v>
      </c>
      <c r="F16" s="2817">
        <f t="shared" si="13"/>
        <v>0</v>
      </c>
      <c r="G16" s="2817">
        <f t="shared" si="13"/>
        <v>0</v>
      </c>
      <c r="H16" s="2817">
        <f t="shared" si="13"/>
        <v>0</v>
      </c>
      <c r="I16" s="2817">
        <f t="shared" si="13"/>
        <v>0</v>
      </c>
      <c r="J16" s="2817">
        <f t="shared" si="13"/>
        <v>0</v>
      </c>
      <c r="K16" s="2817">
        <f t="shared" si="13"/>
        <v>0</v>
      </c>
      <c r="L16" s="2817">
        <f>+L469+L40</f>
        <v>0</v>
      </c>
      <c r="M16" s="2811">
        <f>SUM(F16:K16)</f>
        <v>0</v>
      </c>
      <c r="N16" s="621"/>
      <c r="O16" s="354"/>
    </row>
    <row r="17" spans="1:18" ht="14.25" hidden="1" customHeight="1">
      <c r="A17" s="3772"/>
      <c r="B17" s="133" t="s">
        <v>16</v>
      </c>
      <c r="C17" s="620"/>
      <c r="D17" s="2817">
        <f>+D39</f>
        <v>0</v>
      </c>
      <c r="E17" s="2817">
        <f t="shared" ref="E17" si="14">+E39</f>
        <v>0</v>
      </c>
      <c r="F17" s="2817">
        <f t="shared" ref="F17:K17" si="15">+F39</f>
        <v>0</v>
      </c>
      <c r="G17" s="2817">
        <f t="shared" si="15"/>
        <v>0</v>
      </c>
      <c r="H17" s="2817">
        <f t="shared" si="15"/>
        <v>0</v>
      </c>
      <c r="I17" s="2817">
        <f t="shared" si="15"/>
        <v>0</v>
      </c>
      <c r="J17" s="2817">
        <f t="shared" si="15"/>
        <v>0</v>
      </c>
      <c r="K17" s="2817">
        <f t="shared" si="15"/>
        <v>0</v>
      </c>
      <c r="L17" s="2817">
        <f>+L39</f>
        <v>0</v>
      </c>
      <c r="M17" s="1195">
        <f>SUM(G17:K17)</f>
        <v>0</v>
      </c>
      <c r="N17" s="621"/>
      <c r="O17" s="354"/>
    </row>
    <row r="18" spans="1:18" s="619" customFormat="1" ht="14.25" customHeight="1">
      <c r="A18" s="3772"/>
      <c r="B18" s="130" t="s">
        <v>17</v>
      </c>
      <c r="C18" s="622"/>
      <c r="D18" s="2815">
        <f>+D19+D20+D21</f>
        <v>438709109</v>
      </c>
      <c r="E18" s="2815">
        <f t="shared" ref="E18" si="16">+E19+E20+E21</f>
        <v>52914154</v>
      </c>
      <c r="F18" s="2815">
        <f t="shared" ref="F18:H18" si="17">+F19+F20+F21</f>
        <v>51952435</v>
      </c>
      <c r="G18" s="2815">
        <f t="shared" si="17"/>
        <v>156525772</v>
      </c>
      <c r="H18" s="2815">
        <f t="shared" si="17"/>
        <v>137366748</v>
      </c>
      <c r="I18" s="2815">
        <f>+I19+I20+I21</f>
        <v>39950000</v>
      </c>
      <c r="J18" s="2815">
        <f>+J19+J20+J21</f>
        <v>0</v>
      </c>
      <c r="K18" s="2815">
        <f>+K19+K20+K21</f>
        <v>0</v>
      </c>
      <c r="L18" s="2815">
        <f>+L19+L20+L21</f>
        <v>0</v>
      </c>
      <c r="M18" s="1643">
        <f>+M19+M20+M21</f>
        <v>333842520</v>
      </c>
      <c r="N18" s="623"/>
      <c r="O18" s="618"/>
      <c r="P18" s="616"/>
    </row>
    <row r="19" spans="1:18" ht="14.25" hidden="1" customHeight="1">
      <c r="A19" s="3772"/>
      <c r="B19" s="2819" t="s">
        <v>18</v>
      </c>
      <c r="C19" s="2820"/>
      <c r="D19" s="2817">
        <f t="shared" ref="D19:K19" si="18">+D368+D512</f>
        <v>0</v>
      </c>
      <c r="E19" s="2817">
        <f t="shared" si="18"/>
        <v>0</v>
      </c>
      <c r="F19" s="2817">
        <f t="shared" si="18"/>
        <v>0</v>
      </c>
      <c r="G19" s="2817">
        <f t="shared" si="18"/>
        <v>0</v>
      </c>
      <c r="H19" s="2817">
        <f t="shared" si="18"/>
        <v>0</v>
      </c>
      <c r="I19" s="2817">
        <f t="shared" si="18"/>
        <v>0</v>
      </c>
      <c r="J19" s="2817">
        <f t="shared" si="18"/>
        <v>0</v>
      </c>
      <c r="K19" s="2817">
        <f t="shared" si="18"/>
        <v>0</v>
      </c>
      <c r="L19" s="2817">
        <f>+L368+L512</f>
        <v>0</v>
      </c>
      <c r="M19" s="1195">
        <f>SUM(F19:K19)</f>
        <v>0</v>
      </c>
      <c r="N19" s="621"/>
      <c r="O19" s="354"/>
    </row>
    <row r="20" spans="1:18" ht="14.25" customHeight="1">
      <c r="A20" s="3772"/>
      <c r="B20" s="1721" t="s">
        <v>19</v>
      </c>
      <c r="C20" s="2820"/>
      <c r="D20" s="2817">
        <f t="shared" ref="D20:K20" si="19">+D42+D471+D369</f>
        <v>438709109</v>
      </c>
      <c r="E20" s="2817">
        <f t="shared" si="19"/>
        <v>52914154</v>
      </c>
      <c r="F20" s="2817">
        <f t="shared" si="19"/>
        <v>51952435</v>
      </c>
      <c r="G20" s="2817">
        <f t="shared" si="19"/>
        <v>156525772</v>
      </c>
      <c r="H20" s="2817">
        <f t="shared" si="19"/>
        <v>137366748</v>
      </c>
      <c r="I20" s="2817">
        <f t="shared" si="19"/>
        <v>39950000</v>
      </c>
      <c r="J20" s="2817">
        <f t="shared" si="19"/>
        <v>0</v>
      </c>
      <c r="K20" s="2817">
        <f t="shared" si="19"/>
        <v>0</v>
      </c>
      <c r="L20" s="2817">
        <f>+L42+L471+L369</f>
        <v>0</v>
      </c>
      <c r="M20" s="1195">
        <f>SUM(G20:K20)</f>
        <v>333842520</v>
      </c>
      <c r="N20" s="548"/>
      <c r="O20" s="354"/>
      <c r="P20" s="354"/>
    </row>
    <row r="21" spans="1:18" ht="14.25" hidden="1" customHeight="1">
      <c r="A21" s="3772"/>
      <c r="B21" s="1721" t="s">
        <v>70</v>
      </c>
      <c r="C21" s="2820"/>
      <c r="D21" s="2817">
        <f>+D472</f>
        <v>0</v>
      </c>
      <c r="E21" s="2817">
        <f t="shared" ref="E21" si="20">+E472</f>
        <v>0</v>
      </c>
      <c r="F21" s="2817">
        <f t="shared" ref="F21:K21" si="21">+F472</f>
        <v>0</v>
      </c>
      <c r="G21" s="2817">
        <f t="shared" si="21"/>
        <v>0</v>
      </c>
      <c r="H21" s="2817">
        <f t="shared" si="21"/>
        <v>0</v>
      </c>
      <c r="I21" s="2817">
        <f t="shared" si="21"/>
        <v>0</v>
      </c>
      <c r="J21" s="2817">
        <f t="shared" si="21"/>
        <v>0</v>
      </c>
      <c r="K21" s="2817">
        <f t="shared" si="21"/>
        <v>0</v>
      </c>
      <c r="L21" s="2817">
        <f>+L472</f>
        <v>0</v>
      </c>
      <c r="M21" s="2811">
        <f>SUM(F21:H21)</f>
        <v>0</v>
      </c>
      <c r="N21" s="548"/>
      <c r="O21" s="354"/>
      <c r="P21" s="354"/>
    </row>
    <row r="22" spans="1:18" ht="14.25" customHeight="1">
      <c r="A22" s="3772"/>
      <c r="B22" s="1722" t="s">
        <v>20</v>
      </c>
      <c r="C22" s="1999"/>
      <c r="D22" s="1794">
        <f>+D23+D29</f>
        <v>449515780</v>
      </c>
      <c r="E22" s="1794">
        <f t="shared" ref="E22" si="22">+E23+E29</f>
        <v>43653810</v>
      </c>
      <c r="F22" s="1794">
        <f t="shared" ref="F22:K22" si="23">+F23+F29</f>
        <v>65985564</v>
      </c>
      <c r="G22" s="1794">
        <f t="shared" si="23"/>
        <v>153096154</v>
      </c>
      <c r="H22" s="1794">
        <f t="shared" si="23"/>
        <v>122599689</v>
      </c>
      <c r="I22" s="1794">
        <f t="shared" si="23"/>
        <v>64180563</v>
      </c>
      <c r="J22" s="1794">
        <f t="shared" si="23"/>
        <v>0</v>
      </c>
      <c r="K22" s="1794">
        <f t="shared" si="23"/>
        <v>0</v>
      </c>
      <c r="L22" s="1794">
        <f>+L23+L29</f>
        <v>0</v>
      </c>
      <c r="M22" s="3776" t="s">
        <v>21</v>
      </c>
      <c r="N22" s="548"/>
      <c r="O22" s="354"/>
      <c r="R22" s="616"/>
    </row>
    <row r="23" spans="1:18" ht="14.25" customHeight="1">
      <c r="A23" s="3772"/>
      <c r="B23" s="1723" t="s">
        <v>22</v>
      </c>
      <c r="C23" s="2821"/>
      <c r="D23" s="2822">
        <f>+D24+D25+D26+D27+D28</f>
        <v>10806671</v>
      </c>
      <c r="E23" s="2822">
        <f t="shared" ref="E23" si="24">+E24+E25+E26+E27+E28</f>
        <v>3479068</v>
      </c>
      <c r="F23" s="2822">
        <f t="shared" ref="F23:K23" si="25">+F24+F25+F26+F27+F28</f>
        <v>3170170</v>
      </c>
      <c r="G23" s="2822">
        <f t="shared" si="25"/>
        <v>4157433</v>
      </c>
      <c r="H23" s="2822">
        <f t="shared" si="25"/>
        <v>0</v>
      </c>
      <c r="I23" s="2822">
        <f t="shared" si="25"/>
        <v>0</v>
      </c>
      <c r="J23" s="2822">
        <f t="shared" si="25"/>
        <v>0</v>
      </c>
      <c r="K23" s="2822">
        <f t="shared" si="25"/>
        <v>0</v>
      </c>
      <c r="L23" s="2822">
        <f>+L24+L25+L26+L27+L28</f>
        <v>0</v>
      </c>
      <c r="M23" s="3777"/>
      <c r="N23" s="548"/>
    </row>
    <row r="24" spans="1:18" ht="14.25" hidden="1" customHeight="1">
      <c r="A24" s="3772"/>
      <c r="B24" s="2818" t="s">
        <v>69</v>
      </c>
      <c r="C24" s="624"/>
      <c r="D24" s="2823">
        <f>+D475</f>
        <v>0</v>
      </c>
      <c r="E24" s="2823">
        <f t="shared" ref="E24" si="26">+E475</f>
        <v>0</v>
      </c>
      <c r="F24" s="2823">
        <f t="shared" ref="F24:K24" si="27">+F475</f>
        <v>0</v>
      </c>
      <c r="G24" s="2823">
        <f t="shared" si="27"/>
        <v>0</v>
      </c>
      <c r="H24" s="2823">
        <f t="shared" si="27"/>
        <v>0</v>
      </c>
      <c r="I24" s="2823">
        <f t="shared" si="27"/>
        <v>0</v>
      </c>
      <c r="J24" s="2823">
        <f t="shared" si="27"/>
        <v>0</v>
      </c>
      <c r="K24" s="2823">
        <f t="shared" si="27"/>
        <v>0</v>
      </c>
      <c r="L24" s="2823">
        <f>+L475</f>
        <v>0</v>
      </c>
      <c r="M24" s="3777"/>
      <c r="N24" s="621"/>
    </row>
    <row r="25" spans="1:18" ht="14.25" customHeight="1">
      <c r="A25" s="3772"/>
      <c r="B25" s="19" t="s">
        <v>14</v>
      </c>
      <c r="C25" s="20"/>
      <c r="D25" s="2817">
        <f t="shared" ref="D25:K25" si="28">+D45+D366</f>
        <v>10806671</v>
      </c>
      <c r="E25" s="2817">
        <f t="shared" si="28"/>
        <v>3479068</v>
      </c>
      <c r="F25" s="2817">
        <f t="shared" si="28"/>
        <v>3170170</v>
      </c>
      <c r="G25" s="2817">
        <f t="shared" si="28"/>
        <v>4157433</v>
      </c>
      <c r="H25" s="2817">
        <f t="shared" si="28"/>
        <v>0</v>
      </c>
      <c r="I25" s="2817">
        <f t="shared" si="28"/>
        <v>0</v>
      </c>
      <c r="J25" s="2817">
        <f t="shared" si="28"/>
        <v>0</v>
      </c>
      <c r="K25" s="2817">
        <f t="shared" si="28"/>
        <v>0</v>
      </c>
      <c r="L25" s="2817">
        <f>+L45+L366</f>
        <v>0</v>
      </c>
      <c r="M25" s="3777"/>
      <c r="N25" s="621"/>
      <c r="O25" s="354">
        <f>D25-D15</f>
        <v>0</v>
      </c>
      <c r="P25" s="354">
        <f>F25-'[1]Tab. 6A -Drogi'!$G$25</f>
        <v>-1905995</v>
      </c>
    </row>
    <row r="26" spans="1:18" ht="14.25" hidden="1" customHeight="1">
      <c r="A26" s="3772"/>
      <c r="B26" s="19" t="s">
        <v>49</v>
      </c>
      <c r="C26" s="20"/>
      <c r="D26" s="2817">
        <f t="shared" ref="D26:K26" si="29">+D476+D48</f>
        <v>0</v>
      </c>
      <c r="E26" s="2817">
        <f t="shared" si="29"/>
        <v>0</v>
      </c>
      <c r="F26" s="2817">
        <f t="shared" si="29"/>
        <v>0</v>
      </c>
      <c r="G26" s="2817">
        <f t="shared" si="29"/>
        <v>0</v>
      </c>
      <c r="H26" s="2817">
        <f t="shared" si="29"/>
        <v>0</v>
      </c>
      <c r="I26" s="2817">
        <f t="shared" si="29"/>
        <v>0</v>
      </c>
      <c r="J26" s="2817">
        <f t="shared" si="29"/>
        <v>0</v>
      </c>
      <c r="K26" s="2817">
        <f t="shared" si="29"/>
        <v>0</v>
      </c>
      <c r="L26" s="2817">
        <f>+L476+L48</f>
        <v>0</v>
      </c>
      <c r="M26" s="3777"/>
      <c r="N26" s="621"/>
      <c r="O26" s="354">
        <f>D16-D26</f>
        <v>0</v>
      </c>
    </row>
    <row r="27" spans="1:18" ht="14.25" hidden="1" customHeight="1">
      <c r="A27" s="3772"/>
      <c r="B27" s="133" t="s">
        <v>16</v>
      </c>
      <c r="C27" s="21"/>
      <c r="D27" s="2817">
        <f>+D46</f>
        <v>0</v>
      </c>
      <c r="E27" s="2817">
        <f t="shared" ref="E27:E28" si="30">+E46</f>
        <v>0</v>
      </c>
      <c r="F27" s="2817">
        <f t="shared" ref="F27:K28" si="31">+F46</f>
        <v>0</v>
      </c>
      <c r="G27" s="2817">
        <f t="shared" si="31"/>
        <v>0</v>
      </c>
      <c r="H27" s="2817">
        <f t="shared" si="31"/>
        <v>0</v>
      </c>
      <c r="I27" s="2817">
        <f t="shared" si="31"/>
        <v>0</v>
      </c>
      <c r="J27" s="2817">
        <f t="shared" si="31"/>
        <v>0</v>
      </c>
      <c r="K27" s="2817">
        <f t="shared" si="31"/>
        <v>0</v>
      </c>
      <c r="L27" s="2817">
        <f>+L46</f>
        <v>0</v>
      </c>
      <c r="M27" s="3777"/>
      <c r="N27" s="621"/>
      <c r="O27" s="354">
        <f>D17-D27</f>
        <v>0</v>
      </c>
    </row>
    <row r="28" spans="1:18" ht="14.25" hidden="1" customHeight="1">
      <c r="A28" s="3772"/>
      <c r="B28" s="133" t="s">
        <v>71</v>
      </c>
      <c r="C28" s="21"/>
      <c r="D28" s="2817">
        <f>+D47</f>
        <v>0</v>
      </c>
      <c r="E28" s="2817">
        <f t="shared" si="30"/>
        <v>0</v>
      </c>
      <c r="F28" s="2817">
        <f t="shared" si="31"/>
        <v>0</v>
      </c>
      <c r="G28" s="2817">
        <f t="shared" si="31"/>
        <v>0</v>
      </c>
      <c r="H28" s="2817">
        <f t="shared" si="31"/>
        <v>0</v>
      </c>
      <c r="I28" s="2817">
        <f t="shared" si="31"/>
        <v>0</v>
      </c>
      <c r="J28" s="2817">
        <f t="shared" si="31"/>
        <v>0</v>
      </c>
      <c r="K28" s="2817">
        <f t="shared" si="31"/>
        <v>0</v>
      </c>
      <c r="L28" s="2817">
        <f>+L47</f>
        <v>0</v>
      </c>
      <c r="M28" s="3777"/>
      <c r="N28" s="621"/>
    </row>
    <row r="29" spans="1:18" ht="14.25" customHeight="1">
      <c r="A29" s="3772"/>
      <c r="B29" s="1725" t="s">
        <v>17</v>
      </c>
      <c r="C29" s="2824"/>
      <c r="D29" s="2822">
        <f>+D30+D31+D32+D33</f>
        <v>438709109</v>
      </c>
      <c r="E29" s="2822">
        <f t="shared" ref="E29" si="32">+E30+E31+E32+E33</f>
        <v>40174742</v>
      </c>
      <c r="F29" s="2822">
        <f t="shared" ref="F29:K29" si="33">+F30+F31+F32+F33</f>
        <v>62815394</v>
      </c>
      <c r="G29" s="2822">
        <f t="shared" si="33"/>
        <v>148938721</v>
      </c>
      <c r="H29" s="2822">
        <f t="shared" si="33"/>
        <v>122599689</v>
      </c>
      <c r="I29" s="2822">
        <f t="shared" si="33"/>
        <v>64180563</v>
      </c>
      <c r="J29" s="2822">
        <f t="shared" si="33"/>
        <v>0</v>
      </c>
      <c r="K29" s="2822">
        <f t="shared" si="33"/>
        <v>0</v>
      </c>
      <c r="L29" s="2822">
        <f>+L30+L31+L32+L33</f>
        <v>0</v>
      </c>
      <c r="M29" s="3777"/>
      <c r="N29" s="621"/>
      <c r="O29" s="354">
        <f>D31-D19</f>
        <v>0</v>
      </c>
    </row>
    <row r="30" spans="1:18" ht="12.75" hidden="1" customHeight="1">
      <c r="A30" s="3772"/>
      <c r="B30" s="2825" t="s">
        <v>16</v>
      </c>
      <c r="C30" s="2826"/>
      <c r="D30" s="2817">
        <f t="shared" ref="D30:K30" si="34">+D50</f>
        <v>0</v>
      </c>
      <c r="E30" s="2817">
        <f t="shared" si="34"/>
        <v>0</v>
      </c>
      <c r="F30" s="2817">
        <f t="shared" si="34"/>
        <v>0</v>
      </c>
      <c r="G30" s="2817">
        <f t="shared" si="34"/>
        <v>0</v>
      </c>
      <c r="H30" s="2817">
        <f t="shared" si="34"/>
        <v>0</v>
      </c>
      <c r="I30" s="2817">
        <f t="shared" si="34"/>
        <v>0</v>
      </c>
      <c r="J30" s="2817">
        <f t="shared" si="34"/>
        <v>0</v>
      </c>
      <c r="K30" s="2817">
        <f t="shared" si="34"/>
        <v>0</v>
      </c>
      <c r="L30" s="2817">
        <f>+L50</f>
        <v>0</v>
      </c>
      <c r="M30" s="3777"/>
      <c r="N30" s="621"/>
    </row>
    <row r="31" spans="1:18" ht="14.25" hidden="1" customHeight="1">
      <c r="A31" s="3772"/>
      <c r="B31" s="2819" t="s">
        <v>18</v>
      </c>
      <c r="C31" s="2243"/>
      <c r="D31" s="1460">
        <f>+D374+D515</f>
        <v>0</v>
      </c>
      <c r="E31" s="1460">
        <f>+E374+E515</f>
        <v>0</v>
      </c>
      <c r="F31" s="1460">
        <f t="shared" ref="F31:K31" si="35">+F374</f>
        <v>0</v>
      </c>
      <c r="G31" s="1460">
        <f t="shared" si="35"/>
        <v>0</v>
      </c>
      <c r="H31" s="1460">
        <f t="shared" si="35"/>
        <v>0</v>
      </c>
      <c r="I31" s="1460">
        <f t="shared" si="35"/>
        <v>0</v>
      </c>
      <c r="J31" s="1460">
        <f t="shared" si="35"/>
        <v>0</v>
      </c>
      <c r="K31" s="1460">
        <f t="shared" si="35"/>
        <v>0</v>
      </c>
      <c r="L31" s="1460">
        <f>+L374+L515</f>
        <v>0</v>
      </c>
      <c r="M31" s="3777"/>
      <c r="N31" s="621"/>
      <c r="O31" s="354">
        <f>D32-D20</f>
        <v>0</v>
      </c>
    </row>
    <row r="32" spans="1:18" ht="14.25" customHeight="1" thickBot="1">
      <c r="A32" s="3772"/>
      <c r="B32" s="2819" t="s">
        <v>19</v>
      </c>
      <c r="C32" s="2826"/>
      <c r="D32" s="1460">
        <f t="shared" ref="D32:K32" si="36">+D51+D478+D375</f>
        <v>438709109</v>
      </c>
      <c r="E32" s="1460">
        <f t="shared" si="36"/>
        <v>40174742</v>
      </c>
      <c r="F32" s="1460">
        <f t="shared" si="36"/>
        <v>62815394</v>
      </c>
      <c r="G32" s="1460">
        <f t="shared" si="36"/>
        <v>148938721</v>
      </c>
      <c r="H32" s="1460">
        <f t="shared" si="36"/>
        <v>122599689</v>
      </c>
      <c r="I32" s="1460">
        <f t="shared" si="36"/>
        <v>64180563</v>
      </c>
      <c r="J32" s="1460">
        <f t="shared" si="36"/>
        <v>0</v>
      </c>
      <c r="K32" s="1460">
        <f t="shared" si="36"/>
        <v>0</v>
      </c>
      <c r="L32" s="1460">
        <f>+L51+L478+L375</f>
        <v>0</v>
      </c>
      <c r="M32" s="3777"/>
      <c r="N32" s="621"/>
    </row>
    <row r="33" spans="1:16" ht="13.5" hidden="1" customHeight="1" thickBot="1">
      <c r="A33" s="3773"/>
      <c r="B33" s="22" t="s">
        <v>70</v>
      </c>
      <c r="C33" s="23"/>
      <c r="D33" s="625">
        <f>+D479</f>
        <v>0</v>
      </c>
      <c r="E33" s="625">
        <f t="shared" ref="E33" si="37">+E479</f>
        <v>0</v>
      </c>
      <c r="F33" s="625">
        <f t="shared" ref="F33:K33" si="38">+F479</f>
        <v>0</v>
      </c>
      <c r="G33" s="625">
        <f t="shared" si="38"/>
        <v>0</v>
      </c>
      <c r="H33" s="625">
        <f t="shared" si="38"/>
        <v>0</v>
      </c>
      <c r="I33" s="625">
        <f t="shared" si="38"/>
        <v>0</v>
      </c>
      <c r="J33" s="625">
        <f t="shared" si="38"/>
        <v>0</v>
      </c>
      <c r="K33" s="625">
        <f t="shared" si="38"/>
        <v>0</v>
      </c>
      <c r="L33" s="625">
        <f>+L479</f>
        <v>0</v>
      </c>
      <c r="M33" s="3778"/>
      <c r="N33" s="1727"/>
    </row>
    <row r="34" spans="1:16" ht="28.5" customHeight="1">
      <c r="A34" s="1728" t="s">
        <v>209</v>
      </c>
      <c r="B34" s="1729" t="s">
        <v>224</v>
      </c>
      <c r="C34" s="1730"/>
      <c r="D34" s="1731"/>
      <c r="E34" s="1732"/>
      <c r="F34" s="1732"/>
      <c r="G34" s="1732"/>
      <c r="H34" s="1732"/>
      <c r="I34" s="1732"/>
      <c r="J34" s="1732"/>
      <c r="K34" s="1732"/>
      <c r="L34" s="1732"/>
      <c r="M34" s="2447"/>
      <c r="N34" s="1733"/>
    </row>
    <row r="35" spans="1:16" ht="14.25" customHeight="1">
      <c r="A35" s="626"/>
      <c r="B35" s="1176" t="s">
        <v>9</v>
      </c>
      <c r="C35" s="1999"/>
      <c r="D35" s="1213">
        <f>+D36+D41</f>
        <v>513553694</v>
      </c>
      <c r="E35" s="1213">
        <f t="shared" ref="E35:K35" si="39">+E36+E41</f>
        <v>64533519</v>
      </c>
      <c r="F35" s="1213">
        <f t="shared" si="39"/>
        <v>62837708</v>
      </c>
      <c r="G35" s="1213">
        <f t="shared" si="39"/>
        <v>184656791</v>
      </c>
      <c r="H35" s="1213">
        <f t="shared" si="39"/>
        <v>154525676</v>
      </c>
      <c r="I35" s="1213">
        <f t="shared" si="39"/>
        <v>47000000</v>
      </c>
      <c r="J35" s="1213">
        <f t="shared" si="39"/>
        <v>0</v>
      </c>
      <c r="K35" s="1213">
        <f t="shared" si="39"/>
        <v>0</v>
      </c>
      <c r="L35" s="1213">
        <f>+L36+L41</f>
        <v>0</v>
      </c>
      <c r="M35" s="1223">
        <f t="shared" ref="M35" si="40">+M36+M41</f>
        <v>386182467</v>
      </c>
      <c r="N35" s="627"/>
      <c r="O35" s="354"/>
    </row>
    <row r="36" spans="1:16" s="619" customFormat="1" ht="14.25" customHeight="1">
      <c r="A36" s="626"/>
      <c r="B36" s="2827" t="s">
        <v>22</v>
      </c>
      <c r="C36" s="2828"/>
      <c r="D36" s="2829">
        <f>+D37+D38+D39+D40</f>
        <v>91412249</v>
      </c>
      <c r="E36" s="2829">
        <f t="shared" ref="E36:K36" si="41">+E37+E38+E39+E40</f>
        <v>11788150</v>
      </c>
      <c r="F36" s="2829">
        <f t="shared" si="41"/>
        <v>11109576</v>
      </c>
      <c r="G36" s="2829">
        <f t="shared" si="41"/>
        <v>37928672</v>
      </c>
      <c r="H36" s="2829">
        <f t="shared" si="41"/>
        <v>23535851</v>
      </c>
      <c r="I36" s="2829">
        <f t="shared" si="41"/>
        <v>7050000</v>
      </c>
      <c r="J36" s="2829">
        <f t="shared" si="41"/>
        <v>0</v>
      </c>
      <c r="K36" s="2829">
        <f t="shared" si="41"/>
        <v>0</v>
      </c>
      <c r="L36" s="2829">
        <f>+L37+L38+L39+L40</f>
        <v>0</v>
      </c>
      <c r="M36" s="2830">
        <f>+M37+M38+M39+M40</f>
        <v>68514523</v>
      </c>
      <c r="N36" s="627"/>
      <c r="P36" s="616"/>
    </row>
    <row r="37" spans="1:16" ht="14.25" customHeight="1">
      <c r="A37" s="626"/>
      <c r="B37" s="2831" t="s">
        <v>11</v>
      </c>
      <c r="C37" s="2832"/>
      <c r="D37" s="1811">
        <f t="shared" ref="D37:I37" si="42">+D327+D147+D339+D315+D353+D82+D131+D56+D94+D70+D106+D116+D159+D171+D183+D195+D207+D219+D231+D243+D255+D267+D279+D291+D303</f>
        <v>80662581</v>
      </c>
      <c r="E37" s="1811">
        <f t="shared" si="42"/>
        <v>7966791</v>
      </c>
      <c r="F37" s="1811">
        <f t="shared" si="42"/>
        <v>8338700</v>
      </c>
      <c r="G37" s="1811">
        <f t="shared" si="42"/>
        <v>33771239</v>
      </c>
      <c r="H37" s="1811">
        <f t="shared" si="42"/>
        <v>23535851</v>
      </c>
      <c r="I37" s="1811">
        <f t="shared" si="42"/>
        <v>7050000</v>
      </c>
      <c r="J37" s="1811">
        <f t="shared" ref="J37:K37" si="43">+J327+J147+J339+J315+J353+J82+J131+J56+J94+J70+J106+J116+J159+J171+J183+J195+J207+J219+J231+J243+J255+J267+J279</f>
        <v>0</v>
      </c>
      <c r="K37" s="1811">
        <f t="shared" si="43"/>
        <v>0</v>
      </c>
      <c r="L37" s="1811">
        <f>+L327+L147+L339+L315+L353+L82+L131+L56+L94+L70+L106+L116+L159+L171+L183+L195+L207+L219+L231+L243+L255+L267+L279+L291+L303</f>
        <v>0</v>
      </c>
      <c r="M37" s="1195">
        <f>SUM(G37:K37)</f>
        <v>64357090</v>
      </c>
      <c r="N37" s="630"/>
      <c r="O37" s="354"/>
      <c r="P37" s="616"/>
    </row>
    <row r="38" spans="1:16" ht="14.25" customHeight="1">
      <c r="A38" s="626"/>
      <c r="B38" s="2833" t="s">
        <v>14</v>
      </c>
      <c r="C38" s="2834"/>
      <c r="D38" s="1811">
        <f t="shared" ref="D38:K38" si="44">+D148+D341+D316+D83+D118+D133+D95+D208+D220+D172+D232</f>
        <v>10749668</v>
      </c>
      <c r="E38" s="1811">
        <f t="shared" si="44"/>
        <v>3821359</v>
      </c>
      <c r="F38" s="1811">
        <f t="shared" si="44"/>
        <v>2770876</v>
      </c>
      <c r="G38" s="1811">
        <f t="shared" si="44"/>
        <v>4157433</v>
      </c>
      <c r="H38" s="1811">
        <f t="shared" si="44"/>
        <v>0</v>
      </c>
      <c r="I38" s="1811">
        <f t="shared" si="44"/>
        <v>0</v>
      </c>
      <c r="J38" s="1811">
        <f t="shared" si="44"/>
        <v>0</v>
      </c>
      <c r="K38" s="1811">
        <f t="shared" si="44"/>
        <v>0</v>
      </c>
      <c r="L38" s="1811">
        <f>+L148+L341+L316+L83+L118+L133+L95+L208+L220+L172+L232</f>
        <v>0</v>
      </c>
      <c r="M38" s="1195">
        <f>SUM(G38:K38)</f>
        <v>4157433</v>
      </c>
      <c r="N38" s="630"/>
      <c r="O38" s="354">
        <f>D38-D45</f>
        <v>0</v>
      </c>
      <c r="P38" s="616"/>
    </row>
    <row r="39" spans="1:16" ht="14.25" hidden="1" customHeight="1">
      <c r="A39" s="626"/>
      <c r="B39" s="2833" t="s">
        <v>16</v>
      </c>
      <c r="C39" s="2834"/>
      <c r="D39" s="1811">
        <f>+D117+D132+D57+D71+D354</f>
        <v>0</v>
      </c>
      <c r="E39" s="1811">
        <f t="shared" ref="E39:K39" si="45">+E117+E132+E57+E71+E354</f>
        <v>0</v>
      </c>
      <c r="F39" s="1811">
        <f t="shared" si="45"/>
        <v>0</v>
      </c>
      <c r="G39" s="1811">
        <f t="shared" si="45"/>
        <v>0</v>
      </c>
      <c r="H39" s="1811">
        <f t="shared" si="45"/>
        <v>0</v>
      </c>
      <c r="I39" s="1811">
        <f t="shared" si="45"/>
        <v>0</v>
      </c>
      <c r="J39" s="1811">
        <f t="shared" si="45"/>
        <v>0</v>
      </c>
      <c r="K39" s="1811">
        <f t="shared" si="45"/>
        <v>0</v>
      </c>
      <c r="L39" s="1811">
        <f>+L117+L132+L57+L71+L354</f>
        <v>0</v>
      </c>
      <c r="M39" s="1195">
        <f>SUM(G39:K39)</f>
        <v>0</v>
      </c>
      <c r="N39" s="630"/>
      <c r="O39" s="354">
        <f>D39-D46</f>
        <v>0</v>
      </c>
      <c r="P39" s="616"/>
    </row>
    <row r="40" spans="1:16" ht="14.25" hidden="1" customHeight="1">
      <c r="A40" s="626"/>
      <c r="B40" s="2833" t="s">
        <v>49</v>
      </c>
      <c r="C40" s="2834"/>
      <c r="D40" s="1811">
        <f>+D328+D340</f>
        <v>0</v>
      </c>
      <c r="E40" s="1811">
        <f t="shared" ref="E40:K40" si="46">+E328+E340</f>
        <v>0</v>
      </c>
      <c r="F40" s="1811">
        <f t="shared" si="46"/>
        <v>0</v>
      </c>
      <c r="G40" s="1811">
        <f t="shared" si="46"/>
        <v>0</v>
      </c>
      <c r="H40" s="1811">
        <f t="shared" si="46"/>
        <v>0</v>
      </c>
      <c r="I40" s="1811">
        <f t="shared" si="46"/>
        <v>0</v>
      </c>
      <c r="J40" s="1811">
        <f t="shared" si="46"/>
        <v>0</v>
      </c>
      <c r="K40" s="1811">
        <f t="shared" si="46"/>
        <v>0</v>
      </c>
      <c r="L40" s="1811">
        <f>+L328+L340</f>
        <v>0</v>
      </c>
      <c r="M40" s="1195">
        <f>SUM(F40:K40)</f>
        <v>0</v>
      </c>
      <c r="N40" s="630"/>
      <c r="O40" s="354"/>
      <c r="P40" s="616"/>
    </row>
    <row r="41" spans="1:16" s="619" customFormat="1" ht="14.25" customHeight="1">
      <c r="A41" s="626"/>
      <c r="B41" s="2835" t="s">
        <v>17</v>
      </c>
      <c r="C41" s="2836"/>
      <c r="D41" s="2829">
        <f>+D42</f>
        <v>422141445</v>
      </c>
      <c r="E41" s="2829">
        <f t="shared" ref="E41:K41" si="47">+E42</f>
        <v>52745369</v>
      </c>
      <c r="F41" s="2829">
        <f t="shared" si="47"/>
        <v>51728132</v>
      </c>
      <c r="G41" s="2829">
        <f t="shared" si="47"/>
        <v>146728119</v>
      </c>
      <c r="H41" s="2829">
        <f t="shared" si="47"/>
        <v>130989825</v>
      </c>
      <c r="I41" s="2829">
        <f t="shared" si="47"/>
        <v>39950000</v>
      </c>
      <c r="J41" s="2829">
        <f t="shared" si="47"/>
        <v>0</v>
      </c>
      <c r="K41" s="2829">
        <f t="shared" si="47"/>
        <v>0</v>
      </c>
      <c r="L41" s="2829">
        <f>+L42</f>
        <v>0</v>
      </c>
      <c r="M41" s="2837">
        <f>+M42</f>
        <v>317667944</v>
      </c>
      <c r="N41" s="630"/>
      <c r="P41" s="616"/>
    </row>
    <row r="42" spans="1:16" ht="14.25" customHeight="1">
      <c r="A42" s="626"/>
      <c r="B42" s="2838" t="s">
        <v>19</v>
      </c>
      <c r="C42" s="2839"/>
      <c r="D42" s="2840">
        <f>+D330+D150+D120+D343+D318+D356+D85+D136+D60+D97+D73+D108+D162+D174+D186+D198+D210+D222+D234+D246+D258+D270+D282+D294+D306</f>
        <v>422141445</v>
      </c>
      <c r="E42" s="2840">
        <f t="shared" ref="E42:K42" si="48">+E330+E150+E120+E343+E318+E356+E85+E136+E60+E97+E73+E108+E162+E174+E186+E198+E210+E222+E234+E246+E258+E270+E282+E294+E306</f>
        <v>52745369</v>
      </c>
      <c r="F42" s="2840">
        <f t="shared" si="48"/>
        <v>51728132</v>
      </c>
      <c r="G42" s="2840">
        <f>+G330+G150+G120+G343+G318+G356+G85+G136+G60+G97+G73+G108+G162+G174+G186+G198+G210+G222+G234+G246+G258+G270+G282+G294+G306</f>
        <v>146728119</v>
      </c>
      <c r="H42" s="2840">
        <f t="shared" si="48"/>
        <v>130989825</v>
      </c>
      <c r="I42" s="2840">
        <f t="shared" si="48"/>
        <v>39950000</v>
      </c>
      <c r="J42" s="2840">
        <f t="shared" si="48"/>
        <v>0</v>
      </c>
      <c r="K42" s="2840">
        <f t="shared" si="48"/>
        <v>0</v>
      </c>
      <c r="L42" s="2840">
        <f>+L330+L150+L120+L343+L318+L356+L85+L136+L60+L97+L73+L108+L162+L174+L186+L198+L210+L222+L234+L246+L258+L270+L282+L294+L306</f>
        <v>0</v>
      </c>
      <c r="M42" s="1195">
        <f>SUM(G42:K42)</f>
        <v>317667944</v>
      </c>
      <c r="N42" s="627"/>
      <c r="O42" s="354">
        <f>D42-D51</f>
        <v>0</v>
      </c>
      <c r="P42" s="616"/>
    </row>
    <row r="43" spans="1:16" ht="14.25" customHeight="1">
      <c r="A43" s="626"/>
      <c r="B43" s="1722" t="s">
        <v>20</v>
      </c>
      <c r="C43" s="1999"/>
      <c r="D43" s="1213">
        <f>+D44+D49</f>
        <v>432891113</v>
      </c>
      <c r="E43" s="1213">
        <f t="shared" ref="E43:K43" si="49">+E44+E49</f>
        <v>43551073</v>
      </c>
      <c r="F43" s="1213">
        <f t="shared" si="49"/>
        <v>65856299</v>
      </c>
      <c r="G43" s="1213">
        <f t="shared" si="49"/>
        <v>147943916</v>
      </c>
      <c r="H43" s="1213">
        <f t="shared" si="49"/>
        <v>116089825</v>
      </c>
      <c r="I43" s="1213">
        <f t="shared" si="49"/>
        <v>59450000</v>
      </c>
      <c r="J43" s="1213">
        <f t="shared" si="49"/>
        <v>0</v>
      </c>
      <c r="K43" s="1213">
        <f t="shared" si="49"/>
        <v>0</v>
      </c>
      <c r="L43" s="1213">
        <f>+L44+L49</f>
        <v>0</v>
      </c>
      <c r="M43" s="3779" t="s">
        <v>21</v>
      </c>
      <c r="N43" s="630"/>
    </row>
    <row r="44" spans="1:16" ht="14.25" customHeight="1">
      <c r="A44" s="626"/>
      <c r="B44" s="2841" t="s">
        <v>22</v>
      </c>
      <c r="C44" s="633"/>
      <c r="D44" s="28">
        <f>+D45+D46+D47+D48</f>
        <v>10749668</v>
      </c>
      <c r="E44" s="28">
        <f t="shared" ref="E44:K44" si="50">+E45+E46+E47+E48</f>
        <v>3422065</v>
      </c>
      <c r="F44" s="28">
        <f t="shared" si="50"/>
        <v>3170170</v>
      </c>
      <c r="G44" s="28">
        <f t="shared" si="50"/>
        <v>4157433</v>
      </c>
      <c r="H44" s="28">
        <f t="shared" si="50"/>
        <v>0</v>
      </c>
      <c r="I44" s="28">
        <f t="shared" si="50"/>
        <v>0</v>
      </c>
      <c r="J44" s="28">
        <f t="shared" si="50"/>
        <v>0</v>
      </c>
      <c r="K44" s="28">
        <f t="shared" si="50"/>
        <v>0</v>
      </c>
      <c r="L44" s="28">
        <f>+L45+L46+L47+L48</f>
        <v>0</v>
      </c>
      <c r="M44" s="3780"/>
      <c r="N44" s="630"/>
      <c r="O44" s="354"/>
    </row>
    <row r="45" spans="1:16" ht="14.25" customHeight="1">
      <c r="A45" s="626"/>
      <c r="B45" s="29" t="s">
        <v>14</v>
      </c>
      <c r="C45" s="30"/>
      <c r="D45" s="2842">
        <f t="shared" ref="D45:K45" si="51">+D153+D347+D321+D88+D124+D140+D100+D213+D225+D177+D237</f>
        <v>10749668</v>
      </c>
      <c r="E45" s="2842">
        <f t="shared" si="51"/>
        <v>3422065</v>
      </c>
      <c r="F45" s="2842">
        <f t="shared" si="51"/>
        <v>3170170</v>
      </c>
      <c r="G45" s="2842">
        <f t="shared" si="51"/>
        <v>4157433</v>
      </c>
      <c r="H45" s="2842">
        <f t="shared" si="51"/>
        <v>0</v>
      </c>
      <c r="I45" s="2842">
        <f t="shared" si="51"/>
        <v>0</v>
      </c>
      <c r="J45" s="2842">
        <f t="shared" si="51"/>
        <v>0</v>
      </c>
      <c r="K45" s="2842">
        <f t="shared" si="51"/>
        <v>0</v>
      </c>
      <c r="L45" s="2842">
        <f>+L153+L347+L321+L88+L124+L140+L100+L213+L225+L177+L237</f>
        <v>0</v>
      </c>
      <c r="M45" s="3780"/>
      <c r="N45" s="630"/>
    </row>
    <row r="46" spans="1:16" ht="14.25" hidden="1" customHeight="1">
      <c r="A46" s="626"/>
      <c r="B46" s="2833" t="s">
        <v>16</v>
      </c>
      <c r="C46" s="30"/>
      <c r="D46" s="2842">
        <f t="shared" ref="D46:K46" si="52">+D123+D139+D63+D76+D359</f>
        <v>0</v>
      </c>
      <c r="E46" s="2842">
        <f t="shared" si="52"/>
        <v>0</v>
      </c>
      <c r="F46" s="2842">
        <f t="shared" si="52"/>
        <v>0</v>
      </c>
      <c r="G46" s="2842">
        <f t="shared" si="52"/>
        <v>0</v>
      </c>
      <c r="H46" s="2842">
        <f t="shared" si="52"/>
        <v>0</v>
      </c>
      <c r="I46" s="2842">
        <f t="shared" si="52"/>
        <v>0</v>
      </c>
      <c r="J46" s="2842">
        <f t="shared" si="52"/>
        <v>0</v>
      </c>
      <c r="K46" s="2842">
        <f t="shared" si="52"/>
        <v>0</v>
      </c>
      <c r="L46" s="2842">
        <f>+L123+L139+L63+L76+L359</f>
        <v>0</v>
      </c>
      <c r="M46" s="3780"/>
      <c r="N46" s="630"/>
    </row>
    <row r="47" spans="1:16" ht="14.25" hidden="1" customHeight="1">
      <c r="A47" s="626"/>
      <c r="B47" s="2833" t="s">
        <v>24</v>
      </c>
      <c r="C47" s="30"/>
      <c r="D47" s="2842"/>
      <c r="E47" s="2842"/>
      <c r="F47" s="2842"/>
      <c r="G47" s="2842"/>
      <c r="H47" s="2842"/>
      <c r="I47" s="2842"/>
      <c r="J47" s="2842"/>
      <c r="K47" s="2842"/>
      <c r="L47" s="2842"/>
      <c r="M47" s="3780"/>
      <c r="N47" s="630"/>
    </row>
    <row r="48" spans="1:16" ht="14.25" hidden="1" customHeight="1">
      <c r="A48" s="626"/>
      <c r="B48" s="2833" t="s">
        <v>49</v>
      </c>
      <c r="C48" s="30"/>
      <c r="D48" s="2842">
        <f>+D333+D346</f>
        <v>0</v>
      </c>
      <c r="E48" s="2842">
        <f t="shared" ref="E48:K48" si="53">+E333+E346</f>
        <v>0</v>
      </c>
      <c r="F48" s="2842">
        <f t="shared" si="53"/>
        <v>0</v>
      </c>
      <c r="G48" s="2842">
        <f t="shared" si="53"/>
        <v>0</v>
      </c>
      <c r="H48" s="2842">
        <f t="shared" si="53"/>
        <v>0</v>
      </c>
      <c r="I48" s="2842">
        <f t="shared" si="53"/>
        <v>0</v>
      </c>
      <c r="J48" s="2842">
        <f t="shared" si="53"/>
        <v>0</v>
      </c>
      <c r="K48" s="2842">
        <f t="shared" si="53"/>
        <v>0</v>
      </c>
      <c r="L48" s="2842">
        <f>+L333+L346</f>
        <v>0</v>
      </c>
      <c r="M48" s="3780"/>
      <c r="N48" s="630"/>
    </row>
    <row r="49" spans="1:15" ht="10.5" customHeight="1">
      <c r="A49" s="626"/>
      <c r="B49" s="2843" t="s">
        <v>17</v>
      </c>
      <c r="C49" s="2844"/>
      <c r="D49" s="2845">
        <f t="shared" ref="D49:K49" si="54">+D50+D51</f>
        <v>422141445</v>
      </c>
      <c r="E49" s="2845">
        <f t="shared" si="54"/>
        <v>40129008</v>
      </c>
      <c r="F49" s="2845">
        <f t="shared" si="54"/>
        <v>62686129</v>
      </c>
      <c r="G49" s="2845">
        <f t="shared" si="54"/>
        <v>143786483</v>
      </c>
      <c r="H49" s="2845">
        <f t="shared" si="54"/>
        <v>116089825</v>
      </c>
      <c r="I49" s="2845">
        <f t="shared" si="54"/>
        <v>59450000</v>
      </c>
      <c r="J49" s="2845">
        <f t="shared" si="54"/>
        <v>0</v>
      </c>
      <c r="K49" s="2845">
        <f t="shared" si="54"/>
        <v>0</v>
      </c>
      <c r="L49" s="2845">
        <f>+L50+L51</f>
        <v>0</v>
      </c>
      <c r="M49" s="3780"/>
      <c r="N49" s="630"/>
    </row>
    <row r="50" spans="1:15" ht="14.25" hidden="1" customHeight="1">
      <c r="A50" s="626"/>
      <c r="B50" s="2833" t="s">
        <v>16</v>
      </c>
      <c r="C50" s="2834"/>
      <c r="D50" s="2842">
        <f>+D126+D142+D65</f>
        <v>0</v>
      </c>
      <c r="E50" s="2842">
        <f t="shared" ref="E50:K50" si="55">+E126+E142+E65</f>
        <v>0</v>
      </c>
      <c r="F50" s="2842">
        <f t="shared" si="55"/>
        <v>0</v>
      </c>
      <c r="G50" s="2842">
        <f t="shared" si="55"/>
        <v>0</v>
      </c>
      <c r="H50" s="2842">
        <f t="shared" si="55"/>
        <v>0</v>
      </c>
      <c r="I50" s="2842">
        <f t="shared" si="55"/>
        <v>0</v>
      </c>
      <c r="J50" s="2842">
        <f t="shared" si="55"/>
        <v>0</v>
      </c>
      <c r="K50" s="2842">
        <f t="shared" si="55"/>
        <v>0</v>
      </c>
      <c r="L50" s="2842">
        <f>+L126+L142+L65</f>
        <v>0</v>
      </c>
      <c r="M50" s="3780"/>
      <c r="N50" s="630"/>
      <c r="O50" s="354"/>
    </row>
    <row r="51" spans="1:15" ht="12.75" customHeight="1" thickBot="1">
      <c r="A51" s="634"/>
      <c r="B51" s="31" t="s">
        <v>19</v>
      </c>
      <c r="C51" s="32"/>
      <c r="D51" s="1735">
        <f>+D335+D155+D127+D349+D323+D361++D90+D143+D66+D102+D78+D111+D167+D179+D191+D203+D215+D227+D239+D251+D263+D275+D287+D299+D311</f>
        <v>422141445</v>
      </c>
      <c r="E51" s="1735">
        <f t="shared" ref="E51:K51" si="56">+E335+E155+E127+E349+E323+E361++E90+E143+E66+E102+E78+E111+E167+E179+E191+E203+E215+E227+E239+E251+E263+E275+E287+E299+E311</f>
        <v>40129008</v>
      </c>
      <c r="F51" s="1735">
        <f t="shared" si="56"/>
        <v>62686129</v>
      </c>
      <c r="G51" s="1735">
        <f t="shared" si="56"/>
        <v>143786483</v>
      </c>
      <c r="H51" s="1735">
        <f t="shared" si="56"/>
        <v>116089825</v>
      </c>
      <c r="I51" s="1735">
        <f t="shared" si="56"/>
        <v>59450000</v>
      </c>
      <c r="J51" s="1735">
        <f t="shared" si="56"/>
        <v>0</v>
      </c>
      <c r="K51" s="1735">
        <f t="shared" si="56"/>
        <v>0</v>
      </c>
      <c r="L51" s="1735">
        <f>+L335+L155+L127+L349+L323+L361++L90+L143+L66+L102+L78+L111+L167+L179+L191+L203+L215+L227+L239+L251+L263+L275+L287+L299+L311</f>
        <v>0</v>
      </c>
      <c r="M51" s="3781"/>
      <c r="N51" s="635"/>
      <c r="O51" s="354"/>
    </row>
    <row r="52" spans="1:15" s="2450" customFormat="1" ht="17.25" hidden="1" customHeight="1" thickBot="1">
      <c r="A52" s="3031"/>
      <c r="B52" s="231" t="s">
        <v>459</v>
      </c>
      <c r="C52" s="355"/>
      <c r="D52" s="639"/>
      <c r="E52" s="2448"/>
      <c r="F52" s="640"/>
      <c r="G52" s="640"/>
      <c r="H52" s="640"/>
      <c r="I52" s="640"/>
      <c r="J52" s="640"/>
      <c r="K52" s="640"/>
      <c r="L52" s="640"/>
      <c r="M52" s="2449"/>
      <c r="N52" s="356"/>
    </row>
    <row r="53" spans="1:15" ht="23.25" hidden="1" customHeight="1">
      <c r="A53" s="3814"/>
      <c r="B53" s="335" t="s">
        <v>408</v>
      </c>
      <c r="C53" s="48" t="s">
        <v>72</v>
      </c>
      <c r="D53" s="49"/>
      <c r="E53" s="33"/>
      <c r="F53" s="35"/>
      <c r="G53" s="35"/>
      <c r="H53" s="35"/>
      <c r="I53" s="35"/>
      <c r="J53" s="35"/>
      <c r="K53" s="35"/>
      <c r="L53" s="35"/>
      <c r="M53" s="36"/>
      <c r="N53" s="37" t="s">
        <v>73</v>
      </c>
    </row>
    <row r="54" spans="1:15" ht="12.75" hidden="1" customHeight="1">
      <c r="A54" s="3815"/>
      <c r="B54" s="1722" t="s">
        <v>9</v>
      </c>
      <c r="C54" s="1999"/>
      <c r="D54" s="1191">
        <f t="shared" ref="D54" si="57">+D55+D58</f>
        <v>0</v>
      </c>
      <c r="E54" s="1191">
        <f>+E55+E58</f>
        <v>0</v>
      </c>
      <c r="F54" s="1191"/>
      <c r="G54" s="1191"/>
      <c r="H54" s="1191"/>
      <c r="I54" s="1191"/>
      <c r="J54" s="1191"/>
      <c r="K54" s="1191"/>
      <c r="L54" s="1191">
        <f>+L55+L58</f>
        <v>0</v>
      </c>
      <c r="M54" s="1179">
        <f>+M55+M58</f>
        <v>0</v>
      </c>
      <c r="N54" s="3728" t="s">
        <v>74</v>
      </c>
    </row>
    <row r="55" spans="1:15" ht="12" hidden="1" customHeight="1">
      <c r="A55" s="3815"/>
      <c r="B55" s="1743" t="s">
        <v>22</v>
      </c>
      <c r="C55" s="3664" t="s">
        <v>75</v>
      </c>
      <c r="D55" s="1192">
        <f t="shared" ref="D55" si="58">+D56+D57</f>
        <v>0</v>
      </c>
      <c r="E55" s="1192">
        <f>+E56+E57</f>
        <v>0</v>
      </c>
      <c r="F55" s="1192"/>
      <c r="G55" s="1192"/>
      <c r="H55" s="1192"/>
      <c r="I55" s="1192"/>
      <c r="J55" s="1192"/>
      <c r="K55" s="1192"/>
      <c r="L55" s="1192">
        <f>+L56+L57</f>
        <v>0</v>
      </c>
      <c r="M55" s="1182">
        <f>+M56+M57</f>
        <v>0</v>
      </c>
      <c r="N55" s="3728"/>
    </row>
    <row r="56" spans="1:15" ht="12" hidden="1" customHeight="1">
      <c r="A56" s="3815"/>
      <c r="B56" s="1744" t="s">
        <v>11</v>
      </c>
      <c r="C56" s="3722"/>
      <c r="D56" s="1115">
        <f>E56+L56+F56+G56+H56+I56+J56+K56</f>
        <v>0</v>
      </c>
      <c r="E56" s="1155"/>
      <c r="F56" s="1194"/>
      <c r="G56" s="1194"/>
      <c r="H56" s="1194"/>
      <c r="I56" s="1194"/>
      <c r="J56" s="1194"/>
      <c r="K56" s="1194"/>
      <c r="L56" s="1193"/>
      <c r="M56" s="1195">
        <f>SUM(F56:K56)</f>
        <v>0</v>
      </c>
      <c r="N56" s="3728"/>
    </row>
    <row r="57" spans="1:15" ht="12" hidden="1" customHeight="1">
      <c r="A57" s="3815"/>
      <c r="B57" s="1254" t="s">
        <v>16</v>
      </c>
      <c r="C57" s="3722"/>
      <c r="D57" s="1115">
        <f>E57+L57+F57+G57+H57+I57+J57+K57</f>
        <v>0</v>
      </c>
      <c r="E57" s="1155"/>
      <c r="F57" s="1194"/>
      <c r="G57" s="1194"/>
      <c r="H57" s="1194"/>
      <c r="I57" s="1194"/>
      <c r="J57" s="1194"/>
      <c r="K57" s="1194"/>
      <c r="L57" s="1194"/>
      <c r="M57" s="1195">
        <f>SUM(F57:K57)</f>
        <v>0</v>
      </c>
      <c r="N57" s="3728"/>
    </row>
    <row r="58" spans="1:15" ht="12" hidden="1" customHeight="1">
      <c r="A58" s="3815"/>
      <c r="B58" s="1212" t="s">
        <v>17</v>
      </c>
      <c r="C58" s="3722"/>
      <c r="D58" s="1181">
        <f>+D59+D60</f>
        <v>0</v>
      </c>
      <c r="E58" s="1181">
        <f t="shared" ref="E58" si="59">+E59+E60</f>
        <v>0</v>
      </c>
      <c r="F58" s="1181"/>
      <c r="G58" s="1181"/>
      <c r="H58" s="1181"/>
      <c r="I58" s="1181"/>
      <c r="J58" s="1181"/>
      <c r="K58" s="1181"/>
      <c r="L58" s="1181"/>
      <c r="M58" s="1182">
        <f>+M59+M60</f>
        <v>0</v>
      </c>
      <c r="N58" s="3728"/>
    </row>
    <row r="59" spans="1:15" ht="12" hidden="1" customHeight="1">
      <c r="A59" s="3815"/>
      <c r="B59" s="2160" t="s">
        <v>16</v>
      </c>
      <c r="C59" s="3722"/>
      <c r="D59" s="1115">
        <f>E59+L59+F59+G59+H59+I59+J59+K59</f>
        <v>0</v>
      </c>
      <c r="E59" s="1190"/>
      <c r="F59" s="1194"/>
      <c r="G59" s="1194"/>
      <c r="H59" s="1194"/>
      <c r="I59" s="175"/>
      <c r="J59" s="175"/>
      <c r="K59" s="175"/>
      <c r="L59" s="1194"/>
      <c r="M59" s="2451"/>
      <c r="N59" s="3728"/>
    </row>
    <row r="60" spans="1:15" ht="12" hidden="1" customHeight="1">
      <c r="A60" s="3815"/>
      <c r="B60" s="2160" t="s">
        <v>19</v>
      </c>
      <c r="C60" s="3789"/>
      <c r="D60" s="1115">
        <f>E60+L60+F60+G60+H60+I60+J60+K60</f>
        <v>0</v>
      </c>
      <c r="E60" s="1155"/>
      <c r="F60" s="1194"/>
      <c r="G60" s="1194"/>
      <c r="H60" s="1194"/>
      <c r="I60" s="1194"/>
      <c r="J60" s="1194"/>
      <c r="K60" s="1194"/>
      <c r="L60" s="1194"/>
      <c r="M60" s="1195">
        <f>SUM(F60:K60)</f>
        <v>0</v>
      </c>
      <c r="N60" s="3713"/>
    </row>
    <row r="61" spans="1:15" ht="13.5" hidden="1" customHeight="1">
      <c r="A61" s="3815"/>
      <c r="B61" s="68" t="s">
        <v>20</v>
      </c>
      <c r="C61" s="1999"/>
      <c r="D61" s="1178">
        <f t="shared" ref="D61" si="60">+D64+D62</f>
        <v>0</v>
      </c>
      <c r="E61" s="1178">
        <f>+E64+E62</f>
        <v>0</v>
      </c>
      <c r="F61" s="1178"/>
      <c r="G61" s="1178"/>
      <c r="H61" s="1178"/>
      <c r="I61" s="1429"/>
      <c r="J61" s="1429"/>
      <c r="K61" s="1429"/>
      <c r="L61" s="1178"/>
      <c r="M61" s="3757" t="s">
        <v>21</v>
      </c>
      <c r="N61" s="3742" t="s">
        <v>213</v>
      </c>
      <c r="O61" s="354">
        <v>0</v>
      </c>
    </row>
    <row r="62" spans="1:15" ht="12" hidden="1" customHeight="1">
      <c r="A62" s="3815"/>
      <c r="B62" s="1185" t="s">
        <v>22</v>
      </c>
      <c r="C62" s="3664" t="s">
        <v>76</v>
      </c>
      <c r="D62" s="1181">
        <f t="shared" ref="D62:E62" si="61">+D63</f>
        <v>0</v>
      </c>
      <c r="E62" s="1181">
        <f t="shared" si="61"/>
        <v>0</v>
      </c>
      <c r="F62" s="1181"/>
      <c r="G62" s="1181"/>
      <c r="H62" s="1181"/>
      <c r="I62" s="1181"/>
      <c r="J62" s="1181"/>
      <c r="K62" s="1181"/>
      <c r="L62" s="1181"/>
      <c r="M62" s="3717"/>
      <c r="N62" s="3705"/>
    </row>
    <row r="63" spans="1:15" ht="12" hidden="1" customHeight="1">
      <c r="A63" s="3815"/>
      <c r="B63" s="1206" t="s">
        <v>16</v>
      </c>
      <c r="C63" s="3722"/>
      <c r="D63" s="1115">
        <f>E63+L63+F63+G63+H63+I63+J63+K63</f>
        <v>0</v>
      </c>
      <c r="E63" s="1155"/>
      <c r="F63" s="1197"/>
      <c r="G63" s="1197"/>
      <c r="H63" s="1181"/>
      <c r="I63" s="1181"/>
      <c r="J63" s="1181"/>
      <c r="K63" s="1181"/>
      <c r="L63" s="1197"/>
      <c r="M63" s="3717"/>
      <c r="N63" s="3705"/>
    </row>
    <row r="64" spans="1:15" ht="12" hidden="1" customHeight="1">
      <c r="A64" s="3815"/>
      <c r="B64" s="1745" t="s">
        <v>17</v>
      </c>
      <c r="C64" s="3722"/>
      <c r="D64" s="1198">
        <f t="shared" ref="D64:E64" si="62">+D65+D66</f>
        <v>0</v>
      </c>
      <c r="E64" s="1198">
        <f t="shared" si="62"/>
        <v>0</v>
      </c>
      <c r="F64" s="1430"/>
      <c r="G64" s="1430"/>
      <c r="H64" s="1197"/>
      <c r="I64" s="1197"/>
      <c r="J64" s="1197"/>
      <c r="K64" s="1197"/>
      <c r="L64" s="1430"/>
      <c r="M64" s="3717"/>
      <c r="N64" s="3705"/>
    </row>
    <row r="65" spans="1:18" ht="12" hidden="1" customHeight="1">
      <c r="A65" s="3815"/>
      <c r="B65" s="2160" t="s">
        <v>16</v>
      </c>
      <c r="C65" s="3722"/>
      <c r="D65" s="1115">
        <f>E65+L65+F65+G65+H65+I65+J65+K65</f>
        <v>0</v>
      </c>
      <c r="E65" s="1230"/>
      <c r="F65" s="1197"/>
      <c r="G65" s="1197"/>
      <c r="H65" s="1430"/>
      <c r="I65" s="1430"/>
      <c r="J65" s="1430"/>
      <c r="K65" s="1430"/>
      <c r="L65" s="1197"/>
      <c r="M65" s="3717"/>
      <c r="N65" s="3705"/>
    </row>
    <row r="66" spans="1:18" ht="10.5" hidden="1" customHeight="1" thickBot="1">
      <c r="A66" s="3816"/>
      <c r="B66" s="1043" t="s">
        <v>19</v>
      </c>
      <c r="C66" s="3723"/>
      <c r="D66" s="1636">
        <f>E66+L66+F66+G66+H66+I66+J66+K66</f>
        <v>0</v>
      </c>
      <c r="E66" s="1636"/>
      <c r="F66" s="1044"/>
      <c r="G66" s="1044"/>
      <c r="H66" s="1431"/>
      <c r="I66" s="1431"/>
      <c r="J66" s="1431"/>
      <c r="K66" s="1431"/>
      <c r="L66" s="1044"/>
      <c r="M66" s="3718"/>
      <c r="N66" s="3706"/>
    </row>
    <row r="67" spans="1:18" ht="25.5" hidden="1" customHeight="1">
      <c r="A67" s="3669"/>
      <c r="B67" s="61" t="s">
        <v>409</v>
      </c>
      <c r="C67" s="48" t="s">
        <v>72</v>
      </c>
      <c r="D67" s="49"/>
      <c r="E67" s="34"/>
      <c r="F67" s="33"/>
      <c r="G67" s="200"/>
      <c r="H67" s="34"/>
      <c r="I67" s="200"/>
      <c r="J67" s="200"/>
      <c r="K67" s="200"/>
      <c r="L67" s="33"/>
      <c r="M67" s="2452"/>
      <c r="N67" s="37" t="s">
        <v>73</v>
      </c>
      <c r="R67" s="2453"/>
    </row>
    <row r="68" spans="1:18" ht="13.5" hidden="1" customHeight="1">
      <c r="A68" s="3670"/>
      <c r="B68" s="1705" t="s">
        <v>9</v>
      </c>
      <c r="C68" s="1999"/>
      <c r="D68" s="1191">
        <f>+D69+D72</f>
        <v>0</v>
      </c>
      <c r="E68" s="1191">
        <f>+E69+E72</f>
        <v>0</v>
      </c>
      <c r="F68" s="1191"/>
      <c r="G68" s="1191"/>
      <c r="H68" s="1191"/>
      <c r="I68" s="1191"/>
      <c r="J68" s="1191"/>
      <c r="K68" s="1191"/>
      <c r="L68" s="1191">
        <f>+L69+L72</f>
        <v>0</v>
      </c>
      <c r="M68" s="1179">
        <f>+M69+M72</f>
        <v>0</v>
      </c>
      <c r="N68" s="3728" t="s">
        <v>74</v>
      </c>
      <c r="O68" s="354"/>
      <c r="P68" s="354"/>
      <c r="Q68" s="354"/>
      <c r="R68" s="354"/>
    </row>
    <row r="69" spans="1:18" ht="12" hidden="1" customHeight="1">
      <c r="A69" s="3670"/>
      <c r="B69" s="2159" t="s">
        <v>22</v>
      </c>
      <c r="C69" s="3664" t="s">
        <v>75</v>
      </c>
      <c r="D69" s="1192">
        <f>+D70+D71</f>
        <v>0</v>
      </c>
      <c r="E69" s="1192">
        <f>+E70+E71</f>
        <v>0</v>
      </c>
      <c r="F69" s="1192"/>
      <c r="G69" s="1192"/>
      <c r="H69" s="1192"/>
      <c r="I69" s="1192"/>
      <c r="J69" s="1192"/>
      <c r="K69" s="1192"/>
      <c r="L69" s="1192">
        <f>+L70+L71</f>
        <v>0</v>
      </c>
      <c r="M69" s="1432">
        <f>+M70+M71</f>
        <v>0</v>
      </c>
      <c r="N69" s="3728"/>
    </row>
    <row r="70" spans="1:18" ht="12" hidden="1" customHeight="1">
      <c r="A70" s="3670"/>
      <c r="B70" s="2160" t="s">
        <v>11</v>
      </c>
      <c r="C70" s="3722"/>
      <c r="D70" s="1115">
        <f>E70+L70+F70+G70+H70+I70+J70+K70</f>
        <v>0</v>
      </c>
      <c r="E70" s="1155"/>
      <c r="F70" s="1194"/>
      <c r="G70" s="1194"/>
      <c r="H70" s="1194"/>
      <c r="I70" s="1194"/>
      <c r="J70" s="1194"/>
      <c r="K70" s="1194"/>
      <c r="L70" s="1193"/>
      <c r="M70" s="1195">
        <f>SUM(F70:K70)</f>
        <v>0</v>
      </c>
      <c r="N70" s="3728"/>
    </row>
    <row r="71" spans="1:18" ht="12" hidden="1" customHeight="1">
      <c r="A71" s="3670"/>
      <c r="B71" s="2160" t="s">
        <v>16</v>
      </c>
      <c r="C71" s="3722"/>
      <c r="D71" s="1115">
        <f>E71+L71+F71+G71+H71+I71+J71+K71</f>
        <v>0</v>
      </c>
      <c r="E71" s="1155"/>
      <c r="F71" s="1194"/>
      <c r="G71" s="1194"/>
      <c r="H71" s="1194"/>
      <c r="I71" s="1194"/>
      <c r="J71" s="1194"/>
      <c r="K71" s="1194"/>
      <c r="L71" s="1194"/>
      <c r="M71" s="1195">
        <f>SUM(F71:K71)</f>
        <v>0</v>
      </c>
      <c r="N71" s="3728"/>
    </row>
    <row r="72" spans="1:18" ht="12" hidden="1" customHeight="1">
      <c r="A72" s="3670"/>
      <c r="B72" s="2352" t="s">
        <v>17</v>
      </c>
      <c r="C72" s="3722"/>
      <c r="D72" s="1181">
        <f>+D73</f>
        <v>0</v>
      </c>
      <c r="E72" s="1181">
        <f t="shared" ref="E72" si="63">+E73</f>
        <v>0</v>
      </c>
      <c r="F72" s="1181"/>
      <c r="G72" s="1181"/>
      <c r="H72" s="1181"/>
      <c r="I72" s="1181"/>
      <c r="J72" s="1181"/>
      <c r="K72" s="1181"/>
      <c r="L72" s="1181"/>
      <c r="M72" s="1432">
        <f>+M73</f>
        <v>0</v>
      </c>
      <c r="N72" s="3728"/>
    </row>
    <row r="73" spans="1:18" ht="12" hidden="1" customHeight="1">
      <c r="A73" s="3670"/>
      <c r="B73" s="2160" t="s">
        <v>19</v>
      </c>
      <c r="C73" s="216"/>
      <c r="D73" s="1160">
        <f>E73+L73+F73+G73+H73+I73+J73+K73</f>
        <v>0</v>
      </c>
      <c r="E73" s="1155"/>
      <c r="F73" s="1194"/>
      <c r="G73" s="1194"/>
      <c r="H73" s="1194"/>
      <c r="I73" s="1194"/>
      <c r="J73" s="1194"/>
      <c r="K73" s="1194"/>
      <c r="L73" s="1194"/>
      <c r="M73" s="1195">
        <f>SUM(F73:K73)</f>
        <v>0</v>
      </c>
      <c r="N73" s="3713"/>
    </row>
    <row r="74" spans="1:18" ht="12" hidden="1" customHeight="1">
      <c r="A74" s="3670"/>
      <c r="B74" s="160" t="s">
        <v>20</v>
      </c>
      <c r="C74" s="75"/>
      <c r="D74" s="82">
        <f t="shared" ref="D74" si="64">+D77+D75</f>
        <v>0</v>
      </c>
      <c r="E74" s="82">
        <f>+E77+E75</f>
        <v>0</v>
      </c>
      <c r="F74" s="82"/>
      <c r="G74" s="82"/>
      <c r="H74" s="82"/>
      <c r="I74" s="82"/>
      <c r="J74" s="82"/>
      <c r="K74" s="82"/>
      <c r="L74" s="82"/>
      <c r="M74" s="3717" t="s">
        <v>21</v>
      </c>
      <c r="N74" s="3812" t="s">
        <v>213</v>
      </c>
      <c r="O74" s="354"/>
    </row>
    <row r="75" spans="1:18" ht="12" hidden="1" customHeight="1">
      <c r="A75" s="3670"/>
      <c r="B75" s="1196" t="s">
        <v>22</v>
      </c>
      <c r="C75" s="3664" t="s">
        <v>76</v>
      </c>
      <c r="D75" s="1181">
        <f t="shared" ref="D75:E75" si="65">+D76</f>
        <v>0</v>
      </c>
      <c r="E75" s="1181">
        <f t="shared" si="65"/>
        <v>0</v>
      </c>
      <c r="F75" s="1181"/>
      <c r="G75" s="1181"/>
      <c r="H75" s="1181"/>
      <c r="I75" s="1181"/>
      <c r="J75" s="1181"/>
      <c r="K75" s="1181"/>
      <c r="L75" s="1181"/>
      <c r="M75" s="3717"/>
      <c r="N75" s="3728"/>
    </row>
    <row r="76" spans="1:18" ht="12" hidden="1" customHeight="1">
      <c r="A76" s="3670"/>
      <c r="B76" s="1206" t="s">
        <v>16</v>
      </c>
      <c r="C76" s="3722"/>
      <c r="D76" s="1115">
        <f>E76+L76+F76+G76+H76+I76+J76+K76</f>
        <v>0</v>
      </c>
      <c r="E76" s="1155"/>
      <c r="F76" s="1197"/>
      <c r="G76" s="1197"/>
      <c r="H76" s="1197"/>
      <c r="I76" s="1197"/>
      <c r="J76" s="1197"/>
      <c r="K76" s="1197"/>
      <c r="L76" s="1197"/>
      <c r="M76" s="3717"/>
      <c r="N76" s="3728"/>
    </row>
    <row r="77" spans="1:18" ht="12" hidden="1" customHeight="1">
      <c r="A77" s="3670"/>
      <c r="B77" s="2352" t="s">
        <v>17</v>
      </c>
      <c r="C77" s="3722"/>
      <c r="D77" s="1198">
        <f>+D78</f>
        <v>0</v>
      </c>
      <c r="E77" s="1198">
        <f t="shared" ref="E77" si="66">+E78</f>
        <v>0</v>
      </c>
      <c r="F77" s="1198"/>
      <c r="G77" s="1198"/>
      <c r="H77" s="1198"/>
      <c r="I77" s="1198"/>
      <c r="J77" s="1198"/>
      <c r="K77" s="1198"/>
      <c r="L77" s="1198"/>
      <c r="M77" s="3717"/>
      <c r="N77" s="3728"/>
    </row>
    <row r="78" spans="1:18" ht="12" hidden="1" customHeight="1" thickBot="1">
      <c r="A78" s="3738"/>
      <c r="B78" s="63" t="s">
        <v>19</v>
      </c>
      <c r="C78" s="3723"/>
      <c r="D78" s="1115">
        <f>E78+L78+F78+G78+H78+I78+J78+K78</f>
        <v>0</v>
      </c>
      <c r="E78" s="1155"/>
      <c r="F78" s="1431"/>
      <c r="G78" s="1431"/>
      <c r="H78" s="1431"/>
      <c r="I78" s="1431"/>
      <c r="J78" s="1431"/>
      <c r="K78" s="1431"/>
      <c r="L78" s="1431"/>
      <c r="M78" s="3718"/>
      <c r="N78" s="3813"/>
    </row>
    <row r="79" spans="1:18" ht="23.25" hidden="1" customHeight="1">
      <c r="A79" s="3669" t="s">
        <v>54</v>
      </c>
      <c r="B79" s="2350" t="s">
        <v>523</v>
      </c>
      <c r="C79" s="48" t="s">
        <v>72</v>
      </c>
      <c r="D79" s="915"/>
      <c r="E79" s="2105"/>
      <c r="F79" s="2105"/>
      <c r="G79" s="2105"/>
      <c r="H79" s="2105"/>
      <c r="I79" s="2105"/>
      <c r="J79" s="2105"/>
      <c r="K79" s="2106"/>
      <c r="L79" s="2105"/>
      <c r="M79" s="36"/>
      <c r="N79" s="74"/>
    </row>
    <row r="80" spans="1:18" hidden="1">
      <c r="A80" s="3670"/>
      <c r="B80" s="1176" t="s">
        <v>9</v>
      </c>
      <c r="C80" s="1999"/>
      <c r="D80" s="1191">
        <f>+D81+D84</f>
        <v>0</v>
      </c>
      <c r="E80" s="1191">
        <f>+E81+E84</f>
        <v>0</v>
      </c>
      <c r="F80" s="1191">
        <f>+F81+F84</f>
        <v>0</v>
      </c>
      <c r="G80" s="1191"/>
      <c r="H80" s="1191"/>
      <c r="I80" s="1191"/>
      <c r="J80" s="1191"/>
      <c r="K80" s="1191"/>
      <c r="L80" s="1191">
        <f>+L81+L84</f>
        <v>0</v>
      </c>
      <c r="M80" s="1179">
        <f>+M81+M84</f>
        <v>0</v>
      </c>
      <c r="N80" s="3728" t="s">
        <v>77</v>
      </c>
      <c r="O80" s="354"/>
    </row>
    <row r="81" spans="1:15" ht="12.75" hidden="1" customHeight="1">
      <c r="A81" s="3670"/>
      <c r="B81" s="1743" t="s">
        <v>22</v>
      </c>
      <c r="C81" s="3664" t="s">
        <v>75</v>
      </c>
      <c r="D81" s="1186">
        <f>+D82+D83</f>
        <v>0</v>
      </c>
      <c r="E81" s="1186">
        <f>+E82+E83</f>
        <v>0</v>
      </c>
      <c r="F81" s="1186">
        <f>+F82+F83</f>
        <v>0</v>
      </c>
      <c r="G81" s="1186"/>
      <c r="H81" s="1186"/>
      <c r="I81" s="1186"/>
      <c r="J81" s="1186"/>
      <c r="K81" s="1186"/>
      <c r="L81" s="1186">
        <f>+L82+L83</f>
        <v>0</v>
      </c>
      <c r="M81" s="1182">
        <f>M82</f>
        <v>0</v>
      </c>
      <c r="N81" s="3728"/>
      <c r="O81" s="354"/>
    </row>
    <row r="82" spans="1:15" ht="10.5" hidden="1" customHeight="1">
      <c r="A82" s="3670"/>
      <c r="B82" s="2160" t="s">
        <v>11</v>
      </c>
      <c r="C82" s="3722"/>
      <c r="D82" s="1115">
        <f>E82+L82+F82+G82+H82+I82+J82+K82</f>
        <v>0</v>
      </c>
      <c r="E82" s="1155"/>
      <c r="F82" s="1193"/>
      <c r="G82" s="1194"/>
      <c r="H82" s="1194"/>
      <c r="I82" s="1194"/>
      <c r="J82" s="1194"/>
      <c r="K82" s="1194"/>
      <c r="L82" s="1193">
        <v>0</v>
      </c>
      <c r="M82" s="1195">
        <f>SUM(G82:K82)</f>
        <v>0</v>
      </c>
      <c r="N82" s="3728"/>
    </row>
    <row r="83" spans="1:15" ht="12" hidden="1" customHeight="1">
      <c r="A83" s="3670"/>
      <c r="B83" s="76" t="s">
        <v>14</v>
      </c>
      <c r="C83" s="3722"/>
      <c r="D83" s="1115">
        <f>E83+L83+F83+G83+H83+I83+J83+K83</f>
        <v>0</v>
      </c>
      <c r="E83" s="1155"/>
      <c r="F83" s="1194"/>
      <c r="G83" s="1194"/>
      <c r="H83" s="1194"/>
      <c r="I83" s="1194"/>
      <c r="J83" s="1194"/>
      <c r="K83" s="1194"/>
      <c r="L83" s="1193"/>
      <c r="M83" s="1195">
        <f>SUM(G83:K83)</f>
        <v>0</v>
      </c>
      <c r="N83" s="3812"/>
    </row>
    <row r="84" spans="1:15" ht="12" hidden="1" customHeight="1">
      <c r="A84" s="3670"/>
      <c r="B84" s="1745" t="s">
        <v>17</v>
      </c>
      <c r="C84" s="3722"/>
      <c r="D84" s="1181">
        <f>+D85</f>
        <v>0</v>
      </c>
      <c r="E84" s="1187">
        <f>+E85</f>
        <v>0</v>
      </c>
      <c r="F84" s="1187"/>
      <c r="G84" s="1181"/>
      <c r="H84" s="1181"/>
      <c r="I84" s="1181"/>
      <c r="J84" s="1181"/>
      <c r="K84" s="1181"/>
      <c r="L84" s="1187"/>
      <c r="M84" s="2035">
        <f>+M85</f>
        <v>0</v>
      </c>
      <c r="N84" s="3728"/>
    </row>
    <row r="85" spans="1:15" ht="11.25" hidden="1" customHeight="1">
      <c r="A85" s="3670"/>
      <c r="B85" s="2160" t="s">
        <v>19</v>
      </c>
      <c r="C85" s="3789"/>
      <c r="D85" s="1160">
        <f>E85+L85+F85+G85+H85+I85+J85+K85</f>
        <v>0</v>
      </c>
      <c r="E85" s="1155"/>
      <c r="F85" s="1194"/>
      <c r="G85" s="1194"/>
      <c r="H85" s="1194"/>
      <c r="I85" s="1194"/>
      <c r="J85" s="1194"/>
      <c r="K85" s="1194"/>
      <c r="L85" s="1194"/>
      <c r="M85" s="1195">
        <f>SUM(G85:K85)</f>
        <v>0</v>
      </c>
      <c r="N85" s="3713"/>
    </row>
    <row r="86" spans="1:15" hidden="1">
      <c r="A86" s="3671"/>
      <c r="B86" s="68" t="s">
        <v>20</v>
      </c>
      <c r="C86" s="75"/>
      <c r="D86" s="82">
        <f>+D87+D89</f>
        <v>0</v>
      </c>
      <c r="E86" s="82">
        <f>+E87+E89</f>
        <v>0</v>
      </c>
      <c r="F86" s="82"/>
      <c r="G86" s="82"/>
      <c r="H86" s="82"/>
      <c r="I86" s="82"/>
      <c r="J86" s="82"/>
      <c r="K86" s="82"/>
      <c r="L86" s="82"/>
      <c r="M86" s="3823" t="s">
        <v>21</v>
      </c>
      <c r="N86" s="3742" t="s">
        <v>92</v>
      </c>
      <c r="O86" s="354"/>
    </row>
    <row r="87" spans="1:15" ht="13.5" hidden="1" customHeight="1">
      <c r="A87" s="3671"/>
      <c r="B87" s="1185" t="s">
        <v>22</v>
      </c>
      <c r="C87" s="3664" t="s">
        <v>76</v>
      </c>
      <c r="D87" s="43">
        <f>+D88</f>
        <v>0</v>
      </c>
      <c r="E87" s="43">
        <f t="shared" ref="E87" si="67">+E88</f>
        <v>0</v>
      </c>
      <c r="F87" s="43"/>
      <c r="G87" s="43"/>
      <c r="H87" s="43"/>
      <c r="I87" s="43"/>
      <c r="J87" s="43"/>
      <c r="K87" s="43"/>
      <c r="L87" s="43"/>
      <c r="M87" s="3824"/>
      <c r="N87" s="3705"/>
    </row>
    <row r="88" spans="1:15" ht="11.25" hidden="1" customHeight="1">
      <c r="A88" s="3671"/>
      <c r="B88" s="76" t="s">
        <v>14</v>
      </c>
      <c r="C88" s="3722"/>
      <c r="D88" s="1115">
        <f>E88+L88+F88+G88+H88+I88+J88+K88</f>
        <v>0</v>
      </c>
      <c r="E88" s="1155"/>
      <c r="F88" s="1197"/>
      <c r="G88" s="1197"/>
      <c r="H88" s="1197"/>
      <c r="I88" s="1197"/>
      <c r="J88" s="1197"/>
      <c r="K88" s="1197"/>
      <c r="L88" s="1197"/>
      <c r="M88" s="3824"/>
      <c r="N88" s="3705"/>
    </row>
    <row r="89" spans="1:15" s="2450" customFormat="1" ht="12.75" hidden="1" customHeight="1" thickBot="1">
      <c r="A89" s="3671"/>
      <c r="B89" s="1745" t="s">
        <v>17</v>
      </c>
      <c r="C89" s="3722"/>
      <c r="D89" s="1198">
        <f t="shared" ref="D89:E89" si="68">+D90</f>
        <v>0</v>
      </c>
      <c r="E89" s="1430">
        <f t="shared" si="68"/>
        <v>0</v>
      </c>
      <c r="F89" s="1430"/>
      <c r="G89" s="1430"/>
      <c r="H89" s="1430"/>
      <c r="I89" s="1430"/>
      <c r="J89" s="1430"/>
      <c r="K89" s="1430"/>
      <c r="L89" s="1430"/>
      <c r="M89" s="3824"/>
      <c r="N89" s="3706"/>
    </row>
    <row r="90" spans="1:15" ht="12.75" hidden="1" customHeight="1" thickBot="1">
      <c r="A90" s="3671"/>
      <c r="B90" s="63" t="s">
        <v>19</v>
      </c>
      <c r="C90" s="3723"/>
      <c r="D90" s="1636">
        <f>E90+L90+F90+G90+H90+I90+J90+K90</f>
        <v>0</v>
      </c>
      <c r="E90" s="1636"/>
      <c r="F90" s="47"/>
      <c r="G90" s="47"/>
      <c r="H90" s="47"/>
      <c r="I90" s="47"/>
      <c r="J90" s="47"/>
      <c r="K90" s="47"/>
      <c r="L90" s="47"/>
      <c r="M90" s="3825"/>
      <c r="N90" s="3755"/>
    </row>
    <row r="91" spans="1:15" ht="27.75" hidden="1" customHeight="1">
      <c r="A91" s="3670"/>
      <c r="B91" s="335" t="s">
        <v>410</v>
      </c>
      <c r="C91" s="48" t="s">
        <v>72</v>
      </c>
      <c r="D91" s="637"/>
      <c r="E91" s="2455"/>
      <c r="F91" s="78"/>
      <c r="G91" s="78"/>
      <c r="H91" s="78"/>
      <c r="I91" s="78"/>
      <c r="J91" s="78"/>
      <c r="K91" s="78"/>
      <c r="L91" s="78"/>
      <c r="M91" s="36"/>
      <c r="N91" s="2846"/>
      <c r="O91" s="354"/>
    </row>
    <row r="92" spans="1:15" ht="12" hidden="1" customHeight="1">
      <c r="A92" s="3670"/>
      <c r="B92" s="1705" t="s">
        <v>9</v>
      </c>
      <c r="C92" s="1999"/>
      <c r="D92" s="1191">
        <f>+D93+D96</f>
        <v>0</v>
      </c>
      <c r="E92" s="1191">
        <f>+E93+E96</f>
        <v>0</v>
      </c>
      <c r="F92" s="1191"/>
      <c r="G92" s="1191"/>
      <c r="H92" s="1191"/>
      <c r="I92" s="1191"/>
      <c r="J92" s="1191"/>
      <c r="K92" s="1191"/>
      <c r="L92" s="1191">
        <f>+L93+L96</f>
        <v>0</v>
      </c>
      <c r="M92" s="2036">
        <f>+M93+M96</f>
        <v>0</v>
      </c>
      <c r="N92" s="3798" t="s">
        <v>77</v>
      </c>
    </row>
    <row r="93" spans="1:15" ht="13.5" hidden="1" customHeight="1">
      <c r="A93" s="3738"/>
      <c r="B93" s="2159" t="s">
        <v>22</v>
      </c>
      <c r="C93" s="3664" t="s">
        <v>75</v>
      </c>
      <c r="D93" s="1192">
        <f>+D94+D95</f>
        <v>0</v>
      </c>
      <c r="E93" s="1192">
        <f>+E94+E95</f>
        <v>0</v>
      </c>
      <c r="F93" s="1192"/>
      <c r="G93" s="1192"/>
      <c r="H93" s="1192"/>
      <c r="I93" s="1192"/>
      <c r="J93" s="1192"/>
      <c r="K93" s="1192"/>
      <c r="L93" s="1192">
        <f>+L94+L95</f>
        <v>0</v>
      </c>
      <c r="M93" s="2035">
        <f>+M94+M95</f>
        <v>0</v>
      </c>
      <c r="N93" s="3799"/>
      <c r="O93" s="354"/>
    </row>
    <row r="94" spans="1:15" ht="11.25" hidden="1" customHeight="1">
      <c r="A94" s="3707"/>
      <c r="B94" s="2160" t="s">
        <v>11</v>
      </c>
      <c r="C94" s="3665"/>
      <c r="D94" s="1115">
        <f>E94+L94+F94+G94+H94+I94+J94+K94</f>
        <v>0</v>
      </c>
      <c r="E94" s="1155"/>
      <c r="F94" s="1194"/>
      <c r="G94" s="1194"/>
      <c r="H94" s="1194"/>
      <c r="I94" s="1194"/>
      <c r="J94" s="1194"/>
      <c r="K94" s="1194"/>
      <c r="L94" s="1193"/>
      <c r="M94" s="2042">
        <f>SUM(F94:K94)</f>
        <v>0</v>
      </c>
      <c r="N94" s="3800"/>
      <c r="O94" s="354"/>
    </row>
    <row r="95" spans="1:15" ht="11.25" hidden="1" customHeight="1">
      <c r="A95" s="3707"/>
      <c r="B95" s="2160" t="s">
        <v>14</v>
      </c>
      <c r="C95" s="3665"/>
      <c r="D95" s="1115">
        <f>E95+L95+F95+G95+H95+I95+J95+K95</f>
        <v>0</v>
      </c>
      <c r="E95" s="1155"/>
      <c r="F95" s="1194"/>
      <c r="G95" s="1194"/>
      <c r="H95" s="1194"/>
      <c r="I95" s="1194"/>
      <c r="J95" s="1194"/>
      <c r="K95" s="1194"/>
      <c r="L95" s="1194"/>
      <c r="M95" s="2042">
        <f>SUM(F95:K95)</f>
        <v>0</v>
      </c>
      <c r="N95" s="3800"/>
      <c r="O95" s="354"/>
    </row>
    <row r="96" spans="1:15" ht="11.25" hidden="1" customHeight="1">
      <c r="A96" s="3707"/>
      <c r="B96" s="2352" t="s">
        <v>17</v>
      </c>
      <c r="C96" s="3665"/>
      <c r="D96" s="1181">
        <f>+D97</f>
        <v>0</v>
      </c>
      <c r="E96" s="1181">
        <f t="shared" ref="E96" si="69">+E97</f>
        <v>0</v>
      </c>
      <c r="F96" s="1181"/>
      <c r="G96" s="1181"/>
      <c r="H96" s="1181"/>
      <c r="I96" s="1181"/>
      <c r="J96" s="1181"/>
      <c r="K96" s="1181"/>
      <c r="L96" s="1181"/>
      <c r="M96" s="2035">
        <f>+M97</f>
        <v>0</v>
      </c>
      <c r="N96" s="3798"/>
    </row>
    <row r="97" spans="1:15" ht="11.25" hidden="1" customHeight="1">
      <c r="A97" s="3707"/>
      <c r="B97" s="2161" t="s">
        <v>19</v>
      </c>
      <c r="C97" s="3696"/>
      <c r="D97" s="1115">
        <f>E97+L97+F97+G97+H97+I97+J97+K97</f>
        <v>0</v>
      </c>
      <c r="E97" s="1155"/>
      <c r="F97" s="1184"/>
      <c r="G97" s="1184"/>
      <c r="H97" s="1184"/>
      <c r="I97" s="1184"/>
      <c r="J97" s="1184"/>
      <c r="K97" s="1184"/>
      <c r="L97" s="1184"/>
      <c r="M97" s="2042">
        <f>SUM(F97:K97)</f>
        <v>0</v>
      </c>
      <c r="N97" s="3799"/>
    </row>
    <row r="98" spans="1:15" ht="11.25" hidden="1" customHeight="1">
      <c r="A98" s="3797"/>
      <c r="B98" s="1705" t="s">
        <v>20</v>
      </c>
      <c r="C98" s="1999"/>
      <c r="D98" s="1178">
        <f>+D101+D99</f>
        <v>0</v>
      </c>
      <c r="E98" s="1178">
        <f>+E101+E99</f>
        <v>0</v>
      </c>
      <c r="F98" s="1178"/>
      <c r="G98" s="1178"/>
      <c r="H98" s="1178"/>
      <c r="I98" s="1178"/>
      <c r="J98" s="1178"/>
      <c r="K98" s="1178"/>
      <c r="L98" s="1178"/>
      <c r="M98" s="3805" t="s">
        <v>21</v>
      </c>
      <c r="N98" s="3758" t="s">
        <v>92</v>
      </c>
    </row>
    <row r="99" spans="1:15" ht="13.5" hidden="1" customHeight="1">
      <c r="A99" s="3672"/>
      <c r="B99" s="1196" t="s">
        <v>22</v>
      </c>
      <c r="C99" s="3664" t="s">
        <v>76</v>
      </c>
      <c r="D99" s="43">
        <f>+D100</f>
        <v>0</v>
      </c>
      <c r="E99" s="43">
        <f t="shared" ref="E99" si="70">+E100</f>
        <v>0</v>
      </c>
      <c r="F99" s="43"/>
      <c r="G99" s="43"/>
      <c r="H99" s="43"/>
      <c r="I99" s="43"/>
      <c r="J99" s="43"/>
      <c r="K99" s="43"/>
      <c r="L99" s="43"/>
      <c r="M99" s="3806"/>
      <c r="N99" s="3706"/>
    </row>
    <row r="100" spans="1:15" ht="11.25" hidden="1" customHeight="1">
      <c r="A100" s="3708"/>
      <c r="B100" s="76" t="s">
        <v>14</v>
      </c>
      <c r="C100" s="3723"/>
      <c r="D100" s="1155">
        <f>E100+L100+F100+G100+H100+I100+J100+K100</f>
        <v>0</v>
      </c>
      <c r="E100" s="1155"/>
      <c r="F100" s="1197"/>
      <c r="G100" s="1197"/>
      <c r="H100" s="1197"/>
      <c r="I100" s="1197"/>
      <c r="J100" s="1197"/>
      <c r="K100" s="1197"/>
      <c r="L100" s="1197"/>
      <c r="M100" s="3806"/>
      <c r="N100" s="3801"/>
    </row>
    <row r="101" spans="1:15" s="2450" customFormat="1" ht="13.5" hidden="1" customHeight="1" thickBot="1">
      <c r="A101" s="3708"/>
      <c r="B101" s="2002" t="s">
        <v>17</v>
      </c>
      <c r="C101" s="3804"/>
      <c r="D101" s="2011">
        <f>+D102</f>
        <v>0</v>
      </c>
      <c r="E101" s="2011">
        <f t="shared" ref="E101" si="71">+E102</f>
        <v>0</v>
      </c>
      <c r="F101" s="2011"/>
      <c r="G101" s="2011"/>
      <c r="H101" s="2011"/>
      <c r="I101" s="2011"/>
      <c r="J101" s="2011"/>
      <c r="K101" s="2011"/>
      <c r="L101" s="2011"/>
      <c r="M101" s="3807"/>
      <c r="N101" s="3802"/>
    </row>
    <row r="102" spans="1:15" ht="13.5" hidden="1" customHeight="1" thickBot="1">
      <c r="A102" s="3671"/>
      <c r="B102" s="1960" t="s">
        <v>19</v>
      </c>
      <c r="C102" s="3722"/>
      <c r="D102" s="730">
        <f>E102+L102+F102+G102+H102+I102+J102+K102</f>
        <v>0</v>
      </c>
      <c r="E102" s="730"/>
      <c r="F102" s="1583"/>
      <c r="G102" s="1583"/>
      <c r="H102" s="1583"/>
      <c r="I102" s="1583"/>
      <c r="J102" s="1583"/>
      <c r="K102" s="1583"/>
      <c r="L102" s="1583"/>
      <c r="M102" s="3808"/>
      <c r="N102" s="3803"/>
    </row>
    <row r="103" spans="1:15" ht="26.25" hidden="1" customHeight="1">
      <c r="A103" s="3791"/>
      <c r="B103" s="1987" t="s">
        <v>411</v>
      </c>
      <c r="C103" s="1988" t="s">
        <v>72</v>
      </c>
      <c r="D103" s="1989"/>
      <c r="E103" s="1990"/>
      <c r="F103" s="1990"/>
      <c r="G103" s="1990"/>
      <c r="H103" s="1990"/>
      <c r="I103" s="1990"/>
      <c r="J103" s="1990"/>
      <c r="K103" s="1990"/>
      <c r="L103" s="1990"/>
      <c r="M103" s="2457"/>
      <c r="N103" s="2847"/>
    </row>
    <row r="104" spans="1:15" ht="13.5" hidden="1" customHeight="1">
      <c r="A104" s="3791"/>
      <c r="B104" s="1986" t="s">
        <v>9</v>
      </c>
      <c r="C104" s="1977"/>
      <c r="D104" s="1991">
        <f>+D105+D107</f>
        <v>0</v>
      </c>
      <c r="E104" s="1991">
        <f t="shared" ref="E104" si="72">+E105+E107</f>
        <v>0</v>
      </c>
      <c r="F104" s="1991"/>
      <c r="G104" s="1991"/>
      <c r="H104" s="1991"/>
      <c r="I104" s="1991"/>
      <c r="J104" s="1991"/>
      <c r="K104" s="1991"/>
      <c r="L104" s="1991">
        <f>+L105+L107</f>
        <v>0</v>
      </c>
      <c r="M104" s="2458">
        <f>+M105+M107</f>
        <v>0</v>
      </c>
      <c r="N104" s="3792" t="s">
        <v>77</v>
      </c>
      <c r="O104" s="354"/>
    </row>
    <row r="105" spans="1:15" ht="13.5" hidden="1" customHeight="1">
      <c r="A105" s="3791"/>
      <c r="B105" s="2033" t="s">
        <v>22</v>
      </c>
      <c r="C105" s="3795" t="s">
        <v>75</v>
      </c>
      <c r="D105" s="202">
        <f>+D106</f>
        <v>0</v>
      </c>
      <c r="E105" s="202">
        <f t="shared" ref="E105" si="73">+E106</f>
        <v>0</v>
      </c>
      <c r="F105" s="202"/>
      <c r="G105" s="202"/>
      <c r="H105" s="202"/>
      <c r="I105" s="202"/>
      <c r="J105" s="202"/>
      <c r="K105" s="202"/>
      <c r="L105" s="202">
        <f>+L106</f>
        <v>0</v>
      </c>
      <c r="M105" s="56">
        <f>+M106</f>
        <v>0</v>
      </c>
      <c r="N105" s="3792"/>
      <c r="O105" s="354"/>
    </row>
    <row r="106" spans="1:15" ht="13.5" hidden="1" customHeight="1">
      <c r="A106" s="3738"/>
      <c r="B106" s="2024" t="s">
        <v>11</v>
      </c>
      <c r="C106" s="3665"/>
      <c r="D106" s="730">
        <f>E106+L106+F106+G106+H106+I106+J106+K106</f>
        <v>0</v>
      </c>
      <c r="E106" s="731"/>
      <c r="F106" s="174"/>
      <c r="G106" s="719"/>
      <c r="H106" s="719"/>
      <c r="I106" s="719"/>
      <c r="J106" s="719"/>
      <c r="K106" s="719"/>
      <c r="L106" s="174"/>
      <c r="M106" s="2459">
        <f>SUM(F106:K106)</f>
        <v>0</v>
      </c>
      <c r="N106" s="3793"/>
    </row>
    <row r="107" spans="1:15" ht="13.5" hidden="1" customHeight="1">
      <c r="A107" s="3707"/>
      <c r="B107" s="2352" t="s">
        <v>17</v>
      </c>
      <c r="C107" s="3665"/>
      <c r="D107" s="1181">
        <f>+D108</f>
        <v>0</v>
      </c>
      <c r="E107" s="1181">
        <f t="shared" ref="E107" si="74">+E108</f>
        <v>0</v>
      </c>
      <c r="F107" s="1181"/>
      <c r="G107" s="1181"/>
      <c r="H107" s="1181"/>
      <c r="I107" s="1181"/>
      <c r="J107" s="1181"/>
      <c r="K107" s="1181"/>
      <c r="L107" s="1181"/>
      <c r="M107" s="2048">
        <f>+M108</f>
        <v>0</v>
      </c>
      <c r="N107" s="3794"/>
    </row>
    <row r="108" spans="1:15" ht="13.5" hidden="1" customHeight="1">
      <c r="A108" s="3707"/>
      <c r="B108" s="2161" t="s">
        <v>19</v>
      </c>
      <c r="C108" s="3665"/>
      <c r="D108" s="1115">
        <f>E108+L108+F108+G108+H108+I108+J108+K108</f>
        <v>0</v>
      </c>
      <c r="E108" s="1155"/>
      <c r="F108" s="1190"/>
      <c r="G108" s="1194"/>
      <c r="H108" s="1194"/>
      <c r="I108" s="1194"/>
      <c r="J108" s="1194"/>
      <c r="K108" s="1194"/>
      <c r="L108" s="1190"/>
      <c r="M108" s="2042">
        <f>SUM(F108:K108)</f>
        <v>0</v>
      </c>
      <c r="N108" s="3794"/>
    </row>
    <row r="109" spans="1:15" ht="12.75" hidden="1" customHeight="1">
      <c r="A109" s="3708"/>
      <c r="B109" s="1722" t="s">
        <v>20</v>
      </c>
      <c r="C109" s="1999"/>
      <c r="D109" s="1178">
        <f>+D110</f>
        <v>0</v>
      </c>
      <c r="E109" s="1178">
        <f t="shared" ref="E109:E110" si="75">+E110</f>
        <v>0</v>
      </c>
      <c r="F109" s="1178"/>
      <c r="G109" s="1178"/>
      <c r="H109" s="1178"/>
      <c r="I109" s="1178"/>
      <c r="J109" s="1178"/>
      <c r="K109" s="1178"/>
      <c r="L109" s="1178"/>
      <c r="M109" s="3809" t="s">
        <v>21</v>
      </c>
      <c r="N109" s="3796" t="s">
        <v>92</v>
      </c>
      <c r="O109" s="354"/>
    </row>
    <row r="110" spans="1:15" s="2450" customFormat="1" ht="12.75" hidden="1" customHeight="1">
      <c r="A110" s="3708"/>
      <c r="B110" s="1745" t="s">
        <v>17</v>
      </c>
      <c r="C110" s="3664" t="s">
        <v>76</v>
      </c>
      <c r="D110" s="1204">
        <f>+D111</f>
        <v>0</v>
      </c>
      <c r="E110" s="1198">
        <f t="shared" si="75"/>
        <v>0</v>
      </c>
      <c r="F110" s="1198"/>
      <c r="G110" s="1198"/>
      <c r="H110" s="1198"/>
      <c r="I110" s="1198"/>
      <c r="J110" s="1198"/>
      <c r="K110" s="1198"/>
      <c r="L110" s="1204"/>
      <c r="M110" s="3810"/>
      <c r="N110" s="3796"/>
    </row>
    <row r="111" spans="1:15" s="2450" customFormat="1" ht="12.75" hidden="1" customHeight="1" thickBot="1">
      <c r="A111" s="3708"/>
      <c r="B111" s="603" t="s">
        <v>19</v>
      </c>
      <c r="C111" s="3666"/>
      <c r="D111" s="1636">
        <f>E111+L111+F111+G111+H111+I111+J111+K111</f>
        <v>0</v>
      </c>
      <c r="E111" s="1636"/>
      <c r="F111" s="364"/>
      <c r="G111" s="364"/>
      <c r="H111" s="364"/>
      <c r="I111" s="364"/>
      <c r="J111" s="364"/>
      <c r="K111" s="364"/>
      <c r="L111" s="2460"/>
      <c r="M111" s="3811"/>
      <c r="N111" s="3796"/>
    </row>
    <row r="112" spans="1:15" s="2450" customFormat="1" ht="18" customHeight="1" thickBot="1">
      <c r="A112" s="3031"/>
      <c r="B112" s="231" t="s">
        <v>458</v>
      </c>
      <c r="C112" s="355"/>
      <c r="D112" s="639"/>
      <c r="E112" s="2448"/>
      <c r="F112" s="640"/>
      <c r="G112" s="640"/>
      <c r="H112" s="640"/>
      <c r="I112" s="640"/>
      <c r="J112" s="640"/>
      <c r="K112" s="640"/>
      <c r="L112" s="640"/>
      <c r="M112" s="2449"/>
      <c r="N112" s="1944"/>
    </row>
    <row r="113" spans="1:16" s="2450" customFormat="1" ht="40.5" hidden="1" customHeight="1">
      <c r="A113" s="3707"/>
      <c r="B113" s="335" t="s">
        <v>412</v>
      </c>
      <c r="C113" s="48"/>
      <c r="D113" s="49"/>
      <c r="E113" s="35"/>
      <c r="F113" s="35"/>
      <c r="G113" s="35"/>
      <c r="H113" s="35"/>
      <c r="I113" s="35"/>
      <c r="J113" s="35"/>
      <c r="K113" s="35"/>
      <c r="L113" s="35"/>
      <c r="M113" s="36"/>
      <c r="N113" s="1945"/>
      <c r="O113" s="196"/>
    </row>
    <row r="114" spans="1:16" s="2450" customFormat="1" ht="13.5" hidden="1" customHeight="1">
      <c r="A114" s="3669"/>
      <c r="B114" s="1176" t="s">
        <v>9</v>
      </c>
      <c r="C114" s="2848" t="s">
        <v>72</v>
      </c>
      <c r="D114" s="1191">
        <f>+D115+D119</f>
        <v>0</v>
      </c>
      <c r="E114" s="1222">
        <f t="shared" ref="E114" si="76">+E115+E119</f>
        <v>0</v>
      </c>
      <c r="F114" s="1222"/>
      <c r="G114" s="1222"/>
      <c r="H114" s="1222"/>
      <c r="I114" s="1222"/>
      <c r="J114" s="1222"/>
      <c r="K114" s="1222"/>
      <c r="L114" s="1222">
        <f t="shared" ref="L114" si="77">+L115+L119</f>
        <v>0</v>
      </c>
      <c r="M114" s="2849">
        <f>M115+M119</f>
        <v>0</v>
      </c>
      <c r="N114" s="3790" t="s">
        <v>77</v>
      </c>
      <c r="O114" s="3821" t="s">
        <v>344</v>
      </c>
    </row>
    <row r="115" spans="1:16" s="2450" customFormat="1" ht="14.25" hidden="1" customHeight="1">
      <c r="A115" s="3670"/>
      <c r="B115" s="1185" t="s">
        <v>22</v>
      </c>
      <c r="C115" s="3664" t="s">
        <v>75</v>
      </c>
      <c r="D115" s="1192">
        <f>+D116+D117+D118</f>
        <v>0</v>
      </c>
      <c r="E115" s="1192">
        <f t="shared" ref="E115" si="78">+E116+E117+E118</f>
        <v>0</v>
      </c>
      <c r="F115" s="1192"/>
      <c r="G115" s="1192"/>
      <c r="H115" s="1192"/>
      <c r="I115" s="1192"/>
      <c r="J115" s="1192"/>
      <c r="K115" s="1192"/>
      <c r="L115" s="1192">
        <f t="shared" ref="L115" si="79">+L116+L117+L118</f>
        <v>0</v>
      </c>
      <c r="M115" s="2461">
        <f>M116</f>
        <v>0</v>
      </c>
      <c r="N115" s="3728"/>
      <c r="O115" s="3821"/>
    </row>
    <row r="116" spans="1:16" s="2450" customFormat="1" ht="12.75" hidden="1" customHeight="1">
      <c r="A116" s="3670"/>
      <c r="B116" s="1254" t="s">
        <v>11</v>
      </c>
      <c r="C116" s="3722"/>
      <c r="D116" s="1115">
        <f>E116+L116+F116+G116+H116+I116+J116+K116</f>
        <v>0</v>
      </c>
      <c r="E116" s="1155"/>
      <c r="F116" s="2302"/>
      <c r="G116" s="2302"/>
      <c r="H116" s="2302"/>
      <c r="I116" s="2302"/>
      <c r="J116" s="2302"/>
      <c r="K116" s="2302"/>
      <c r="L116" s="2302"/>
      <c r="M116" s="1195">
        <f>SUM(F116:K116)</f>
        <v>0</v>
      </c>
      <c r="N116" s="3728"/>
      <c r="O116" s="3821"/>
    </row>
    <row r="117" spans="1:16" s="2450" customFormat="1" ht="14.25" hidden="1" customHeight="1">
      <c r="A117" s="3670"/>
      <c r="B117" s="1206" t="s">
        <v>16</v>
      </c>
      <c r="C117" s="3665"/>
      <c r="D117" s="1115">
        <f>SUM(E117:H117)</f>
        <v>0</v>
      </c>
      <c r="E117" s="1210"/>
      <c r="F117" s="1210"/>
      <c r="G117" s="1210"/>
      <c r="H117" s="1210"/>
      <c r="I117" s="1210"/>
      <c r="J117" s="1210"/>
      <c r="K117" s="1210"/>
      <c r="L117" s="1184"/>
      <c r="M117" s="2462"/>
      <c r="N117" s="3728"/>
      <c r="O117" s="3821"/>
    </row>
    <row r="118" spans="1:16" s="2450" customFormat="1" ht="14.25" hidden="1" customHeight="1">
      <c r="A118" s="3670"/>
      <c r="B118" s="1206" t="s">
        <v>14</v>
      </c>
      <c r="C118" s="3665"/>
      <c r="D118" s="1115">
        <f>SUM(E118:H118)</f>
        <v>0</v>
      </c>
      <c r="E118" s="1210"/>
      <c r="F118" s="1210"/>
      <c r="G118" s="1210"/>
      <c r="H118" s="1210"/>
      <c r="I118" s="1210"/>
      <c r="J118" s="1210"/>
      <c r="K118" s="1210"/>
      <c r="L118" s="1184"/>
      <c r="M118" s="2462"/>
      <c r="N118" s="3728"/>
      <c r="O118" s="3821"/>
    </row>
    <row r="119" spans="1:16" s="2450" customFormat="1" ht="14.25" hidden="1" customHeight="1">
      <c r="A119" s="3670"/>
      <c r="B119" s="1212" t="s">
        <v>17</v>
      </c>
      <c r="C119" s="3665"/>
      <c r="D119" s="1181">
        <f>+D120</f>
        <v>0</v>
      </c>
      <c r="E119" s="1181">
        <f t="shared" ref="E119" si="80">+E120</f>
        <v>0</v>
      </c>
      <c r="F119" s="1181"/>
      <c r="G119" s="1181"/>
      <c r="H119" s="1187"/>
      <c r="I119" s="1181"/>
      <c r="J119" s="1181"/>
      <c r="K119" s="1181"/>
      <c r="L119" s="1181"/>
      <c r="M119" s="2461">
        <f>M120</f>
        <v>0</v>
      </c>
      <c r="N119" s="3728"/>
      <c r="O119" s="3821"/>
    </row>
    <row r="120" spans="1:16" s="2450" customFormat="1" ht="12.75" hidden="1" customHeight="1">
      <c r="A120" s="3670"/>
      <c r="B120" s="2161" t="s">
        <v>19</v>
      </c>
      <c r="C120" s="3696"/>
      <c r="D120" s="1115">
        <f>E120+L120+F120+G120+H120+I120+J120+K120</f>
        <v>0</v>
      </c>
      <c r="E120" s="1155"/>
      <c r="F120" s="1210"/>
      <c r="G120" s="1210"/>
      <c r="H120" s="1210"/>
      <c r="I120" s="1184"/>
      <c r="J120" s="1184"/>
      <c r="K120" s="1184"/>
      <c r="L120" s="1184"/>
      <c r="M120" s="1195">
        <f>SUM(F120:K120)</f>
        <v>0</v>
      </c>
      <c r="N120" s="3713"/>
      <c r="O120" s="3821"/>
    </row>
    <row r="121" spans="1:16" s="2450" customFormat="1" ht="21.75" hidden="1" customHeight="1">
      <c r="A121" s="3671"/>
      <c r="B121" s="1176" t="s">
        <v>20</v>
      </c>
      <c r="C121" s="458" t="s">
        <v>307</v>
      </c>
      <c r="D121" s="1178">
        <f>+D125+D122</f>
        <v>0</v>
      </c>
      <c r="E121" s="1178">
        <f t="shared" ref="E121" si="81">+E125+E122</f>
        <v>0</v>
      </c>
      <c r="F121" s="1178"/>
      <c r="G121" s="1178"/>
      <c r="H121" s="1178"/>
      <c r="I121" s="1178"/>
      <c r="J121" s="1178"/>
      <c r="K121" s="1178"/>
      <c r="L121" s="1178">
        <f>+L125+L122</f>
        <v>0</v>
      </c>
      <c r="M121" s="3757" t="s">
        <v>21</v>
      </c>
      <c r="N121" s="3742" t="s">
        <v>92</v>
      </c>
      <c r="O121" s="2463"/>
      <c r="P121" s="2463">
        <v>-1217020</v>
      </c>
    </row>
    <row r="122" spans="1:16" s="2450" customFormat="1" ht="14.25" hidden="1" customHeight="1">
      <c r="A122" s="3671"/>
      <c r="B122" s="1185" t="s">
        <v>22</v>
      </c>
      <c r="C122" s="3664" t="s">
        <v>204</v>
      </c>
      <c r="D122" s="43">
        <f>+D123+D124</f>
        <v>0</v>
      </c>
      <c r="E122" s="43">
        <f t="shared" ref="E122" si="82">+E123+E124</f>
        <v>0</v>
      </c>
      <c r="F122" s="43"/>
      <c r="G122" s="43"/>
      <c r="H122" s="43"/>
      <c r="I122" s="43"/>
      <c r="J122" s="43"/>
      <c r="K122" s="43"/>
      <c r="L122" s="43">
        <f>+L123+L124</f>
        <v>0</v>
      </c>
      <c r="M122" s="3717"/>
      <c r="N122" s="3705"/>
    </row>
    <row r="123" spans="1:16" s="2450" customFormat="1" ht="14.25" hidden="1" customHeight="1">
      <c r="A123" s="3671"/>
      <c r="B123" s="1206" t="s">
        <v>16</v>
      </c>
      <c r="C123" s="3722"/>
      <c r="D123" s="1115">
        <f>E123+L123+F123+G123+H123+I123+J123+K123</f>
        <v>0</v>
      </c>
      <c r="E123" s="1230"/>
      <c r="F123" s="1197"/>
      <c r="G123" s="1197"/>
      <c r="H123" s="1197"/>
      <c r="I123" s="1197"/>
      <c r="J123" s="1197"/>
      <c r="K123" s="1197"/>
      <c r="L123" s="1197">
        <v>0</v>
      </c>
      <c r="M123" s="3717"/>
      <c r="N123" s="3705"/>
    </row>
    <row r="124" spans="1:16" s="2450" customFormat="1" ht="13.5" hidden="1" customHeight="1" thickBot="1">
      <c r="A124" s="3672"/>
      <c r="B124" s="712" t="s">
        <v>14</v>
      </c>
      <c r="C124" s="3723"/>
      <c r="D124" s="1636">
        <f>E124+L124+F124+G124+H124+I124+J124+K124</f>
        <v>0</v>
      </c>
      <c r="E124" s="1682"/>
      <c r="F124" s="1682"/>
      <c r="G124" s="1682"/>
      <c r="H124" s="1682"/>
      <c r="I124" s="1682"/>
      <c r="J124" s="1682"/>
      <c r="K124" s="1682"/>
      <c r="L124" s="1682">
        <v>0</v>
      </c>
      <c r="M124" s="3718"/>
      <c r="N124" s="3706"/>
    </row>
    <row r="125" spans="1:16" s="2450" customFormat="1" ht="14.25" hidden="1" customHeight="1">
      <c r="A125" s="3671"/>
      <c r="B125" s="669" t="s">
        <v>17</v>
      </c>
      <c r="C125" s="3722"/>
      <c r="D125" s="43">
        <f>+D127+D126</f>
        <v>0</v>
      </c>
      <c r="E125" s="43">
        <f t="shared" ref="E125" si="83">+E127+E126</f>
        <v>0</v>
      </c>
      <c r="F125" s="1582"/>
      <c r="G125" s="1582"/>
      <c r="H125" s="1582"/>
      <c r="I125" s="1582"/>
      <c r="J125" s="1582"/>
      <c r="K125" s="1582"/>
      <c r="L125" s="43">
        <f>+L127+L126</f>
        <v>0</v>
      </c>
      <c r="M125" s="3717"/>
      <c r="N125" s="3705"/>
    </row>
    <row r="126" spans="1:16" s="2450" customFormat="1" ht="14.25" hidden="1" customHeight="1">
      <c r="A126" s="3671"/>
      <c r="B126" s="1206" t="s">
        <v>16</v>
      </c>
      <c r="C126" s="3722"/>
      <c r="D126" s="1115">
        <f>E126+L126+F126+G126+H126+I126+J126+K126</f>
        <v>0</v>
      </c>
      <c r="E126" s="1209"/>
      <c r="F126" s="1230"/>
      <c r="G126" s="1230"/>
      <c r="H126" s="1230"/>
      <c r="I126" s="1230"/>
      <c r="J126" s="1230"/>
      <c r="K126" s="1230"/>
      <c r="L126" s="1210"/>
      <c r="M126" s="3717"/>
      <c r="N126" s="3705"/>
    </row>
    <row r="127" spans="1:16" s="2464" customFormat="1" ht="14.25" hidden="1" customHeight="1" thickBot="1">
      <c r="A127" s="3672"/>
      <c r="B127" s="2850" t="s">
        <v>19</v>
      </c>
      <c r="C127" s="3723"/>
      <c r="D127" s="1115">
        <f>E127+L127+F127+G127+H127+I127+J127+K127</f>
        <v>0</v>
      </c>
      <c r="E127" s="1155"/>
      <c r="F127" s="2851"/>
      <c r="G127" s="2851"/>
      <c r="H127" s="2851"/>
      <c r="I127" s="2851"/>
      <c r="J127" s="2851"/>
      <c r="K127" s="2851"/>
      <c r="L127" s="1785"/>
      <c r="M127" s="3718"/>
      <c r="N127" s="3706"/>
    </row>
    <row r="128" spans="1:16" ht="27" customHeight="1">
      <c r="A128" s="3669" t="s">
        <v>54</v>
      </c>
      <c r="B128" s="61" t="s">
        <v>524</v>
      </c>
      <c r="C128" s="48"/>
      <c r="D128" s="915"/>
      <c r="E128" s="2098"/>
      <c r="F128" s="2098"/>
      <c r="G128" s="2098"/>
      <c r="H128" s="2098"/>
      <c r="I128" s="2098"/>
      <c r="J128" s="2098"/>
      <c r="K128" s="34"/>
      <c r="L128" s="2098"/>
      <c r="M128" s="2452"/>
      <c r="N128" s="37"/>
    </row>
    <row r="129" spans="1:16" ht="14.25" customHeight="1">
      <c r="A129" s="3670"/>
      <c r="B129" s="1793" t="s">
        <v>9</v>
      </c>
      <c r="C129" s="2848" t="s">
        <v>72</v>
      </c>
      <c r="D129" s="1191">
        <f t="shared" ref="D129:F129" si="84">+D130+D134</f>
        <v>41962510</v>
      </c>
      <c r="E129" s="1191">
        <f t="shared" ref="E129" si="85">+E130+E134</f>
        <v>41885510</v>
      </c>
      <c r="F129" s="1191">
        <f t="shared" si="84"/>
        <v>15124</v>
      </c>
      <c r="G129" s="1191">
        <f t="shared" ref="G129" si="86">+G130+G134</f>
        <v>61876</v>
      </c>
      <c r="H129" s="1191"/>
      <c r="I129" s="1191"/>
      <c r="J129" s="1191"/>
      <c r="K129" s="1191"/>
      <c r="L129" s="1191">
        <f>+L130+L134</f>
        <v>0</v>
      </c>
      <c r="M129" s="1179">
        <f>M130+M134</f>
        <v>61876</v>
      </c>
      <c r="N129" s="3728" t="s">
        <v>77</v>
      </c>
    </row>
    <row r="130" spans="1:16" ht="12" customHeight="1">
      <c r="A130" s="3670"/>
      <c r="B130" s="1196" t="s">
        <v>22</v>
      </c>
      <c r="C130" s="3664" t="s">
        <v>75</v>
      </c>
      <c r="D130" s="1192">
        <f>+D131+D132+D133</f>
        <v>4841589</v>
      </c>
      <c r="E130" s="1192">
        <f t="shared" ref="E130" si="87">+E131+E132+E133</f>
        <v>4764589</v>
      </c>
      <c r="F130" s="1192">
        <f t="shared" ref="F130" si="88">+F131+F132+F133</f>
        <v>15124</v>
      </c>
      <c r="G130" s="1192">
        <f t="shared" ref="G130" si="89">+G131+G132+G133</f>
        <v>61876</v>
      </c>
      <c r="H130" s="1192"/>
      <c r="I130" s="1192"/>
      <c r="J130" s="1192"/>
      <c r="K130" s="1192"/>
      <c r="L130" s="1192">
        <f>+L131+L132+L133</f>
        <v>0</v>
      </c>
      <c r="M130" s="1182">
        <f>+M131+M133</f>
        <v>61876</v>
      </c>
      <c r="N130" s="3728"/>
      <c r="O130" s="196" t="s">
        <v>364</v>
      </c>
    </row>
    <row r="131" spans="1:16" ht="11.25" customHeight="1">
      <c r="A131" s="3670"/>
      <c r="B131" s="1206" t="s">
        <v>11</v>
      </c>
      <c r="C131" s="3722"/>
      <c r="D131" s="1115">
        <f>E131+L131+F131+G131+H131+I131+J131+K131</f>
        <v>3341589</v>
      </c>
      <c r="E131" s="1155">
        <f>2234734+1029855</f>
        <v>3264589</v>
      </c>
      <c r="F131" s="1193">
        <f>77000-61876</f>
        <v>15124</v>
      </c>
      <c r="G131" s="1193">
        <v>61876</v>
      </c>
      <c r="H131" s="1194"/>
      <c r="I131" s="1194"/>
      <c r="J131" s="1194"/>
      <c r="K131" s="1194"/>
      <c r="L131" s="1155">
        <v>0</v>
      </c>
      <c r="M131" s="1195">
        <f>SUM(G131:K131)</f>
        <v>61876</v>
      </c>
      <c r="N131" s="3728"/>
    </row>
    <row r="132" spans="1:16" ht="12" hidden="1" customHeight="1">
      <c r="A132" s="3670"/>
      <c r="B132" s="2160" t="s">
        <v>16</v>
      </c>
      <c r="C132" s="3722"/>
      <c r="D132" s="1115">
        <f>E132+L132+F132+G132+H132+I132+J132+K132</f>
        <v>0</v>
      </c>
      <c r="E132" s="1190"/>
      <c r="F132" s="1194"/>
      <c r="G132" s="1194"/>
      <c r="H132" s="1194"/>
      <c r="I132" s="175"/>
      <c r="J132" s="175"/>
      <c r="K132" s="175"/>
      <c r="L132" s="1194"/>
      <c r="M132" s="2451"/>
      <c r="N132" s="3728"/>
    </row>
    <row r="133" spans="1:16" ht="12" customHeight="1">
      <c r="A133" s="3670"/>
      <c r="B133" s="1206" t="s">
        <v>14</v>
      </c>
      <c r="C133" s="3722"/>
      <c r="D133" s="1115">
        <f>E133+L133+F133+G133+H133+I133+J133+K133</f>
        <v>1500000</v>
      </c>
      <c r="E133" s="1155">
        <f>1000000+500000</f>
        <v>1500000</v>
      </c>
      <c r="F133" s="1194"/>
      <c r="G133" s="1194"/>
      <c r="H133" s="1194"/>
      <c r="I133" s="1190"/>
      <c r="J133" s="1190"/>
      <c r="K133" s="1190"/>
      <c r="L133" s="1194">
        <v>0</v>
      </c>
      <c r="M133" s="1195">
        <f>SUM(G133:K133)</f>
        <v>0</v>
      </c>
      <c r="N133" s="3728"/>
    </row>
    <row r="134" spans="1:16">
      <c r="A134" s="3670"/>
      <c r="B134" s="1779" t="s">
        <v>17</v>
      </c>
      <c r="C134" s="3722"/>
      <c r="D134" s="1181">
        <f t="shared" ref="D134:E134" si="90">+D135+D136</f>
        <v>37120921</v>
      </c>
      <c r="E134" s="1181">
        <f t="shared" si="90"/>
        <v>37120921</v>
      </c>
      <c r="F134" s="1181"/>
      <c r="G134" s="1181"/>
      <c r="H134" s="1181"/>
      <c r="I134" s="1181"/>
      <c r="J134" s="1181"/>
      <c r="K134" s="1181"/>
      <c r="L134" s="1181">
        <f>+L135+L136</f>
        <v>0</v>
      </c>
      <c r="M134" s="1182">
        <f>+M135+M136</f>
        <v>0</v>
      </c>
      <c r="N134" s="3728"/>
    </row>
    <row r="135" spans="1:16" ht="12" hidden="1" customHeight="1">
      <c r="A135" s="3670"/>
      <c r="B135" s="2160" t="s">
        <v>16</v>
      </c>
      <c r="C135" s="3722"/>
      <c r="D135" s="1197">
        <v>0</v>
      </c>
      <c r="E135" s="2246"/>
      <c r="F135" s="1194"/>
      <c r="G135" s="1194"/>
      <c r="H135" s="1194"/>
      <c r="I135" s="175"/>
      <c r="J135" s="175"/>
      <c r="K135" s="175"/>
      <c r="L135" s="1194"/>
      <c r="M135" s="2451"/>
      <c r="N135" s="3728"/>
    </row>
    <row r="136" spans="1:16" ht="12" customHeight="1">
      <c r="A136" s="3670"/>
      <c r="B136" s="2160" t="s">
        <v>19</v>
      </c>
      <c r="C136" s="3789"/>
      <c r="D136" s="1115">
        <f>E136+L136+F136+G136+H136+I136+J136+K136</f>
        <v>37120921</v>
      </c>
      <c r="E136" s="1155">
        <f>17911168+19209753</f>
        <v>37120921</v>
      </c>
      <c r="F136" s="1194"/>
      <c r="G136" s="1194"/>
      <c r="H136" s="1194"/>
      <c r="I136" s="1194"/>
      <c r="J136" s="1194"/>
      <c r="K136" s="1194"/>
      <c r="L136" s="1155">
        <v>0</v>
      </c>
      <c r="M136" s="1195">
        <f>SUM(G136:K136)</f>
        <v>0</v>
      </c>
      <c r="N136" s="3713"/>
      <c r="O136" s="354">
        <f>D136-D143</f>
        <v>0</v>
      </c>
    </row>
    <row r="137" spans="1:16" ht="21.75" customHeight="1">
      <c r="A137" s="3670"/>
      <c r="B137" s="160" t="s">
        <v>20</v>
      </c>
      <c r="C137" s="458" t="s">
        <v>307</v>
      </c>
      <c r="D137" s="1178">
        <f t="shared" ref="D137:F137" si="91">+D141+D138</f>
        <v>38620921</v>
      </c>
      <c r="E137" s="1178">
        <f>+E138+E141</f>
        <v>37953684</v>
      </c>
      <c r="F137" s="1178">
        <f t="shared" si="91"/>
        <v>667237</v>
      </c>
      <c r="G137" s="1178"/>
      <c r="H137" s="1178"/>
      <c r="I137" s="1178"/>
      <c r="J137" s="1178"/>
      <c r="K137" s="1178"/>
      <c r="L137" s="1178">
        <f>+L141+L138</f>
        <v>0</v>
      </c>
      <c r="M137" s="3692" t="s">
        <v>21</v>
      </c>
      <c r="N137" s="3742" t="s">
        <v>92</v>
      </c>
      <c r="O137" s="354"/>
      <c r="P137" s="354">
        <v>-14140496</v>
      </c>
    </row>
    <row r="138" spans="1:16">
      <c r="A138" s="3670"/>
      <c r="B138" s="1196" t="s">
        <v>22</v>
      </c>
      <c r="C138" s="3664" t="s">
        <v>431</v>
      </c>
      <c r="D138" s="1181">
        <f>+D139+D140</f>
        <v>1500000</v>
      </c>
      <c r="E138" s="1181">
        <f>+E140</f>
        <v>1500000</v>
      </c>
      <c r="F138" s="1419">
        <f>+F139+F140</f>
        <v>0</v>
      </c>
      <c r="G138" s="1181"/>
      <c r="H138" s="1181"/>
      <c r="I138" s="1181"/>
      <c r="J138" s="1181"/>
      <c r="K138" s="1181"/>
      <c r="L138" s="1181">
        <f>+L139+L140</f>
        <v>0</v>
      </c>
      <c r="M138" s="3693"/>
      <c r="N138" s="3705"/>
    </row>
    <row r="139" spans="1:16" ht="12" hidden="1" customHeight="1">
      <c r="A139" s="3670"/>
      <c r="B139" s="1206" t="s">
        <v>16</v>
      </c>
      <c r="C139" s="3722"/>
      <c r="D139" s="1115">
        <f>SUM(E139:H139)</f>
        <v>0</v>
      </c>
      <c r="E139" s="2852"/>
      <c r="F139" s="2795"/>
      <c r="G139" s="1197"/>
      <c r="H139" s="1197"/>
      <c r="I139" s="1197"/>
      <c r="J139" s="1197"/>
      <c r="K139" s="1197"/>
      <c r="L139" s="1197">
        <v>0</v>
      </c>
      <c r="M139" s="3693"/>
      <c r="N139" s="3705"/>
    </row>
    <row r="140" spans="1:16">
      <c r="A140" s="3670"/>
      <c r="B140" s="1206" t="s">
        <v>14</v>
      </c>
      <c r="C140" s="3722"/>
      <c r="D140" s="1115">
        <f>E140+L140+F140+G140+H140+I140+J140+K140</f>
        <v>1500000</v>
      </c>
      <c r="E140" s="1155">
        <f>1000000+500000</f>
        <v>1500000</v>
      </c>
      <c r="F140" s="2795">
        <v>0</v>
      </c>
      <c r="G140" s="1197"/>
      <c r="H140" s="1197"/>
      <c r="I140" s="1197"/>
      <c r="J140" s="1197"/>
      <c r="K140" s="1197"/>
      <c r="L140" s="1197">
        <v>0</v>
      </c>
      <c r="M140" s="3693"/>
      <c r="N140" s="3705"/>
    </row>
    <row r="141" spans="1:16" ht="13.5" customHeight="1">
      <c r="A141" s="3670"/>
      <c r="B141" s="2352" t="s">
        <v>17</v>
      </c>
      <c r="C141" s="3722"/>
      <c r="D141" s="1198">
        <f t="shared" ref="D141" si="92">+D142+D143</f>
        <v>37120921</v>
      </c>
      <c r="E141" s="1198">
        <f>+E143</f>
        <v>36453684</v>
      </c>
      <c r="F141" s="1430">
        <f>+F142+F143</f>
        <v>667237</v>
      </c>
      <c r="G141" s="1430"/>
      <c r="H141" s="1430"/>
      <c r="I141" s="1430"/>
      <c r="J141" s="1430"/>
      <c r="K141" s="1430"/>
      <c r="L141" s="1430">
        <f>+L142+L143</f>
        <v>0</v>
      </c>
      <c r="M141" s="3693"/>
      <c r="N141" s="3705"/>
    </row>
    <row r="142" spans="1:16" ht="12" hidden="1" customHeight="1">
      <c r="A142" s="3670"/>
      <c r="B142" s="2160" t="s">
        <v>16</v>
      </c>
      <c r="C142" s="3722"/>
      <c r="D142" s="1115">
        <f>SUM(E142:H142)</f>
        <v>0</v>
      </c>
      <c r="E142" s="2852"/>
      <c r="F142" s="1197"/>
      <c r="G142" s="1197"/>
      <c r="H142" s="1197"/>
      <c r="I142" s="1197"/>
      <c r="J142" s="1197"/>
      <c r="K142" s="1197"/>
      <c r="L142" s="1197"/>
      <c r="M142" s="3693"/>
      <c r="N142" s="3705"/>
    </row>
    <row r="143" spans="1:16" ht="14.25" customHeight="1" thickBot="1">
      <c r="A143" s="3738"/>
      <c r="B143" s="1043" t="s">
        <v>19</v>
      </c>
      <c r="C143" s="3723"/>
      <c r="D143" s="1636">
        <f>E143+L143+F143+G143+H143+I143+J143+K143</f>
        <v>37120921</v>
      </c>
      <c r="E143" s="1410">
        <f>13036781+23546022-129119</f>
        <v>36453684</v>
      </c>
      <c r="F143" s="1044">
        <f>552280-14162+129119</f>
        <v>667237</v>
      </c>
      <c r="G143" s="1044"/>
      <c r="H143" s="1044"/>
      <c r="I143" s="1044"/>
      <c r="J143" s="1431"/>
      <c r="K143" s="1431"/>
      <c r="L143" s="1636">
        <v>0</v>
      </c>
      <c r="M143" s="3694"/>
      <c r="N143" s="3706"/>
    </row>
    <row r="144" spans="1:16" ht="30" hidden="1" customHeight="1">
      <c r="A144" s="3670"/>
      <c r="B144" s="346" t="s">
        <v>413</v>
      </c>
      <c r="C144" s="684"/>
      <c r="D144" s="3567"/>
      <c r="E144" s="3095"/>
      <c r="F144" s="3095"/>
      <c r="G144" s="3095"/>
      <c r="H144" s="3095"/>
      <c r="I144" s="3095"/>
      <c r="J144" s="3095"/>
      <c r="K144" s="3095"/>
      <c r="L144" s="3095"/>
      <c r="M144" s="3103"/>
      <c r="N144" s="1774"/>
    </row>
    <row r="145" spans="1:16" ht="13.5" hidden="1" customHeight="1">
      <c r="A145" s="3670"/>
      <c r="B145" s="1722" t="s">
        <v>9</v>
      </c>
      <c r="C145" s="2848" t="s">
        <v>72</v>
      </c>
      <c r="D145" s="1191">
        <f t="shared" ref="D145" si="93">+D146+D149</f>
        <v>0</v>
      </c>
      <c r="E145" s="1222">
        <f>+E146+E149</f>
        <v>0</v>
      </c>
      <c r="F145" s="1222"/>
      <c r="G145" s="1222"/>
      <c r="H145" s="1222"/>
      <c r="I145" s="1222"/>
      <c r="J145" s="1222"/>
      <c r="K145" s="1222"/>
      <c r="L145" s="1222">
        <f>+L146+L149</f>
        <v>0</v>
      </c>
      <c r="M145" s="1179">
        <f>M146+M149</f>
        <v>0</v>
      </c>
      <c r="N145" s="3728" t="s">
        <v>77</v>
      </c>
      <c r="O145" s="354"/>
    </row>
    <row r="146" spans="1:16" ht="13.5" hidden="1" customHeight="1">
      <c r="A146" s="3670"/>
      <c r="B146" s="1743" t="s">
        <v>22</v>
      </c>
      <c r="C146" s="3664" t="s">
        <v>75</v>
      </c>
      <c r="D146" s="1192">
        <f>+D147+D148</f>
        <v>0</v>
      </c>
      <c r="E146" s="1192">
        <f>+E147</f>
        <v>0</v>
      </c>
      <c r="F146" s="1192"/>
      <c r="G146" s="1192"/>
      <c r="H146" s="1192"/>
      <c r="I146" s="1192"/>
      <c r="J146" s="1192"/>
      <c r="K146" s="1192"/>
      <c r="L146" s="1192">
        <f>+L147+L148</f>
        <v>0</v>
      </c>
      <c r="M146" s="1182">
        <f>M147</f>
        <v>0</v>
      </c>
      <c r="N146" s="3728"/>
      <c r="O146" s="354"/>
    </row>
    <row r="147" spans="1:16" ht="11.25" hidden="1" customHeight="1">
      <c r="A147" s="3670"/>
      <c r="B147" s="1744" t="s">
        <v>11</v>
      </c>
      <c r="C147" s="3665"/>
      <c r="D147" s="1115">
        <f>E147+L147+F147+G147+H147+I147+J147+K147</f>
        <v>0</v>
      </c>
      <c r="E147" s="1155"/>
      <c r="F147" s="1155"/>
      <c r="G147" s="1155"/>
      <c r="H147" s="1155"/>
      <c r="I147" s="1155"/>
      <c r="J147" s="1155"/>
      <c r="K147" s="1155"/>
      <c r="L147" s="1155"/>
      <c r="M147" s="1195">
        <f>SUM(F147:K147)</f>
        <v>0</v>
      </c>
      <c r="N147" s="3728"/>
      <c r="O147" s="354"/>
    </row>
    <row r="148" spans="1:16" ht="10.5" hidden="1" customHeight="1">
      <c r="A148" s="3670"/>
      <c r="B148" s="1045" t="s">
        <v>14</v>
      </c>
      <c r="C148" s="3665"/>
      <c r="D148" s="1115">
        <f>SUM(E148:H148)</f>
        <v>0</v>
      </c>
      <c r="E148" s="1209">
        <v>0</v>
      </c>
      <c r="F148" s="1210"/>
      <c r="G148" s="1210"/>
      <c r="H148" s="1210"/>
      <c r="I148" s="175"/>
      <c r="J148" s="175"/>
      <c r="K148" s="175"/>
      <c r="L148" s="1210"/>
      <c r="M148" s="2451"/>
      <c r="N148" s="3728"/>
    </row>
    <row r="149" spans="1:16" ht="12.75" hidden="1" customHeight="1">
      <c r="A149" s="3670"/>
      <c r="B149" s="1745" t="s">
        <v>17</v>
      </c>
      <c r="C149" s="3665"/>
      <c r="D149" s="1181">
        <f>+D150</f>
        <v>0</v>
      </c>
      <c r="E149" s="1187">
        <f>+E150</f>
        <v>0</v>
      </c>
      <c r="F149" s="1187"/>
      <c r="G149" s="1187"/>
      <c r="H149" s="1187"/>
      <c r="I149" s="1181"/>
      <c r="J149" s="1181"/>
      <c r="K149" s="1181"/>
      <c r="L149" s="1187">
        <f t="shared" ref="L149" si="94">+L150</f>
        <v>0</v>
      </c>
      <c r="M149" s="1182">
        <f>M150</f>
        <v>0</v>
      </c>
      <c r="N149" s="3728"/>
    </row>
    <row r="150" spans="1:16" ht="12" hidden="1" customHeight="1">
      <c r="A150" s="3670"/>
      <c r="B150" s="1744" t="s">
        <v>19</v>
      </c>
      <c r="C150" s="3696"/>
      <c r="D150" s="1160">
        <f>E150+L150+F150+G150+H150+I150+J150+K150</f>
        <v>0</v>
      </c>
      <c r="E150" s="1155"/>
      <c r="F150" s="1155"/>
      <c r="G150" s="1190"/>
      <c r="H150" s="1190"/>
      <c r="I150" s="1194"/>
      <c r="J150" s="1194"/>
      <c r="K150" s="1194"/>
      <c r="L150" s="1155"/>
      <c r="M150" s="1195">
        <f>SUM(F150:K150)</f>
        <v>0</v>
      </c>
      <c r="N150" s="3713"/>
    </row>
    <row r="151" spans="1:16" ht="23.25" hidden="1" customHeight="1" thickBot="1">
      <c r="A151" s="3671"/>
      <c r="B151" s="77" t="s">
        <v>20</v>
      </c>
      <c r="C151" s="458" t="s">
        <v>307</v>
      </c>
      <c r="D151" s="82">
        <f t="shared" ref="D151" si="95">+D152+D154</f>
        <v>0</v>
      </c>
      <c r="E151" s="197">
        <f>+E154</f>
        <v>0</v>
      </c>
      <c r="F151" s="197"/>
      <c r="G151" s="197"/>
      <c r="H151" s="197"/>
      <c r="I151" s="197"/>
      <c r="J151" s="197"/>
      <c r="K151" s="197"/>
      <c r="L151" s="197">
        <f>+L152+L154</f>
        <v>0</v>
      </c>
      <c r="M151" s="3757" t="s">
        <v>21</v>
      </c>
      <c r="N151" s="3752" t="s">
        <v>92</v>
      </c>
      <c r="O151" s="354"/>
      <c r="P151" s="354">
        <v>-1435987</v>
      </c>
    </row>
    <row r="152" spans="1:16" ht="13.5" hidden="1" customHeight="1">
      <c r="A152" s="3671"/>
      <c r="B152" s="1185" t="s">
        <v>22</v>
      </c>
      <c r="C152" s="3759" t="s">
        <v>214</v>
      </c>
      <c r="D152" s="43">
        <f>+D153</f>
        <v>0</v>
      </c>
      <c r="E152" s="219">
        <v>0</v>
      </c>
      <c r="F152" s="43"/>
      <c r="G152" s="43"/>
      <c r="H152" s="43"/>
      <c r="I152" s="43"/>
      <c r="J152" s="43"/>
      <c r="K152" s="43"/>
      <c r="L152" s="43"/>
      <c r="M152" s="3717"/>
      <c r="N152" s="3753"/>
    </row>
    <row r="153" spans="1:16" ht="13.5" hidden="1" customHeight="1" thickBot="1">
      <c r="A153" s="3671"/>
      <c r="B153" s="76" t="s">
        <v>14</v>
      </c>
      <c r="C153" s="3760"/>
      <c r="D153" s="1115">
        <f>SUM(E153:H153)</f>
        <v>0</v>
      </c>
      <c r="E153" s="2795">
        <v>0</v>
      </c>
      <c r="F153" s="1197"/>
      <c r="G153" s="1197"/>
      <c r="H153" s="1197"/>
      <c r="I153" s="1197"/>
      <c r="J153" s="1197"/>
      <c r="K153" s="1197"/>
      <c r="L153" s="1197"/>
      <c r="M153" s="3717"/>
      <c r="N153" s="3753"/>
    </row>
    <row r="154" spans="1:16" ht="12" hidden="1" customHeight="1">
      <c r="A154" s="3671"/>
      <c r="B154" s="1212" t="s">
        <v>17</v>
      </c>
      <c r="C154" s="3760"/>
      <c r="D154" s="1181">
        <f t="shared" ref="D154" si="96">+D155</f>
        <v>0</v>
      </c>
      <c r="E154" s="1187">
        <f>+E155</f>
        <v>0</v>
      </c>
      <c r="F154" s="1187"/>
      <c r="G154" s="1187"/>
      <c r="H154" s="1187"/>
      <c r="I154" s="1187"/>
      <c r="J154" s="1187"/>
      <c r="K154" s="1187"/>
      <c r="L154" s="1187">
        <f>+L155</f>
        <v>0</v>
      </c>
      <c r="M154" s="3717"/>
      <c r="N154" s="3753"/>
    </row>
    <row r="155" spans="1:16" ht="13.5" hidden="1" customHeight="1" thickBot="1">
      <c r="A155" s="3672"/>
      <c r="B155" s="712" t="s">
        <v>19</v>
      </c>
      <c r="C155" s="3761"/>
      <c r="D155" s="1636">
        <f>E155+L155+F155+G155+H155+I155+J155+K155</f>
        <v>0</v>
      </c>
      <c r="E155" s="1636"/>
      <c r="F155" s="1433"/>
      <c r="G155" s="1433"/>
      <c r="H155" s="1433"/>
      <c r="I155" s="1433"/>
      <c r="J155" s="1433"/>
      <c r="K155" s="1433"/>
      <c r="L155" s="1433"/>
      <c r="M155" s="3718"/>
      <c r="N155" s="3754"/>
    </row>
    <row r="156" spans="1:16" ht="24" hidden="1">
      <c r="A156" s="3669" t="s">
        <v>56</v>
      </c>
      <c r="B156" s="61" t="s">
        <v>525</v>
      </c>
      <c r="C156" s="48" t="s">
        <v>72</v>
      </c>
      <c r="D156" s="915"/>
      <c r="E156" s="2098"/>
      <c r="F156" s="2098"/>
      <c r="G156" s="2098"/>
      <c r="H156" s="2098"/>
      <c r="I156" s="2098"/>
      <c r="J156" s="2098"/>
      <c r="K156" s="34"/>
      <c r="L156" s="2098"/>
      <c r="M156" s="36"/>
      <c r="N156" s="74"/>
    </row>
    <row r="157" spans="1:16" ht="12" hidden="1" customHeight="1">
      <c r="A157" s="3670"/>
      <c r="B157" s="1705" t="s">
        <v>9</v>
      </c>
      <c r="C157" s="1999"/>
      <c r="D157" s="1191">
        <f>+D158+D161</f>
        <v>0</v>
      </c>
      <c r="E157" s="1222">
        <f t="shared" ref="E157" si="97">+E158+E161</f>
        <v>0</v>
      </c>
      <c r="F157" s="1222">
        <f>+F158+F161</f>
        <v>0</v>
      </c>
      <c r="G157" s="1222"/>
      <c r="H157" s="1222"/>
      <c r="I157" s="1222"/>
      <c r="J157" s="1222"/>
      <c r="K157" s="1222"/>
      <c r="L157" s="1222">
        <f>+L158+L161</f>
        <v>0</v>
      </c>
      <c r="M157" s="1179">
        <f>M158+M161</f>
        <v>0</v>
      </c>
      <c r="N157" s="3728" t="s">
        <v>77</v>
      </c>
      <c r="O157" s="354"/>
    </row>
    <row r="158" spans="1:16" hidden="1">
      <c r="A158" s="3670"/>
      <c r="B158" s="2159" t="s">
        <v>22</v>
      </c>
      <c r="C158" s="3664" t="s">
        <v>75</v>
      </c>
      <c r="D158" s="1192">
        <f>+D159+D160</f>
        <v>0</v>
      </c>
      <c r="E158" s="1192">
        <f t="shared" ref="E158" si="98">+E159+E160</f>
        <v>0</v>
      </c>
      <c r="F158" s="1192">
        <f>+F159+F160</f>
        <v>0</v>
      </c>
      <c r="G158" s="1192"/>
      <c r="H158" s="1192"/>
      <c r="I158" s="1192"/>
      <c r="J158" s="1192"/>
      <c r="K158" s="1192"/>
      <c r="L158" s="1192">
        <f>+L159+L160</f>
        <v>0</v>
      </c>
      <c r="M158" s="1182">
        <f>M159</f>
        <v>0</v>
      </c>
      <c r="N158" s="3728"/>
      <c r="O158" s="3822" t="s">
        <v>345</v>
      </c>
    </row>
    <row r="159" spans="1:16" ht="11.25" hidden="1" customHeight="1">
      <c r="A159" s="3670"/>
      <c r="B159" s="2160" t="s">
        <v>11</v>
      </c>
      <c r="C159" s="3665"/>
      <c r="D159" s="1115">
        <f>E159+L159+F159+G159+H159+I159+J159+K159</f>
        <v>0</v>
      </c>
      <c r="E159" s="1155"/>
      <c r="F159" s="1155"/>
      <c r="G159" s="1155"/>
      <c r="H159" s="1155"/>
      <c r="I159" s="1155"/>
      <c r="J159" s="1155"/>
      <c r="K159" s="1155"/>
      <c r="L159" s="1155"/>
      <c r="M159" s="1195">
        <f>SUM(G159:K159)</f>
        <v>0</v>
      </c>
      <c r="N159" s="3728"/>
      <c r="O159" s="3822"/>
    </row>
    <row r="160" spans="1:16" ht="10.5" hidden="1" customHeight="1">
      <c r="A160" s="3670"/>
      <c r="B160" s="349" t="s">
        <v>14</v>
      </c>
      <c r="C160" s="3665"/>
      <c r="D160" s="1115">
        <f>SUM(E160:H160)</f>
        <v>0</v>
      </c>
      <c r="E160" s="1209">
        <v>0</v>
      </c>
      <c r="F160" s="1210"/>
      <c r="G160" s="1210"/>
      <c r="H160" s="1210"/>
      <c r="I160" s="175"/>
      <c r="J160" s="175"/>
      <c r="K160" s="175"/>
      <c r="L160" s="1210"/>
      <c r="M160" s="2451"/>
      <c r="N160" s="3728"/>
      <c r="O160" s="3822"/>
    </row>
    <row r="161" spans="1:15" hidden="1">
      <c r="A161" s="3670"/>
      <c r="B161" s="2352" t="s">
        <v>17</v>
      </c>
      <c r="C161" s="3665"/>
      <c r="D161" s="1181">
        <f>+D162</f>
        <v>0</v>
      </c>
      <c r="E161" s="1187">
        <f t="shared" ref="E161:F161" si="99">+E162</f>
        <v>0</v>
      </c>
      <c r="F161" s="1187">
        <f t="shared" si="99"/>
        <v>0</v>
      </c>
      <c r="G161" s="1187"/>
      <c r="H161" s="1187"/>
      <c r="I161" s="1181"/>
      <c r="J161" s="1181"/>
      <c r="K161" s="1181"/>
      <c r="L161" s="1187">
        <f>+L162</f>
        <v>0</v>
      </c>
      <c r="M161" s="1182">
        <f>M162</f>
        <v>0</v>
      </c>
      <c r="N161" s="3728"/>
      <c r="O161" s="3822"/>
    </row>
    <row r="162" spans="1:15" ht="12" hidden="1" customHeight="1">
      <c r="A162" s="3670"/>
      <c r="B162" s="2160" t="s">
        <v>19</v>
      </c>
      <c r="C162" s="3696"/>
      <c r="D162" s="1115">
        <f>E162+L162+F162+G162+H162+I162+J162+K162</f>
        <v>0</v>
      </c>
      <c r="E162" s="1155"/>
      <c r="F162" s="1155"/>
      <c r="G162" s="1190"/>
      <c r="H162" s="1190"/>
      <c r="I162" s="1194"/>
      <c r="J162" s="1194"/>
      <c r="K162" s="1194"/>
      <c r="L162" s="1155">
        <v>0</v>
      </c>
      <c r="M162" s="1195">
        <f>SUM(G162:K162)</f>
        <v>0</v>
      </c>
      <c r="N162" s="3713"/>
      <c r="O162" s="3822"/>
    </row>
    <row r="163" spans="1:15" ht="12" hidden="1" customHeight="1">
      <c r="A163" s="3671"/>
      <c r="B163" s="908" t="s">
        <v>20</v>
      </c>
      <c r="C163" s="75"/>
      <c r="D163" s="82">
        <f t="shared" ref="D163" si="100">+D164+D166</f>
        <v>0</v>
      </c>
      <c r="E163" s="197">
        <f>+E164+E166</f>
        <v>0</v>
      </c>
      <c r="F163" s="197">
        <f>+F164+F166</f>
        <v>0</v>
      </c>
      <c r="G163" s="197"/>
      <c r="H163" s="197"/>
      <c r="I163" s="197"/>
      <c r="J163" s="197"/>
      <c r="K163" s="197"/>
      <c r="L163" s="197">
        <f>+L164+L166</f>
        <v>0</v>
      </c>
      <c r="M163" s="3757" t="s">
        <v>21</v>
      </c>
      <c r="N163" s="3752" t="s">
        <v>92</v>
      </c>
    </row>
    <row r="164" spans="1:15" ht="13.5" hidden="1" customHeight="1">
      <c r="A164" s="3671"/>
      <c r="B164" s="1196" t="s">
        <v>22</v>
      </c>
      <c r="C164" s="3759" t="s">
        <v>214</v>
      </c>
      <c r="D164" s="43">
        <f>+D165</f>
        <v>0</v>
      </c>
      <c r="E164" s="43"/>
      <c r="F164" s="43"/>
      <c r="G164" s="43"/>
      <c r="H164" s="43"/>
      <c r="I164" s="43"/>
      <c r="J164" s="43"/>
      <c r="K164" s="43"/>
      <c r="L164" s="43"/>
      <c r="M164" s="3717"/>
      <c r="N164" s="3753"/>
    </row>
    <row r="165" spans="1:15" ht="13.5" hidden="1" customHeight="1">
      <c r="A165" s="3671"/>
      <c r="B165" s="76" t="s">
        <v>14</v>
      </c>
      <c r="C165" s="3760"/>
      <c r="D165" s="1115">
        <f>SUM(E165:H165)</f>
        <v>0</v>
      </c>
      <c r="E165" s="1197"/>
      <c r="F165" s="1197"/>
      <c r="G165" s="1197"/>
      <c r="H165" s="1197"/>
      <c r="I165" s="1197"/>
      <c r="J165" s="1197"/>
      <c r="K165" s="1197"/>
      <c r="L165" s="1197"/>
      <c r="M165" s="3717"/>
      <c r="N165" s="3753"/>
    </row>
    <row r="166" spans="1:15" ht="12" hidden="1" customHeight="1">
      <c r="A166" s="3671"/>
      <c r="B166" s="1779" t="s">
        <v>17</v>
      </c>
      <c r="C166" s="3760"/>
      <c r="D166" s="1181">
        <f t="shared" ref="D166:F166" si="101">+D167</f>
        <v>0</v>
      </c>
      <c r="E166" s="1187">
        <f t="shared" si="101"/>
        <v>0</v>
      </c>
      <c r="F166" s="1187">
        <f t="shared" si="101"/>
        <v>0</v>
      </c>
      <c r="G166" s="1187"/>
      <c r="H166" s="1187"/>
      <c r="I166" s="1187"/>
      <c r="J166" s="1187"/>
      <c r="K166" s="1187"/>
      <c r="L166" s="1187">
        <f>+L167</f>
        <v>0</v>
      </c>
      <c r="M166" s="3717"/>
      <c r="N166" s="3753"/>
    </row>
    <row r="167" spans="1:15" ht="13.5" hidden="1" customHeight="1" thickBot="1">
      <c r="A167" s="3672"/>
      <c r="B167" s="712" t="s">
        <v>19</v>
      </c>
      <c r="C167" s="3761"/>
      <c r="D167" s="1636">
        <f>E167+L167+F167+G167+H167+I167+J167+K167</f>
        <v>0</v>
      </c>
      <c r="E167" s="1636"/>
      <c r="F167" s="1433"/>
      <c r="G167" s="1433"/>
      <c r="H167" s="1433"/>
      <c r="I167" s="1433"/>
      <c r="J167" s="1433"/>
      <c r="K167" s="1433"/>
      <c r="L167" s="1433">
        <v>0</v>
      </c>
      <c r="M167" s="3718"/>
      <c r="N167" s="3754"/>
    </row>
    <row r="168" spans="1:15" ht="24" hidden="1">
      <c r="A168" s="3669" t="s">
        <v>57</v>
      </c>
      <c r="B168" s="61" t="s">
        <v>493</v>
      </c>
      <c r="C168" s="48" t="s">
        <v>72</v>
      </c>
      <c r="D168" s="915"/>
      <c r="E168" s="2098"/>
      <c r="F168" s="2098"/>
      <c r="G168" s="2098"/>
      <c r="H168" s="2098"/>
      <c r="I168" s="2098"/>
      <c r="J168" s="2098"/>
      <c r="K168" s="34"/>
      <c r="L168" s="2098"/>
      <c r="M168" s="36"/>
      <c r="N168" s="74"/>
      <c r="O168" s="196" t="s">
        <v>382</v>
      </c>
    </row>
    <row r="169" spans="1:15" ht="13.5" hidden="1" customHeight="1">
      <c r="A169" s="3670"/>
      <c r="B169" s="1722" t="s">
        <v>9</v>
      </c>
      <c r="C169" s="1999"/>
      <c r="D169" s="1191">
        <f>+D170+D173</f>
        <v>0</v>
      </c>
      <c r="E169" s="1222">
        <f t="shared" ref="E169" si="102">+E170+E173</f>
        <v>0</v>
      </c>
      <c r="F169" s="1222">
        <f>+F170+F173</f>
        <v>0</v>
      </c>
      <c r="G169" s="1222"/>
      <c r="H169" s="1222"/>
      <c r="I169" s="1222"/>
      <c r="J169" s="1222"/>
      <c r="K169" s="1222"/>
      <c r="L169" s="1222">
        <f>+L170+L173</f>
        <v>0</v>
      </c>
      <c r="M169" s="1179">
        <f>M170+M173</f>
        <v>0</v>
      </c>
      <c r="N169" s="3728" t="s">
        <v>77</v>
      </c>
      <c r="O169" s="354"/>
    </row>
    <row r="170" spans="1:15" ht="13.5" hidden="1" customHeight="1">
      <c r="A170" s="3670"/>
      <c r="B170" s="1743" t="s">
        <v>22</v>
      </c>
      <c r="C170" s="3664" t="s">
        <v>75</v>
      </c>
      <c r="D170" s="1192">
        <f>+D171+D172</f>
        <v>0</v>
      </c>
      <c r="E170" s="1192">
        <f t="shared" ref="E170" si="103">+E171+E172</f>
        <v>0</v>
      </c>
      <c r="F170" s="1192">
        <f>+F171+F172</f>
        <v>0</v>
      </c>
      <c r="G170" s="1192"/>
      <c r="H170" s="1192"/>
      <c r="I170" s="1192"/>
      <c r="J170" s="1192"/>
      <c r="K170" s="1192"/>
      <c r="L170" s="1192">
        <f>+L171+L172</f>
        <v>0</v>
      </c>
      <c r="M170" s="1182">
        <f>M171+M172</f>
        <v>0</v>
      </c>
      <c r="N170" s="3728"/>
      <c r="O170" s="3822"/>
    </row>
    <row r="171" spans="1:15" hidden="1">
      <c r="A171" s="3670"/>
      <c r="B171" s="1744" t="s">
        <v>11</v>
      </c>
      <c r="C171" s="3665"/>
      <c r="D171" s="1115">
        <f>E171+L171+F171+G171+H171+I171+J171+K171</f>
        <v>0</v>
      </c>
      <c r="E171" s="1155"/>
      <c r="F171" s="1155"/>
      <c r="G171" s="1155"/>
      <c r="H171" s="1155"/>
      <c r="I171" s="1155"/>
      <c r="J171" s="1155"/>
      <c r="K171" s="1155"/>
      <c r="L171" s="1155">
        <v>0</v>
      </c>
      <c r="M171" s="1195">
        <f>SUM(G171:K171)</f>
        <v>0</v>
      </c>
      <c r="N171" s="3728"/>
      <c r="O171" s="3822"/>
    </row>
    <row r="172" spans="1:15" ht="10.5" hidden="1" customHeight="1">
      <c r="A172" s="3670"/>
      <c r="B172" s="1045" t="s">
        <v>14</v>
      </c>
      <c r="C172" s="3665"/>
      <c r="D172" s="1115">
        <f>SUM(E172:H172)</f>
        <v>0</v>
      </c>
      <c r="E172" s="1210"/>
      <c r="F172" s="1210"/>
      <c r="G172" s="1210"/>
      <c r="H172" s="1210"/>
      <c r="I172" s="1190"/>
      <c r="J172" s="1190"/>
      <c r="K172" s="1190"/>
      <c r="L172" s="1210">
        <v>0</v>
      </c>
      <c r="M172" s="1195">
        <f>SUM(G172:K172)</f>
        <v>0</v>
      </c>
      <c r="N172" s="3728"/>
      <c r="O172" s="3822"/>
    </row>
    <row r="173" spans="1:15" ht="12.75" hidden="1" customHeight="1">
      <c r="A173" s="3670"/>
      <c r="B173" s="1745" t="s">
        <v>17</v>
      </c>
      <c r="C173" s="3665"/>
      <c r="D173" s="1181">
        <f>+D174</f>
        <v>0</v>
      </c>
      <c r="E173" s="1187">
        <f t="shared" ref="E173:F173" si="104">+E174</f>
        <v>0</v>
      </c>
      <c r="F173" s="1187">
        <f t="shared" si="104"/>
        <v>0</v>
      </c>
      <c r="G173" s="1187"/>
      <c r="H173" s="1187"/>
      <c r="I173" s="1181"/>
      <c r="J173" s="1181"/>
      <c r="K173" s="1181"/>
      <c r="L173" s="1187">
        <f>+L174</f>
        <v>0</v>
      </c>
      <c r="M173" s="1182">
        <f>M174</f>
        <v>0</v>
      </c>
      <c r="N173" s="3728"/>
      <c r="O173" s="3822"/>
    </row>
    <row r="174" spans="1:15" hidden="1">
      <c r="A174" s="3670"/>
      <c r="B174" s="1744" t="s">
        <v>19</v>
      </c>
      <c r="C174" s="3696"/>
      <c r="D174" s="1160">
        <f>E174+L174+F174+G174+H174+I174+J174+K174</f>
        <v>0</v>
      </c>
      <c r="E174" s="1155"/>
      <c r="F174" s="1155"/>
      <c r="G174" s="1190"/>
      <c r="H174" s="1190"/>
      <c r="I174" s="1194"/>
      <c r="J174" s="1194"/>
      <c r="K174" s="1194"/>
      <c r="L174" s="1155">
        <v>0</v>
      </c>
      <c r="M174" s="1195">
        <f>SUM(G174:K174)</f>
        <v>0</v>
      </c>
      <c r="N174" s="3713"/>
      <c r="O174" s="3822"/>
    </row>
    <row r="175" spans="1:15" ht="13.5" hidden="1" thickBot="1">
      <c r="A175" s="3672"/>
      <c r="B175" s="77" t="s">
        <v>20</v>
      </c>
      <c r="C175" s="75"/>
      <c r="D175" s="82">
        <f t="shared" ref="D175" si="105">+D176+D178</f>
        <v>0</v>
      </c>
      <c r="E175" s="197">
        <f>+E176+E178</f>
        <v>0</v>
      </c>
      <c r="F175" s="197">
        <f>+F176+F178</f>
        <v>0</v>
      </c>
      <c r="G175" s="197"/>
      <c r="H175" s="197"/>
      <c r="I175" s="197"/>
      <c r="J175" s="197"/>
      <c r="K175" s="197"/>
      <c r="L175" s="197">
        <f>+L176+L178</f>
        <v>0</v>
      </c>
      <c r="M175" s="3757" t="s">
        <v>21</v>
      </c>
      <c r="N175" s="3752" t="s">
        <v>92</v>
      </c>
    </row>
    <row r="176" spans="1:15" ht="13.5" hidden="1" customHeight="1" thickBot="1">
      <c r="A176" s="3708"/>
      <c r="B176" s="1185" t="s">
        <v>22</v>
      </c>
      <c r="C176" s="3759" t="s">
        <v>432</v>
      </c>
      <c r="D176" s="43">
        <f>+D177</f>
        <v>0</v>
      </c>
      <c r="E176" s="43">
        <f>E177</f>
        <v>0</v>
      </c>
      <c r="F176" s="43">
        <f>F177</f>
        <v>0</v>
      </c>
      <c r="G176" s="43"/>
      <c r="H176" s="43"/>
      <c r="I176" s="43"/>
      <c r="J176" s="43"/>
      <c r="K176" s="43"/>
      <c r="L176" s="43">
        <f>L177</f>
        <v>0</v>
      </c>
      <c r="M176" s="3717"/>
      <c r="N176" s="3753"/>
    </row>
    <row r="177" spans="1:15" ht="13.5" hidden="1" customHeight="1" thickBot="1">
      <c r="A177" s="3708"/>
      <c r="B177" s="2156" t="s">
        <v>14</v>
      </c>
      <c r="C177" s="3760"/>
      <c r="D177" s="1115">
        <f>SUM(E177:H177)</f>
        <v>0</v>
      </c>
      <c r="E177" s="1197"/>
      <c r="F177" s="1197"/>
      <c r="G177" s="1197"/>
      <c r="H177" s="1197"/>
      <c r="I177" s="1197"/>
      <c r="J177" s="1197"/>
      <c r="K177" s="1197"/>
      <c r="L177" s="1197">
        <v>0</v>
      </c>
      <c r="M177" s="3717"/>
      <c r="N177" s="3753"/>
    </row>
    <row r="178" spans="1:15" ht="12" hidden="1" customHeight="1" thickBot="1">
      <c r="A178" s="3708"/>
      <c r="B178" s="1212" t="s">
        <v>17</v>
      </c>
      <c r="C178" s="3760"/>
      <c r="D178" s="1181">
        <f t="shared" ref="D178:F178" si="106">+D179</f>
        <v>0</v>
      </c>
      <c r="E178" s="1187">
        <f t="shared" si="106"/>
        <v>0</v>
      </c>
      <c r="F178" s="1187">
        <f t="shared" si="106"/>
        <v>0</v>
      </c>
      <c r="G178" s="1187"/>
      <c r="H178" s="1187"/>
      <c r="I178" s="1187"/>
      <c r="J178" s="1187"/>
      <c r="K178" s="1187"/>
      <c r="L178" s="1187">
        <f>+L179</f>
        <v>0</v>
      </c>
      <c r="M178" s="3717"/>
      <c r="N178" s="3753"/>
    </row>
    <row r="179" spans="1:15" ht="13.5" hidden="1" customHeight="1" thickBot="1">
      <c r="A179" s="3797"/>
      <c r="B179" s="1420" t="s">
        <v>19</v>
      </c>
      <c r="C179" s="3760"/>
      <c r="D179" s="1115">
        <f>E179+L179+F179+G179+H179+I179+J179+K179</f>
        <v>0</v>
      </c>
      <c r="E179" s="1433"/>
      <c r="F179" s="1210"/>
      <c r="G179" s="1210"/>
      <c r="H179" s="1210"/>
      <c r="I179" s="1210"/>
      <c r="J179" s="1433"/>
      <c r="K179" s="1433"/>
      <c r="L179" s="1433">
        <v>0</v>
      </c>
      <c r="M179" s="3717"/>
      <c r="N179" s="3753"/>
    </row>
    <row r="180" spans="1:15" ht="24.75" thickBot="1">
      <c r="A180" s="3817" t="s">
        <v>55</v>
      </c>
      <c r="B180" s="3092" t="s">
        <v>526</v>
      </c>
      <c r="C180" s="3093" t="s">
        <v>72</v>
      </c>
      <c r="D180" s="3094"/>
      <c r="E180" s="2098"/>
      <c r="F180" s="3096"/>
      <c r="G180" s="3096"/>
      <c r="H180" s="3096"/>
      <c r="I180" s="3096"/>
      <c r="J180" s="2098"/>
      <c r="K180" s="34"/>
      <c r="L180" s="2098"/>
      <c r="M180" s="3097"/>
      <c r="N180" s="3098"/>
      <c r="O180" s="196" t="s">
        <v>276</v>
      </c>
    </row>
    <row r="181" spans="1:15" ht="13.5" thickBot="1">
      <c r="A181" s="3707"/>
      <c r="B181" s="1722" t="s">
        <v>9</v>
      </c>
      <c r="C181" s="1999"/>
      <c r="D181" s="1191">
        <f>+D182+D185</f>
        <v>44844867</v>
      </c>
      <c r="E181" s="1222">
        <f>+E182+E185</f>
        <v>14408172</v>
      </c>
      <c r="F181" s="1222">
        <f>+F182+F185</f>
        <v>29336695</v>
      </c>
      <c r="G181" s="1222">
        <f>+G182+G185</f>
        <v>1100000</v>
      </c>
      <c r="H181" s="1222"/>
      <c r="I181" s="1222"/>
      <c r="J181" s="1222"/>
      <c r="K181" s="1222"/>
      <c r="L181" s="1222">
        <f>+L182+L185</f>
        <v>0</v>
      </c>
      <c r="M181" s="1179">
        <f>M182+M185</f>
        <v>1100000</v>
      </c>
      <c r="N181" s="3728" t="s">
        <v>77</v>
      </c>
      <c r="O181" s="354"/>
    </row>
    <row r="182" spans="1:15" ht="13.5" customHeight="1" thickBot="1">
      <c r="A182" s="3707"/>
      <c r="B182" s="1743" t="s">
        <v>22</v>
      </c>
      <c r="C182" s="3664" t="s">
        <v>75</v>
      </c>
      <c r="D182" s="1192">
        <f>+D183+D184</f>
        <v>9118478</v>
      </c>
      <c r="E182" s="1192">
        <f>+E183+E184</f>
        <v>3360857</v>
      </c>
      <c r="F182" s="1192">
        <f>+F183+F184</f>
        <v>4657621</v>
      </c>
      <c r="G182" s="1192">
        <f>+G183+G184</f>
        <v>1100000</v>
      </c>
      <c r="H182" s="1192"/>
      <c r="I182" s="1192"/>
      <c r="J182" s="1192"/>
      <c r="K182" s="1192"/>
      <c r="L182" s="1192">
        <f>+L183+L184</f>
        <v>0</v>
      </c>
      <c r="M182" s="1182">
        <f>M183</f>
        <v>1100000</v>
      </c>
      <c r="N182" s="3728"/>
      <c r="O182" s="354"/>
    </row>
    <row r="183" spans="1:15" ht="13.5" thickBot="1">
      <c r="A183" s="3707"/>
      <c r="B183" s="1744" t="s">
        <v>11</v>
      </c>
      <c r="C183" s="3665"/>
      <c r="D183" s="1115">
        <f>E183+L183+F183+G183+H183+I183+J183+K183</f>
        <v>9118478</v>
      </c>
      <c r="E183" s="1155">
        <f>4500000-1204062+1962312-2646991+749598</f>
        <v>3360857</v>
      </c>
      <c r="F183" s="1155">
        <f>4215000+1785000+1171207-1962312+2646991-2670153-385804-142308</f>
        <v>4657621</v>
      </c>
      <c r="G183" s="1155">
        <v>1100000</v>
      </c>
      <c r="H183" s="1155"/>
      <c r="I183" s="1155"/>
      <c r="J183" s="1155"/>
      <c r="K183" s="1155"/>
      <c r="L183" s="1155">
        <v>0</v>
      </c>
      <c r="M183" s="1195">
        <f>SUM(G183:K183)</f>
        <v>1100000</v>
      </c>
      <c r="N183" s="3728"/>
      <c r="O183" s="354"/>
    </row>
    <row r="184" spans="1:15" ht="10.5" hidden="1" customHeight="1">
      <c r="A184" s="3707"/>
      <c r="B184" s="1045" t="s">
        <v>14</v>
      </c>
      <c r="C184" s="3665"/>
      <c r="D184" s="1115">
        <f>SUM(E184:H184)</f>
        <v>0</v>
      </c>
      <c r="E184" s="1210"/>
      <c r="F184" s="1210"/>
      <c r="G184" s="1210"/>
      <c r="H184" s="1210"/>
      <c r="I184" s="175"/>
      <c r="J184" s="175"/>
      <c r="K184" s="175"/>
      <c r="L184" s="1210"/>
      <c r="M184" s="2451"/>
      <c r="N184" s="3728"/>
    </row>
    <row r="185" spans="1:15" ht="12.75" customHeight="1" thickBot="1">
      <c r="A185" s="3707"/>
      <c r="B185" s="1745" t="s">
        <v>17</v>
      </c>
      <c r="C185" s="3665"/>
      <c r="D185" s="1181">
        <f>+D186</f>
        <v>35726389</v>
      </c>
      <c r="E185" s="1187">
        <f t="shared" ref="E185:G185" si="107">+E186</f>
        <v>11047315</v>
      </c>
      <c r="F185" s="1187">
        <f t="shared" si="107"/>
        <v>24679074</v>
      </c>
      <c r="G185" s="1187">
        <f t="shared" si="107"/>
        <v>0</v>
      </c>
      <c r="H185" s="1187"/>
      <c r="I185" s="1181"/>
      <c r="J185" s="1181"/>
      <c r="K185" s="1181"/>
      <c r="L185" s="1187">
        <f>+L186</f>
        <v>0</v>
      </c>
      <c r="M185" s="1182">
        <f>M186</f>
        <v>0</v>
      </c>
      <c r="N185" s="3728"/>
    </row>
    <row r="186" spans="1:15" ht="13.5" thickBot="1">
      <c r="A186" s="3707"/>
      <c r="B186" s="292" t="s">
        <v>19</v>
      </c>
      <c r="C186" s="3696"/>
      <c r="D186" s="1160">
        <f>E186+L186+F186+G186+H186+I186+J186+K186</f>
        <v>35726389</v>
      </c>
      <c r="E186" s="1155">
        <f>38250000+85000-21335000+1110315-5313565-999837-749598</f>
        <v>11047315</v>
      </c>
      <c r="F186" s="1155">
        <f>13685000+11815000-1296496+5313565+999837-3861343-1517494-458995</f>
        <v>24679074</v>
      </c>
      <c r="G186" s="1190">
        <v>0</v>
      </c>
      <c r="H186" s="1190"/>
      <c r="I186" s="1194"/>
      <c r="J186" s="1194"/>
      <c r="K186" s="1194"/>
      <c r="L186" s="1155">
        <v>0</v>
      </c>
      <c r="M186" s="1195">
        <f>SUM(G186:K186)</f>
        <v>0</v>
      </c>
      <c r="N186" s="3713"/>
    </row>
    <row r="187" spans="1:15" ht="11.25" customHeight="1" thickBot="1">
      <c r="A187" s="3708"/>
      <c r="B187" s="15" t="s">
        <v>20</v>
      </c>
      <c r="C187" s="75"/>
      <c r="D187" s="82">
        <f t="shared" ref="D187:E187" si="108">+D188+D190</f>
        <v>35726389</v>
      </c>
      <c r="E187" s="197">
        <f t="shared" si="108"/>
        <v>0</v>
      </c>
      <c r="F187" s="197">
        <f>+F188+F190</f>
        <v>33696736</v>
      </c>
      <c r="G187" s="197">
        <f>+G188+G190</f>
        <v>2029653</v>
      </c>
      <c r="H187" s="197"/>
      <c r="I187" s="197"/>
      <c r="J187" s="197"/>
      <c r="K187" s="197"/>
      <c r="L187" s="197">
        <f>+L188+L190</f>
        <v>0</v>
      </c>
      <c r="M187" s="3757" t="s">
        <v>21</v>
      </c>
      <c r="N187" s="3752" t="s">
        <v>92</v>
      </c>
    </row>
    <row r="188" spans="1:15" ht="13.5" hidden="1" customHeight="1">
      <c r="A188" s="3708"/>
      <c r="B188" s="1185" t="s">
        <v>22</v>
      </c>
      <c r="C188" s="3759" t="s">
        <v>214</v>
      </c>
      <c r="D188" s="43">
        <f>+D189</f>
        <v>0</v>
      </c>
      <c r="E188" s="219">
        <v>0</v>
      </c>
      <c r="F188" s="43"/>
      <c r="G188" s="43"/>
      <c r="H188" s="43"/>
      <c r="I188" s="43"/>
      <c r="J188" s="43"/>
      <c r="K188" s="43"/>
      <c r="L188" s="43"/>
      <c r="M188" s="3717"/>
      <c r="N188" s="3753"/>
    </row>
    <row r="189" spans="1:15" ht="13.5" hidden="1" customHeight="1">
      <c r="A189" s="3708"/>
      <c r="B189" s="76" t="s">
        <v>14</v>
      </c>
      <c r="C189" s="3760"/>
      <c r="D189" s="1115">
        <f>SUM(E189:H189)</f>
        <v>0</v>
      </c>
      <c r="E189" s="2795">
        <v>0</v>
      </c>
      <c r="F189" s="1197"/>
      <c r="G189" s="1197"/>
      <c r="H189" s="1197"/>
      <c r="I189" s="1197"/>
      <c r="J189" s="1197"/>
      <c r="K189" s="1197"/>
      <c r="L189" s="1197"/>
      <c r="M189" s="3717"/>
      <c r="N189" s="3753"/>
    </row>
    <row r="190" spans="1:15" ht="12" customHeight="1" thickBot="1">
      <c r="A190" s="3708"/>
      <c r="B190" s="1212" t="s">
        <v>17</v>
      </c>
      <c r="C190" s="3760"/>
      <c r="D190" s="1181">
        <f t="shared" ref="D190:G190" si="109">+D191</f>
        <v>35726389</v>
      </c>
      <c r="E190" s="1187">
        <f t="shared" si="109"/>
        <v>0</v>
      </c>
      <c r="F190" s="1187">
        <f t="shared" si="109"/>
        <v>33696736</v>
      </c>
      <c r="G190" s="1187">
        <f t="shared" si="109"/>
        <v>2029653</v>
      </c>
      <c r="H190" s="1187"/>
      <c r="I190" s="1187"/>
      <c r="J190" s="1187"/>
      <c r="K190" s="1187"/>
      <c r="L190" s="1187">
        <f>+L191</f>
        <v>0</v>
      </c>
      <c r="M190" s="3717"/>
      <c r="N190" s="3753"/>
    </row>
    <row r="191" spans="1:15" ht="13.5" customHeight="1" thickBot="1">
      <c r="A191" s="3708"/>
      <c r="B191" s="712" t="s">
        <v>19</v>
      </c>
      <c r="C191" s="3761"/>
      <c r="D191" s="1636">
        <f>E191+L191+F191+G191+H191+I191+J191+K191</f>
        <v>35726389</v>
      </c>
      <c r="E191" s="1636">
        <v>0</v>
      </c>
      <c r="F191" s="1433">
        <f>13685000+11815000-1296496+18110315-11313819+2696736</f>
        <v>33696736</v>
      </c>
      <c r="G191" s="1433">
        <f>7452476-4214230-1208593</f>
        <v>2029653</v>
      </c>
      <c r="H191" s="1433"/>
      <c r="I191" s="1433"/>
      <c r="J191" s="1433"/>
      <c r="K191" s="1433"/>
      <c r="L191" s="1433">
        <f>38335000-21335000+1110315-18110315</f>
        <v>0</v>
      </c>
      <c r="M191" s="3718"/>
      <c r="N191" s="3754"/>
    </row>
    <row r="192" spans="1:15" ht="24.75" customHeight="1" thickBot="1">
      <c r="A192" s="3707" t="s">
        <v>56</v>
      </c>
      <c r="B192" s="61" t="s">
        <v>478</v>
      </c>
      <c r="C192" s="48" t="s">
        <v>72</v>
      </c>
      <c r="D192" s="915"/>
      <c r="E192" s="2098"/>
      <c r="F192" s="2098"/>
      <c r="G192" s="2098"/>
      <c r="H192" s="2098"/>
      <c r="I192" s="2098"/>
      <c r="J192" s="2098"/>
      <c r="K192" s="34"/>
      <c r="L192" s="2098"/>
      <c r="M192" s="36"/>
      <c r="N192" s="74"/>
    </row>
    <row r="193" spans="1:15" ht="13.5" thickBot="1">
      <c r="A193" s="3707"/>
      <c r="B193" s="1722" t="s">
        <v>9</v>
      </c>
      <c r="C193" s="1999"/>
      <c r="D193" s="1191">
        <f>+D194+D197</f>
        <v>110000000</v>
      </c>
      <c r="E193" s="2792">
        <f t="shared" ref="E193" si="110">+E194+E197</f>
        <v>0</v>
      </c>
      <c r="F193" s="2792">
        <f>+F194+F197</f>
        <v>0</v>
      </c>
      <c r="G193" s="1222">
        <f t="shared" ref="G193:I193" si="111">+G194+G197</f>
        <v>39650000</v>
      </c>
      <c r="H193" s="1222">
        <f t="shared" si="111"/>
        <v>40350000</v>
      </c>
      <c r="I193" s="1222">
        <f t="shared" si="111"/>
        <v>30000000</v>
      </c>
      <c r="J193" s="1222"/>
      <c r="K193" s="1222"/>
      <c r="L193" s="1222">
        <f>+L194+L197</f>
        <v>0</v>
      </c>
      <c r="M193" s="1179">
        <f>M194+M197</f>
        <v>110000000</v>
      </c>
      <c r="N193" s="3728" t="s">
        <v>77</v>
      </c>
      <c r="O193" s="354"/>
    </row>
    <row r="194" spans="1:15" ht="13.5" customHeight="1" thickBot="1">
      <c r="A194" s="3707"/>
      <c r="B194" s="1743" t="s">
        <v>22</v>
      </c>
      <c r="C194" s="3664" t="s">
        <v>75</v>
      </c>
      <c r="D194" s="1192">
        <f>+D195+D196</f>
        <v>16627500</v>
      </c>
      <c r="E194" s="1418">
        <f t="shared" ref="E194" si="112">+E195+E196</f>
        <v>0</v>
      </c>
      <c r="F194" s="1418">
        <f>+F195+F196</f>
        <v>0</v>
      </c>
      <c r="G194" s="1192">
        <f t="shared" ref="G194:I194" si="113">+G195+G196</f>
        <v>6075000</v>
      </c>
      <c r="H194" s="1192">
        <f t="shared" si="113"/>
        <v>6052500</v>
      </c>
      <c r="I194" s="1192">
        <f t="shared" si="113"/>
        <v>4500000</v>
      </c>
      <c r="J194" s="1192"/>
      <c r="K194" s="1192"/>
      <c r="L194" s="1192">
        <f>+L195+L196</f>
        <v>0</v>
      </c>
      <c r="M194" s="1182">
        <f>M195</f>
        <v>16627500</v>
      </c>
      <c r="N194" s="3728"/>
      <c r="O194" s="354"/>
    </row>
    <row r="195" spans="1:15" ht="11.25" customHeight="1" thickBot="1">
      <c r="A195" s="3707"/>
      <c r="B195" s="1744" t="s">
        <v>11</v>
      </c>
      <c r="C195" s="3665"/>
      <c r="D195" s="1115">
        <f>E195+L195+F195+G195+H195+I195+J195+K195</f>
        <v>16627500</v>
      </c>
      <c r="E195" s="2802"/>
      <c r="F195" s="2802">
        <f>200000-200000</f>
        <v>0</v>
      </c>
      <c r="G195" s="1155">
        <f>5875000+200000</f>
        <v>6075000</v>
      </c>
      <c r="H195" s="1155">
        <v>6052500</v>
      </c>
      <c r="I195" s="1155">
        <v>4500000</v>
      </c>
      <c r="J195" s="1155"/>
      <c r="K195" s="1155"/>
      <c r="L195" s="1155"/>
      <c r="M195" s="1195">
        <f>SUM(G195:K195)</f>
        <v>16627500</v>
      </c>
      <c r="N195" s="3728"/>
      <c r="O195" s="354"/>
    </row>
    <row r="196" spans="1:15" ht="10.5" hidden="1" customHeight="1">
      <c r="A196" s="3707"/>
      <c r="B196" s="1045" t="s">
        <v>14</v>
      </c>
      <c r="C196" s="3665"/>
      <c r="D196" s="1115">
        <f>SUM(E196:H196)</f>
        <v>0</v>
      </c>
      <c r="E196" s="1209">
        <v>0</v>
      </c>
      <c r="F196" s="1209"/>
      <c r="G196" s="1210"/>
      <c r="H196" s="1210"/>
      <c r="I196" s="175"/>
      <c r="J196" s="175"/>
      <c r="K196" s="175"/>
      <c r="L196" s="1210"/>
      <c r="M196" s="2451"/>
      <c r="N196" s="3728"/>
    </row>
    <row r="197" spans="1:15" ht="12.75" customHeight="1" thickBot="1">
      <c r="A197" s="3707"/>
      <c r="B197" s="1745" t="s">
        <v>17</v>
      </c>
      <c r="C197" s="3665"/>
      <c r="D197" s="1181">
        <f>+D198</f>
        <v>93372500</v>
      </c>
      <c r="E197" s="1227">
        <f t="shared" ref="E197:I197" si="114">+E198</f>
        <v>0</v>
      </c>
      <c r="F197" s="1227">
        <f t="shared" si="114"/>
        <v>0</v>
      </c>
      <c r="G197" s="1187">
        <f t="shared" si="114"/>
        <v>33575000</v>
      </c>
      <c r="H197" s="1187">
        <f t="shared" si="114"/>
        <v>34297500</v>
      </c>
      <c r="I197" s="1187">
        <f t="shared" si="114"/>
        <v>25500000</v>
      </c>
      <c r="J197" s="1181"/>
      <c r="K197" s="1181"/>
      <c r="L197" s="1187">
        <f>+L198</f>
        <v>0</v>
      </c>
      <c r="M197" s="1182">
        <f>M198</f>
        <v>93372500</v>
      </c>
      <c r="N197" s="3728"/>
    </row>
    <row r="198" spans="1:15" ht="12" customHeight="1" thickBot="1">
      <c r="A198" s="3707"/>
      <c r="B198" s="1744" t="s">
        <v>19</v>
      </c>
      <c r="C198" s="3696"/>
      <c r="D198" s="1160">
        <f>E198+L198+F198+G198+H198+I198+J198+K198</f>
        <v>93372500</v>
      </c>
      <c r="E198" s="2802"/>
      <c r="F198" s="2802">
        <f>850000-850000</f>
        <v>0</v>
      </c>
      <c r="G198" s="1190">
        <f>32725000+850000</f>
        <v>33575000</v>
      </c>
      <c r="H198" s="1190">
        <v>34297500</v>
      </c>
      <c r="I198" s="1194">
        <v>25500000</v>
      </c>
      <c r="J198" s="1194"/>
      <c r="K198" s="1194"/>
      <c r="L198" s="1155"/>
      <c r="M198" s="1195">
        <f>SUM(G198:K198)</f>
        <v>93372500</v>
      </c>
      <c r="N198" s="3713"/>
    </row>
    <row r="199" spans="1:15" ht="13.5" thickBot="1">
      <c r="A199" s="3708"/>
      <c r="B199" s="77" t="s">
        <v>20</v>
      </c>
      <c r="C199" s="75"/>
      <c r="D199" s="82">
        <f t="shared" ref="D199" si="115">+D200+D202</f>
        <v>93372500</v>
      </c>
      <c r="E199" s="3006">
        <f t="shared" ref="E199" si="116">+E200+E202</f>
        <v>0</v>
      </c>
      <c r="F199" s="3006">
        <f>+F200+F202</f>
        <v>0</v>
      </c>
      <c r="G199" s="197">
        <f t="shared" ref="G199:I199" si="117">+G200+G202</f>
        <v>33575000</v>
      </c>
      <c r="H199" s="197">
        <f t="shared" si="117"/>
        <v>34297500</v>
      </c>
      <c r="I199" s="197">
        <f t="shared" si="117"/>
        <v>25500000</v>
      </c>
      <c r="J199" s="197"/>
      <c r="K199" s="197"/>
      <c r="L199" s="197">
        <f>+L200+L202</f>
        <v>0</v>
      </c>
      <c r="M199" s="3757" t="s">
        <v>21</v>
      </c>
      <c r="N199" s="3752" t="s">
        <v>92</v>
      </c>
    </row>
    <row r="200" spans="1:15" ht="13.5" hidden="1" customHeight="1" thickBot="1">
      <c r="A200" s="3708"/>
      <c r="B200" s="1185" t="s">
        <v>22</v>
      </c>
      <c r="C200" s="3759" t="s">
        <v>214</v>
      </c>
      <c r="D200" s="43">
        <f>+D201</f>
        <v>0</v>
      </c>
      <c r="E200" s="219">
        <f t="shared" ref="E200" si="118">+E201</f>
        <v>0</v>
      </c>
      <c r="F200" s="219"/>
      <c r="G200" s="43"/>
      <c r="H200" s="43"/>
      <c r="I200" s="43"/>
      <c r="J200" s="43"/>
      <c r="K200" s="43"/>
      <c r="L200" s="43"/>
      <c r="M200" s="3718"/>
      <c r="N200" s="3754"/>
    </row>
    <row r="201" spans="1:15" ht="13.5" hidden="1" customHeight="1" thickBot="1">
      <c r="A201" s="3708"/>
      <c r="B201" s="76" t="s">
        <v>14</v>
      </c>
      <c r="C201" s="3761"/>
      <c r="D201" s="1115">
        <f>SUM(E201:H201)</f>
        <v>0</v>
      </c>
      <c r="E201" s="2795">
        <v>0</v>
      </c>
      <c r="F201" s="2795"/>
      <c r="G201" s="1197"/>
      <c r="H201" s="1197"/>
      <c r="I201" s="1197"/>
      <c r="J201" s="1197"/>
      <c r="K201" s="1197"/>
      <c r="L201" s="1197"/>
      <c r="M201" s="3702"/>
      <c r="N201" s="3763"/>
    </row>
    <row r="202" spans="1:15" ht="12" customHeight="1" thickBot="1">
      <c r="A202" s="3708"/>
      <c r="B202" s="1212" t="s">
        <v>17</v>
      </c>
      <c r="C202" s="3762"/>
      <c r="D202" s="1181">
        <f t="shared" ref="D202:I202" si="119">+D203</f>
        <v>93372500</v>
      </c>
      <c r="E202" s="1227">
        <f t="shared" si="119"/>
        <v>0</v>
      </c>
      <c r="F202" s="1227">
        <f t="shared" si="119"/>
        <v>0</v>
      </c>
      <c r="G202" s="1187">
        <f t="shared" si="119"/>
        <v>33575000</v>
      </c>
      <c r="H202" s="1187">
        <f t="shared" si="119"/>
        <v>34297500</v>
      </c>
      <c r="I202" s="1187">
        <f t="shared" si="119"/>
        <v>25500000</v>
      </c>
      <c r="J202" s="1187"/>
      <c r="K202" s="1187"/>
      <c r="L202" s="1187">
        <f>+L203</f>
        <v>0</v>
      </c>
      <c r="M202" s="3702"/>
      <c r="N202" s="3763"/>
    </row>
    <row r="203" spans="1:15" ht="13.5" thickBot="1">
      <c r="A203" s="3708"/>
      <c r="B203" s="712" t="s">
        <v>19</v>
      </c>
      <c r="C203" s="3762"/>
      <c r="D203" s="1115">
        <f>E203+L203+F203+G203+H203+I203+J203+K203</f>
        <v>93372500</v>
      </c>
      <c r="E203" s="2802">
        <v>0</v>
      </c>
      <c r="F203" s="1434">
        <v>0</v>
      </c>
      <c r="G203" s="1433">
        <v>33575000</v>
      </c>
      <c r="H203" s="1433">
        <v>34297500</v>
      </c>
      <c r="I203" s="1433">
        <v>25500000</v>
      </c>
      <c r="J203" s="1433"/>
      <c r="K203" s="1433"/>
      <c r="L203" s="1433">
        <v>0</v>
      </c>
      <c r="M203" s="3702"/>
      <c r="N203" s="3763"/>
    </row>
    <row r="204" spans="1:15" ht="24.75" customHeight="1" thickBot="1">
      <c r="A204" s="3669" t="s">
        <v>57</v>
      </c>
      <c r="B204" s="335" t="s">
        <v>527</v>
      </c>
      <c r="C204" s="1221" t="s">
        <v>72</v>
      </c>
      <c r="D204" s="2121"/>
      <c r="E204" s="2098"/>
      <c r="F204" s="2098"/>
      <c r="G204" s="2098"/>
      <c r="H204" s="2098"/>
      <c r="I204" s="2098"/>
      <c r="J204" s="2098"/>
      <c r="K204" s="34"/>
      <c r="L204" s="2098"/>
      <c r="M204" s="2494"/>
      <c r="N204" s="3800" t="s">
        <v>77</v>
      </c>
    </row>
    <row r="205" spans="1:15" ht="13.5" thickBot="1">
      <c r="A205" s="3670"/>
      <c r="B205" s="1705" t="s">
        <v>9</v>
      </c>
      <c r="C205" s="2351"/>
      <c r="D205" s="95">
        <f>+D206+D209</f>
        <v>23609839</v>
      </c>
      <c r="E205" s="95">
        <f>+E206+E209</f>
        <v>2689734</v>
      </c>
      <c r="F205" s="95">
        <f t="shared" ref="F205:G205" si="120">+F206+F209</f>
        <v>10478476</v>
      </c>
      <c r="G205" s="95">
        <f t="shared" si="120"/>
        <v>10441629</v>
      </c>
      <c r="H205" s="95"/>
      <c r="I205" s="95"/>
      <c r="J205" s="95"/>
      <c r="K205" s="95"/>
      <c r="L205" s="95">
        <f>+L206+L209</f>
        <v>0</v>
      </c>
      <c r="M205" s="2585">
        <f>+M206+M209</f>
        <v>10441629</v>
      </c>
      <c r="N205" s="3800"/>
      <c r="O205" s="196" t="s">
        <v>357</v>
      </c>
    </row>
    <row r="206" spans="1:15" ht="13.5" customHeight="1" thickBot="1">
      <c r="A206" s="3670"/>
      <c r="B206" s="2159" t="s">
        <v>22</v>
      </c>
      <c r="C206" s="3653" t="s">
        <v>75</v>
      </c>
      <c r="D206" s="1214">
        <f>+D207+D208</f>
        <v>8761024</v>
      </c>
      <c r="E206" s="1214">
        <f>+E207+E208</f>
        <v>1718951</v>
      </c>
      <c r="F206" s="1214">
        <f>+F207+F208</f>
        <v>2828520</v>
      </c>
      <c r="G206" s="1214">
        <f>+G207+G208</f>
        <v>4213553</v>
      </c>
      <c r="H206" s="1214"/>
      <c r="I206" s="1214"/>
      <c r="J206" s="1214"/>
      <c r="K206" s="1214"/>
      <c r="L206" s="1214">
        <f>+L207+L208</f>
        <v>0</v>
      </c>
      <c r="M206" s="2461">
        <f>+M207+M208</f>
        <v>4213553</v>
      </c>
      <c r="N206" s="3800"/>
      <c r="O206" s="354"/>
    </row>
    <row r="207" spans="1:15" ht="13.5" thickBot="1">
      <c r="A207" s="3670"/>
      <c r="B207" s="2160" t="s">
        <v>11</v>
      </c>
      <c r="C207" s="3654"/>
      <c r="D207" s="1115">
        <f>E207+L207+F207+G207+H207+I207+J207+K207</f>
        <v>718614</v>
      </c>
      <c r="E207" s="1155">
        <f>598614+6236</f>
        <v>604850</v>
      </c>
      <c r="F207" s="1194">
        <f>113764-56120</f>
        <v>57644</v>
      </c>
      <c r="G207" s="1194">
        <v>56120</v>
      </c>
      <c r="H207" s="1194"/>
      <c r="I207" s="1194"/>
      <c r="J207" s="1194"/>
      <c r="K207" s="1194"/>
      <c r="L207" s="1194"/>
      <c r="M207" s="1195">
        <f>SUM(G207:K207)</f>
        <v>56120</v>
      </c>
      <c r="N207" s="3800"/>
    </row>
    <row r="208" spans="1:15" ht="13.5" thickBot="1">
      <c r="A208" s="3670"/>
      <c r="B208" s="2157" t="s">
        <v>14</v>
      </c>
      <c r="C208" s="3654"/>
      <c r="D208" s="1115">
        <f>E208+L208+F208+G208+H208+I208+J208+K208</f>
        <v>8042410</v>
      </c>
      <c r="E208" s="719">
        <f>4895843-1267664-2000000-514078</f>
        <v>1114101</v>
      </c>
      <c r="F208" s="719">
        <f>4774157+1267664-1486774+514078-2265555-32694</f>
        <v>2770876</v>
      </c>
      <c r="G208" s="719">
        <f>2426653+1730780</f>
        <v>4157433</v>
      </c>
      <c r="H208" s="719"/>
      <c r="I208" s="719"/>
      <c r="J208" s="719"/>
      <c r="K208" s="719"/>
      <c r="L208" s="719">
        <v>0</v>
      </c>
      <c r="M208" s="1195">
        <f>SUM(G208:K208)</f>
        <v>4157433</v>
      </c>
      <c r="N208" s="3800"/>
    </row>
    <row r="209" spans="1:16" ht="13.5" customHeight="1" thickBot="1">
      <c r="A209" s="3670"/>
      <c r="B209" s="2352" t="s">
        <v>17</v>
      </c>
      <c r="C209" s="3654"/>
      <c r="D209" s="1181">
        <f>+D210</f>
        <v>14848815</v>
      </c>
      <c r="E209" s="1181">
        <f t="shared" ref="E209:G209" si="121">+E210</f>
        <v>970783</v>
      </c>
      <c r="F209" s="1181">
        <f t="shared" si="121"/>
        <v>7649956</v>
      </c>
      <c r="G209" s="1181">
        <f t="shared" si="121"/>
        <v>6228076</v>
      </c>
      <c r="H209" s="1181"/>
      <c r="I209" s="1181"/>
      <c r="J209" s="1181"/>
      <c r="K209" s="1181"/>
      <c r="L209" s="1181">
        <f>+L210</f>
        <v>0</v>
      </c>
      <c r="M209" s="1182">
        <f>+M210</f>
        <v>6228076</v>
      </c>
      <c r="N209" s="3800"/>
    </row>
    <row r="210" spans="1:16">
      <c r="A210" s="3670"/>
      <c r="B210" s="2161" t="s">
        <v>19</v>
      </c>
      <c r="C210" s="3659"/>
      <c r="D210" s="1115">
        <f>E210+L210+F210+G210+H210+I210+J210+K210</f>
        <v>14848815</v>
      </c>
      <c r="E210" s="1194">
        <f>5649157-3777336-901038</f>
        <v>970783</v>
      </c>
      <c r="F210" s="1194">
        <f>14225843+3777336-5026185+901038-6130656-97420</f>
        <v>7649956</v>
      </c>
      <c r="G210" s="1194">
        <f>6130656+97420</f>
        <v>6228076</v>
      </c>
      <c r="H210" s="1194"/>
      <c r="I210" s="1194"/>
      <c r="J210" s="1194"/>
      <c r="K210" s="1194"/>
      <c r="L210" s="1194">
        <v>0</v>
      </c>
      <c r="M210" s="1195">
        <f>SUM(G210:K210)</f>
        <v>6228076</v>
      </c>
      <c r="N210" s="3798"/>
    </row>
    <row r="211" spans="1:16" ht="13.5" thickBot="1">
      <c r="A211" s="3670"/>
      <c r="B211" s="1705" t="s">
        <v>20</v>
      </c>
      <c r="C211" s="458"/>
      <c r="D211" s="1178">
        <f>+D214+D212</f>
        <v>22891225</v>
      </c>
      <c r="E211" s="1178">
        <f t="shared" ref="E211" si="122">+E214+E212</f>
        <v>2985504</v>
      </c>
      <c r="F211" s="1178">
        <f t="shared" ref="F211:G211" si="123">+F214+F212</f>
        <v>11270276</v>
      </c>
      <c r="G211" s="1178">
        <f t="shared" si="123"/>
        <v>8635445</v>
      </c>
      <c r="H211" s="1178"/>
      <c r="I211" s="1178"/>
      <c r="J211" s="1178"/>
      <c r="K211" s="1178"/>
      <c r="L211" s="1178">
        <f>+L214+L212</f>
        <v>0</v>
      </c>
      <c r="M211" s="3692" t="s">
        <v>21</v>
      </c>
      <c r="N211" s="3706" t="s">
        <v>92</v>
      </c>
      <c r="O211" s="354"/>
      <c r="P211" s="354">
        <v>-1230552</v>
      </c>
    </row>
    <row r="212" spans="1:16" ht="12" customHeight="1" thickBot="1">
      <c r="A212" s="3670"/>
      <c r="B212" s="1196" t="s">
        <v>22</v>
      </c>
      <c r="C212" s="3664" t="s">
        <v>431</v>
      </c>
      <c r="D212" s="1181">
        <f>+D213</f>
        <v>8042410</v>
      </c>
      <c r="E212" s="1181">
        <f t="shared" ref="E212:G212" si="124">+E213</f>
        <v>1114101</v>
      </c>
      <c r="F212" s="1181">
        <f t="shared" si="124"/>
        <v>2770876</v>
      </c>
      <c r="G212" s="1181">
        <f t="shared" si="124"/>
        <v>4157433</v>
      </c>
      <c r="H212" s="1181"/>
      <c r="I212" s="1181"/>
      <c r="J212" s="1181"/>
      <c r="K212" s="1181"/>
      <c r="L212" s="1181">
        <f>+L213</f>
        <v>0</v>
      </c>
      <c r="M212" s="3693"/>
      <c r="N212" s="3755"/>
    </row>
    <row r="213" spans="1:16" ht="12" customHeight="1" thickBot="1">
      <c r="A213" s="3670"/>
      <c r="B213" s="1206" t="s">
        <v>14</v>
      </c>
      <c r="C213" s="3722"/>
      <c r="D213" s="1115">
        <f>E213+L213+F213+G213+H213+I213+J213+K213</f>
        <v>8042410</v>
      </c>
      <c r="E213" s="1197">
        <f>4895843-1267664-2000000-514078</f>
        <v>1114101</v>
      </c>
      <c r="F213" s="1197">
        <f>4774157+1267664-1486774+514078-2265555-32694</f>
        <v>2770876</v>
      </c>
      <c r="G213" s="1197">
        <f>2426653+1730780</f>
        <v>4157433</v>
      </c>
      <c r="H213" s="1197"/>
      <c r="I213" s="1197"/>
      <c r="J213" s="1197"/>
      <c r="K213" s="1197"/>
      <c r="L213" s="1197">
        <v>0</v>
      </c>
      <c r="M213" s="3693"/>
      <c r="N213" s="3755"/>
    </row>
    <row r="214" spans="1:16" s="2450" customFormat="1">
      <c r="A214" s="3670"/>
      <c r="B214" s="2352" t="s">
        <v>17</v>
      </c>
      <c r="C214" s="3722"/>
      <c r="D214" s="1198">
        <f>+D215</f>
        <v>14848815</v>
      </c>
      <c r="E214" s="1198">
        <f t="shared" ref="E214:G214" si="125">+E215</f>
        <v>1871403</v>
      </c>
      <c r="F214" s="1198">
        <f t="shared" si="125"/>
        <v>8499400</v>
      </c>
      <c r="G214" s="1198">
        <f t="shared" si="125"/>
        <v>4478012</v>
      </c>
      <c r="H214" s="1198"/>
      <c r="I214" s="1198"/>
      <c r="J214" s="1198"/>
      <c r="K214" s="1198"/>
      <c r="L214" s="1198">
        <f>+L215</f>
        <v>0</v>
      </c>
      <c r="M214" s="3693"/>
      <c r="N214" s="3758"/>
    </row>
    <row r="215" spans="1:16" s="2450" customFormat="1" ht="13.5" thickBot="1">
      <c r="A215" s="3738"/>
      <c r="B215" s="712" t="s">
        <v>19</v>
      </c>
      <c r="C215" s="3723"/>
      <c r="D215" s="1636">
        <f>E215+L215+F215+G215+H215+I215+J215+K215</f>
        <v>14848815</v>
      </c>
      <c r="E215" s="364">
        <f>5649157-3777336-418</f>
        <v>1871403</v>
      </c>
      <c r="F215" s="364">
        <f>14225843+3777336-5026185+418-6091962+1613950</f>
        <v>8499400</v>
      </c>
      <c r="G215" s="364">
        <f>6091962-1613950</f>
        <v>4478012</v>
      </c>
      <c r="H215" s="364"/>
      <c r="I215" s="364"/>
      <c r="J215" s="364"/>
      <c r="K215" s="364"/>
      <c r="L215" s="364">
        <v>0</v>
      </c>
      <c r="M215" s="3694"/>
      <c r="N215" s="3706"/>
    </row>
    <row r="216" spans="1:16" ht="36.75" customHeight="1">
      <c r="A216" s="3669" t="s">
        <v>58</v>
      </c>
      <c r="B216" s="335" t="s">
        <v>528</v>
      </c>
      <c r="C216" s="48" t="s">
        <v>72</v>
      </c>
      <c r="D216" s="2121"/>
      <c r="E216" s="2098"/>
      <c r="F216" s="2098"/>
      <c r="G216" s="2098"/>
      <c r="H216" s="2098"/>
      <c r="I216" s="2098"/>
      <c r="J216" s="2098"/>
      <c r="K216" s="34"/>
      <c r="L216" s="2098"/>
      <c r="M216" s="36"/>
      <c r="N216" s="3724" t="s">
        <v>77</v>
      </c>
    </row>
    <row r="217" spans="1:16">
      <c r="A217" s="3670"/>
      <c r="B217" s="1705" t="s">
        <v>9</v>
      </c>
      <c r="C217" s="2643"/>
      <c r="D217" s="1213">
        <f>+D218+D221</f>
        <v>27596585</v>
      </c>
      <c r="E217" s="1213">
        <f t="shared" ref="E217" si="126">+E218+E221</f>
        <v>1449204</v>
      </c>
      <c r="F217" s="1213">
        <f t="shared" ref="F217:G217" si="127">+F218+F221</f>
        <v>823137</v>
      </c>
      <c r="G217" s="1213">
        <f t="shared" si="127"/>
        <v>25324244</v>
      </c>
      <c r="H217" s="1213"/>
      <c r="I217" s="1213"/>
      <c r="J217" s="1213"/>
      <c r="K217" s="1213"/>
      <c r="L217" s="1213">
        <f t="shared" ref="L217" si="128">+L218+L221</f>
        <v>0</v>
      </c>
      <c r="M217" s="1223">
        <f>+M218+M221</f>
        <v>25324244</v>
      </c>
      <c r="N217" s="3728"/>
      <c r="O217" s="196" t="s">
        <v>276</v>
      </c>
    </row>
    <row r="218" spans="1:16" ht="13.5" customHeight="1">
      <c r="A218" s="3670"/>
      <c r="B218" s="2159" t="s">
        <v>22</v>
      </c>
      <c r="C218" s="3653" t="s">
        <v>75</v>
      </c>
      <c r="D218" s="1214">
        <f>+D219+D220</f>
        <v>5257058</v>
      </c>
      <c r="E218" s="1214">
        <f t="shared" ref="E218" si="129">+E219+E220</f>
        <v>1299112</v>
      </c>
      <c r="F218" s="1214">
        <f>+F219+F220</f>
        <v>128591</v>
      </c>
      <c r="G218" s="1214">
        <f>+G219+G220</f>
        <v>3829355</v>
      </c>
      <c r="H218" s="1214"/>
      <c r="I218" s="1214"/>
      <c r="J218" s="1214"/>
      <c r="K218" s="1214"/>
      <c r="L218" s="1214">
        <f>+L219+L220</f>
        <v>0</v>
      </c>
      <c r="M218" s="2461">
        <f>+M219</f>
        <v>3829355</v>
      </c>
      <c r="N218" s="3728"/>
      <c r="O218" s="354"/>
    </row>
    <row r="219" spans="1:16" ht="13.5" customHeight="1">
      <c r="A219" s="3670"/>
      <c r="B219" s="2160" t="s">
        <v>11</v>
      </c>
      <c r="C219" s="3654"/>
      <c r="D219" s="1115">
        <f>E219+L219+F219+G219+H219+I219+J219+K219</f>
        <v>4049800</v>
      </c>
      <c r="E219" s="1155">
        <f>5494+46-5494+91808</f>
        <v>91854</v>
      </c>
      <c r="F219" s="1194">
        <f>2977500-2027520-661138-160251</f>
        <v>128591</v>
      </c>
      <c r="G219" s="1194">
        <f>518715+532459+1982022+635908+160251</f>
        <v>3829355</v>
      </c>
      <c r="H219" s="1194"/>
      <c r="I219" s="1194"/>
      <c r="J219" s="1194"/>
      <c r="K219" s="1194"/>
      <c r="L219" s="1194"/>
      <c r="M219" s="1195">
        <f>SUM(G219:K219)</f>
        <v>3829355</v>
      </c>
      <c r="N219" s="3728"/>
    </row>
    <row r="220" spans="1:16" ht="13.5" customHeight="1">
      <c r="A220" s="3670"/>
      <c r="B220" s="2157" t="s">
        <v>14</v>
      </c>
      <c r="C220" s="3654"/>
      <c r="D220" s="1115">
        <f>E220+L220+F220+G220+H220+I220+J220+K220</f>
        <v>1207258</v>
      </c>
      <c r="E220" s="1155">
        <f>807828+136+5494+393800</f>
        <v>1207258</v>
      </c>
      <c r="F220" s="719">
        <v>0</v>
      </c>
      <c r="G220" s="719"/>
      <c r="H220" s="719"/>
      <c r="I220" s="719"/>
      <c r="J220" s="719"/>
      <c r="K220" s="719"/>
      <c r="L220" s="719"/>
      <c r="M220" s="2853">
        <f>SUM(F220:K220)</f>
        <v>0</v>
      </c>
      <c r="N220" s="3728"/>
    </row>
    <row r="221" spans="1:16" ht="13.5" customHeight="1">
      <c r="A221" s="3670"/>
      <c r="B221" s="2352" t="s">
        <v>17</v>
      </c>
      <c r="C221" s="3654"/>
      <c r="D221" s="1181">
        <f>+D222</f>
        <v>22339527</v>
      </c>
      <c r="E221" s="1181">
        <f t="shared" ref="E221:G221" si="130">+E222</f>
        <v>150092</v>
      </c>
      <c r="F221" s="1181">
        <f t="shared" si="130"/>
        <v>694546</v>
      </c>
      <c r="G221" s="1181">
        <f t="shared" si="130"/>
        <v>21494889</v>
      </c>
      <c r="H221" s="1181"/>
      <c r="I221" s="1181"/>
      <c r="J221" s="1181"/>
      <c r="K221" s="1181"/>
      <c r="L221" s="1181">
        <f>+L222</f>
        <v>0</v>
      </c>
      <c r="M221" s="2461">
        <f>+M222</f>
        <v>21494889</v>
      </c>
      <c r="N221" s="3728"/>
    </row>
    <row r="222" spans="1:16" ht="13.5" customHeight="1">
      <c r="A222" s="3670"/>
      <c r="B222" s="2161" t="s">
        <v>19</v>
      </c>
      <c r="C222" s="3659"/>
      <c r="D222" s="1115">
        <f>E222+L222+F222+G222+H222+I222+J222+K222</f>
        <v>22339527</v>
      </c>
      <c r="E222" s="1155">
        <v>150092</v>
      </c>
      <c r="F222" s="1194">
        <f>16872500-11640936-3628926-908092</f>
        <v>694546</v>
      </c>
      <c r="G222" s="1194">
        <f>5319385+85000+11696459+3485953+908092</f>
        <v>21494889</v>
      </c>
      <c r="H222" s="1194"/>
      <c r="I222" s="1194"/>
      <c r="J222" s="1194"/>
      <c r="K222" s="1194"/>
      <c r="L222" s="1194"/>
      <c r="M222" s="1195">
        <f>SUM(G222:K222)</f>
        <v>21494889</v>
      </c>
      <c r="N222" s="3713"/>
    </row>
    <row r="223" spans="1:16">
      <c r="A223" s="3670"/>
      <c r="B223" s="1705" t="s">
        <v>20</v>
      </c>
      <c r="C223" s="458"/>
      <c r="D223" s="1178">
        <f>+D226+D224</f>
        <v>23546785</v>
      </c>
      <c r="E223" s="1178">
        <f t="shared" ref="E223" si="131">+E226+E224</f>
        <v>807964</v>
      </c>
      <c r="F223" s="1178">
        <f t="shared" ref="F223:G223" si="132">+F226+F224</f>
        <v>5746726</v>
      </c>
      <c r="G223" s="1178">
        <f t="shared" si="132"/>
        <v>16992095</v>
      </c>
      <c r="H223" s="1178"/>
      <c r="I223" s="1178"/>
      <c r="J223" s="1178"/>
      <c r="K223" s="1178"/>
      <c r="L223" s="1178">
        <f>+L226+L224</f>
        <v>0</v>
      </c>
      <c r="M223" s="3692" t="s">
        <v>21</v>
      </c>
      <c r="N223" s="3742" t="s">
        <v>92</v>
      </c>
      <c r="O223" s="354"/>
      <c r="P223" s="354">
        <v>-1230552</v>
      </c>
    </row>
    <row r="224" spans="1:16" ht="12" customHeight="1">
      <c r="A224" s="3670"/>
      <c r="B224" s="1196" t="s">
        <v>22</v>
      </c>
      <c r="C224" s="3664" t="s">
        <v>431</v>
      </c>
      <c r="D224" s="1181">
        <f>+D225</f>
        <v>1207258</v>
      </c>
      <c r="E224" s="1181">
        <f t="shared" ref="E224:G224" si="133">+E225</f>
        <v>807964</v>
      </c>
      <c r="F224" s="1181">
        <f t="shared" si="133"/>
        <v>399294</v>
      </c>
      <c r="G224" s="1181">
        <f t="shared" si="133"/>
        <v>0</v>
      </c>
      <c r="H224" s="1181"/>
      <c r="I224" s="1181"/>
      <c r="J224" s="1181"/>
      <c r="K224" s="1181"/>
      <c r="L224" s="1181">
        <f>+L225</f>
        <v>0</v>
      </c>
      <c r="M224" s="3693"/>
      <c r="N224" s="3705"/>
    </row>
    <row r="225" spans="1:16" ht="12" customHeight="1">
      <c r="A225" s="3670"/>
      <c r="B225" s="1206" t="s">
        <v>14</v>
      </c>
      <c r="C225" s="3722"/>
      <c r="D225" s="1115">
        <f>E225+L225+F225+G225+H225+I225+J225+K225</f>
        <v>1207258</v>
      </c>
      <c r="E225" s="1155">
        <f>807828+136</f>
        <v>807964</v>
      </c>
      <c r="F225" s="1197">
        <v>399294</v>
      </c>
      <c r="G225" s="1197"/>
      <c r="H225" s="1197"/>
      <c r="I225" s="1197"/>
      <c r="J225" s="1197"/>
      <c r="K225" s="1197"/>
      <c r="L225" s="1197"/>
      <c r="M225" s="3693"/>
      <c r="N225" s="3705"/>
    </row>
    <row r="226" spans="1:16" s="2450" customFormat="1" ht="13.5" customHeight="1">
      <c r="A226" s="3670"/>
      <c r="B226" s="2352" t="s">
        <v>17</v>
      </c>
      <c r="C226" s="3722"/>
      <c r="D226" s="1198">
        <f>+D227</f>
        <v>22339527</v>
      </c>
      <c r="E226" s="1198">
        <f t="shared" ref="E226:G226" si="134">+E227</f>
        <v>0</v>
      </c>
      <c r="F226" s="1198">
        <f t="shared" si="134"/>
        <v>5347432</v>
      </c>
      <c r="G226" s="1198">
        <f t="shared" si="134"/>
        <v>16992095</v>
      </c>
      <c r="H226" s="1198"/>
      <c r="I226" s="1198"/>
      <c r="J226" s="1198"/>
      <c r="K226" s="1198"/>
      <c r="L226" s="1198">
        <f>+L227</f>
        <v>0</v>
      </c>
      <c r="M226" s="3693"/>
      <c r="N226" s="3705"/>
    </row>
    <row r="227" spans="1:16" s="2450" customFormat="1" ht="13.5" thickBot="1">
      <c r="A227" s="3738"/>
      <c r="B227" s="712" t="s">
        <v>19</v>
      </c>
      <c r="C227" s="3723"/>
      <c r="D227" s="1636">
        <f>E227+L227+F227+G227+H227+I227+J227+K227</f>
        <v>22339527</v>
      </c>
      <c r="E227" s="1636">
        <v>0</v>
      </c>
      <c r="F227" s="364">
        <f>16872500+290615-85000-11696459-34224</f>
        <v>5347432</v>
      </c>
      <c r="G227" s="364">
        <f>5319385+85000+11696459-108749</f>
        <v>16992095</v>
      </c>
      <c r="H227" s="364"/>
      <c r="I227" s="364"/>
      <c r="J227" s="364"/>
      <c r="K227" s="364"/>
      <c r="L227" s="364">
        <f>5610000-5610000</f>
        <v>0</v>
      </c>
      <c r="M227" s="3694"/>
      <c r="N227" s="3706"/>
    </row>
    <row r="228" spans="1:16" ht="35.25" hidden="1" customHeight="1">
      <c r="A228" s="3669" t="s">
        <v>80</v>
      </c>
      <c r="B228" s="335" t="s">
        <v>529</v>
      </c>
      <c r="C228" s="48" t="s">
        <v>72</v>
      </c>
      <c r="D228" s="2121"/>
      <c r="E228" s="2098"/>
      <c r="F228" s="2098"/>
      <c r="G228" s="2098"/>
      <c r="H228" s="2098"/>
      <c r="I228" s="2098"/>
      <c r="J228" s="2098"/>
      <c r="K228" s="34"/>
      <c r="L228" s="2098"/>
      <c r="M228" s="36"/>
      <c r="N228" s="3724" t="s">
        <v>77</v>
      </c>
    </row>
    <row r="229" spans="1:16" ht="13.5" hidden="1" customHeight="1">
      <c r="A229" s="3670"/>
      <c r="B229" s="1705" t="s">
        <v>9</v>
      </c>
      <c r="C229" s="2643"/>
      <c r="D229" s="1213">
        <f>+D230+D233</f>
        <v>0</v>
      </c>
      <c r="E229" s="1213">
        <f t="shared" ref="E229" si="135">+E230+E233</f>
        <v>0</v>
      </c>
      <c r="F229" s="1213">
        <f t="shared" ref="F229" si="136">+F230+F233</f>
        <v>0</v>
      </c>
      <c r="G229" s="1213"/>
      <c r="H229" s="1213"/>
      <c r="I229" s="1213"/>
      <c r="J229" s="1213"/>
      <c r="K229" s="1213"/>
      <c r="L229" s="1213">
        <f>+L230+L233</f>
        <v>0</v>
      </c>
      <c r="M229" s="1223">
        <f>+M230+M233</f>
        <v>0</v>
      </c>
      <c r="N229" s="3728"/>
    </row>
    <row r="230" spans="1:16" ht="13.5" hidden="1" customHeight="1">
      <c r="A230" s="3670"/>
      <c r="B230" s="2159" t="s">
        <v>22</v>
      </c>
      <c r="C230" s="3653" t="s">
        <v>75</v>
      </c>
      <c r="D230" s="1214">
        <f>+D231+D232</f>
        <v>0</v>
      </c>
      <c r="E230" s="1214">
        <f>+E231+E232</f>
        <v>0</v>
      </c>
      <c r="F230" s="1214">
        <f>+F231+F232</f>
        <v>0</v>
      </c>
      <c r="G230" s="1214"/>
      <c r="H230" s="1214"/>
      <c r="I230" s="1214"/>
      <c r="J230" s="1214"/>
      <c r="K230" s="1214"/>
      <c r="L230" s="1214">
        <f>+L231+L232</f>
        <v>0</v>
      </c>
      <c r="M230" s="2461">
        <f>+M231+M232</f>
        <v>0</v>
      </c>
      <c r="N230" s="3728"/>
      <c r="O230" s="354"/>
    </row>
    <row r="231" spans="1:16" hidden="1">
      <c r="A231" s="3670"/>
      <c r="B231" s="2160" t="s">
        <v>11</v>
      </c>
      <c r="C231" s="3654"/>
      <c r="D231" s="1115">
        <f>E231+L231+F231+G231+H231+I231+J231+K231</f>
        <v>0</v>
      </c>
      <c r="E231" s="1194"/>
      <c r="F231" s="1194"/>
      <c r="G231" s="1194"/>
      <c r="H231" s="1194"/>
      <c r="I231" s="1194"/>
      <c r="J231" s="1194"/>
      <c r="K231" s="1194"/>
      <c r="L231" s="1194">
        <v>0</v>
      </c>
      <c r="M231" s="1195">
        <f>SUM(G231:K231)</f>
        <v>0</v>
      </c>
      <c r="N231" s="3728"/>
    </row>
    <row r="232" spans="1:16" hidden="1">
      <c r="A232" s="3670"/>
      <c r="B232" s="2157" t="s">
        <v>14</v>
      </c>
      <c r="C232" s="3654"/>
      <c r="D232" s="1115">
        <f>E232+L232+F232+G232+H232+I232+J232+K232</f>
        <v>0</v>
      </c>
      <c r="E232" s="719"/>
      <c r="F232" s="719"/>
      <c r="G232" s="719"/>
      <c r="H232" s="719"/>
      <c r="I232" s="719"/>
      <c r="J232" s="719"/>
      <c r="K232" s="719"/>
      <c r="L232" s="719">
        <f>138882-138882</f>
        <v>0</v>
      </c>
      <c r="M232" s="1195">
        <f>SUM(G232:K232)</f>
        <v>0</v>
      </c>
      <c r="N232" s="3728"/>
    </row>
    <row r="233" spans="1:16" ht="13.5" hidden="1" customHeight="1">
      <c r="A233" s="3670"/>
      <c r="B233" s="2352" t="s">
        <v>17</v>
      </c>
      <c r="C233" s="3654"/>
      <c r="D233" s="1181">
        <f>+D234</f>
        <v>0</v>
      </c>
      <c r="E233" s="1181">
        <f t="shared" ref="E233:F233" si="137">+E234</f>
        <v>0</v>
      </c>
      <c r="F233" s="1181">
        <f t="shared" si="137"/>
        <v>0</v>
      </c>
      <c r="G233" s="1181"/>
      <c r="H233" s="1181"/>
      <c r="I233" s="1181"/>
      <c r="J233" s="1181"/>
      <c r="K233" s="1181"/>
      <c r="L233" s="1181">
        <f>+L234</f>
        <v>0</v>
      </c>
      <c r="M233" s="1182">
        <f>+M234</f>
        <v>0</v>
      </c>
      <c r="N233" s="3728"/>
    </row>
    <row r="234" spans="1:16" hidden="1">
      <c r="A234" s="3670"/>
      <c r="B234" s="2161" t="s">
        <v>19</v>
      </c>
      <c r="C234" s="3659"/>
      <c r="D234" s="1115">
        <f>E234+L234+F234+G234+H234+I234+J234+K234</f>
        <v>0</v>
      </c>
      <c r="E234" s="1194"/>
      <c r="F234" s="1194"/>
      <c r="G234" s="1194"/>
      <c r="H234" s="1194"/>
      <c r="I234" s="1194"/>
      <c r="J234" s="1194"/>
      <c r="K234" s="1194"/>
      <c r="L234" s="1194">
        <v>0</v>
      </c>
      <c r="M234" s="1195">
        <f>SUM(G234:K234)</f>
        <v>0</v>
      </c>
      <c r="N234" s="3713"/>
    </row>
    <row r="235" spans="1:16" hidden="1">
      <c r="A235" s="3670"/>
      <c r="B235" s="1705" t="s">
        <v>20</v>
      </c>
      <c r="C235" s="458"/>
      <c r="D235" s="1178">
        <f>+D238+D236</f>
        <v>0</v>
      </c>
      <c r="E235" s="1178">
        <f t="shared" ref="E235" si="138">+E238+E236</f>
        <v>0</v>
      </c>
      <c r="F235" s="1178">
        <f t="shared" ref="F235" si="139">+F238+F236</f>
        <v>0</v>
      </c>
      <c r="G235" s="1178"/>
      <c r="H235" s="1178"/>
      <c r="I235" s="1178"/>
      <c r="J235" s="1178"/>
      <c r="K235" s="1178"/>
      <c r="L235" s="1178">
        <f>+L238+L236</f>
        <v>0</v>
      </c>
      <c r="M235" s="3692" t="s">
        <v>21</v>
      </c>
      <c r="N235" s="3742" t="s">
        <v>92</v>
      </c>
      <c r="O235" s="354"/>
      <c r="P235" s="354">
        <v>-1230552</v>
      </c>
    </row>
    <row r="236" spans="1:16" ht="12" hidden="1" customHeight="1">
      <c r="A236" s="3670"/>
      <c r="B236" s="1196" t="s">
        <v>22</v>
      </c>
      <c r="C236" s="3664" t="s">
        <v>431</v>
      </c>
      <c r="D236" s="1181">
        <f>+D237</f>
        <v>0</v>
      </c>
      <c r="E236" s="1181">
        <f t="shared" ref="E236:F236" si="140">+E237</f>
        <v>0</v>
      </c>
      <c r="F236" s="1181">
        <f t="shared" si="140"/>
        <v>0</v>
      </c>
      <c r="G236" s="1181"/>
      <c r="H236" s="1181"/>
      <c r="I236" s="1181"/>
      <c r="J236" s="1181"/>
      <c r="K236" s="1181"/>
      <c r="L236" s="1181">
        <f>+L237</f>
        <v>0</v>
      </c>
      <c r="M236" s="3693"/>
      <c r="N236" s="3705"/>
    </row>
    <row r="237" spans="1:16" ht="12" hidden="1" customHeight="1">
      <c r="A237" s="3670"/>
      <c r="B237" s="1206" t="s">
        <v>14</v>
      </c>
      <c r="C237" s="3722"/>
      <c r="D237" s="1115">
        <f>E237+L237+F237+G237+H237+I237+J237+K237</f>
        <v>0</v>
      </c>
      <c r="E237" s="1197"/>
      <c r="F237" s="1197"/>
      <c r="G237" s="1197"/>
      <c r="H237" s="1197"/>
      <c r="I237" s="1197"/>
      <c r="J237" s="1197"/>
      <c r="K237" s="1197"/>
      <c r="L237" s="1197">
        <f>138882-138882</f>
        <v>0</v>
      </c>
      <c r="M237" s="3693"/>
      <c r="N237" s="3705"/>
    </row>
    <row r="238" spans="1:16" s="2450" customFormat="1" ht="13.5" hidden="1" customHeight="1">
      <c r="A238" s="3670"/>
      <c r="B238" s="2352" t="s">
        <v>17</v>
      </c>
      <c r="C238" s="3722"/>
      <c r="D238" s="1198">
        <f>+D239</f>
        <v>0</v>
      </c>
      <c r="E238" s="1198">
        <f t="shared" ref="E238:F238" si="141">+E239</f>
        <v>0</v>
      </c>
      <c r="F238" s="1198">
        <f t="shared" si="141"/>
        <v>0</v>
      </c>
      <c r="G238" s="1198"/>
      <c r="H238" s="1198"/>
      <c r="I238" s="1198"/>
      <c r="J238" s="1198"/>
      <c r="K238" s="1198"/>
      <c r="L238" s="1198">
        <f>+L239</f>
        <v>0</v>
      </c>
      <c r="M238" s="3693"/>
      <c r="N238" s="3705"/>
    </row>
    <row r="239" spans="1:16" s="2450" customFormat="1" ht="13.5" hidden="1" thickBot="1">
      <c r="A239" s="3738"/>
      <c r="B239" s="712" t="s">
        <v>19</v>
      </c>
      <c r="C239" s="3723"/>
      <c r="D239" s="1636">
        <f>E239+L239+F239+G239+H239+I239+J239+K239</f>
        <v>0</v>
      </c>
      <c r="E239" s="364"/>
      <c r="F239" s="364"/>
      <c r="G239" s="364"/>
      <c r="H239" s="364"/>
      <c r="I239" s="364"/>
      <c r="J239" s="364"/>
      <c r="K239" s="364"/>
      <c r="L239" s="364">
        <v>0</v>
      </c>
      <c r="M239" s="3694"/>
      <c r="N239" s="3706"/>
    </row>
    <row r="240" spans="1:16" ht="28.5" customHeight="1">
      <c r="A240" s="3669" t="s">
        <v>105</v>
      </c>
      <c r="B240" s="335" t="s">
        <v>621</v>
      </c>
      <c r="C240" s="48" t="s">
        <v>72</v>
      </c>
      <c r="D240" s="2121"/>
      <c r="E240" s="2098"/>
      <c r="F240" s="2098"/>
      <c r="G240" s="2098"/>
      <c r="H240" s="2098"/>
      <c r="I240" s="2098"/>
      <c r="J240" s="2098"/>
      <c r="K240" s="34"/>
      <c r="L240" s="2098"/>
      <c r="M240" s="36"/>
      <c r="N240" s="3724" t="s">
        <v>77</v>
      </c>
    </row>
    <row r="241" spans="1:16" ht="15.75" customHeight="1">
      <c r="A241" s="3670"/>
      <c r="B241" s="1705" t="s">
        <v>9</v>
      </c>
      <c r="C241" s="2643"/>
      <c r="D241" s="1213">
        <f>+D242+D245</f>
        <v>18032623</v>
      </c>
      <c r="E241" s="1213">
        <f t="shared" ref="E241" si="142">+E242+E245</f>
        <v>1914309</v>
      </c>
      <c r="F241" s="1213">
        <f t="shared" ref="F241:G241" si="143">+F242+F245</f>
        <v>15868314</v>
      </c>
      <c r="G241" s="1213">
        <f t="shared" si="143"/>
        <v>250000</v>
      </c>
      <c r="H241" s="1213"/>
      <c r="I241" s="1213"/>
      <c r="J241" s="1213"/>
      <c r="K241" s="1213"/>
      <c r="L241" s="1213">
        <f>+L242+L245</f>
        <v>0</v>
      </c>
      <c r="M241" s="1223">
        <f>+M242+M245</f>
        <v>250000</v>
      </c>
      <c r="N241" s="3728"/>
      <c r="O241" s="196" t="s">
        <v>397</v>
      </c>
    </row>
    <row r="242" spans="1:16" ht="13.5" customHeight="1">
      <c r="A242" s="3670"/>
      <c r="B242" s="2159" t="s">
        <v>22</v>
      </c>
      <c r="C242" s="3653" t="s">
        <v>75</v>
      </c>
      <c r="D242" s="1214">
        <f>+D243+D244</f>
        <v>2934158</v>
      </c>
      <c r="E242" s="1214">
        <f>+E243+E244</f>
        <v>299664</v>
      </c>
      <c r="F242" s="1214">
        <f>+F243+F244</f>
        <v>2384494</v>
      </c>
      <c r="G242" s="1214">
        <f>+G243+G244</f>
        <v>250000</v>
      </c>
      <c r="H242" s="1214"/>
      <c r="I242" s="1214"/>
      <c r="J242" s="1214"/>
      <c r="K242" s="1214"/>
      <c r="L242" s="1214">
        <f>+L243+L244</f>
        <v>0</v>
      </c>
      <c r="M242" s="2461">
        <f>+M243</f>
        <v>250000</v>
      </c>
      <c r="N242" s="3728"/>
      <c r="O242" s="354"/>
    </row>
    <row r="243" spans="1:16" ht="13.5" customHeight="1">
      <c r="A243" s="3670"/>
      <c r="B243" s="2160" t="s">
        <v>11</v>
      </c>
      <c r="C243" s="3654"/>
      <c r="D243" s="1115">
        <f>E243+L243+F243+G243+H243+I243+J243+K243</f>
        <v>2934158</v>
      </c>
      <c r="E243" s="1194">
        <f>824400-289400-195000+49500-96414+6578</f>
        <v>299664</v>
      </c>
      <c r="F243" s="1194">
        <f>4671600-1971600+172898-49500+96414-270000-150000-115318</f>
        <v>2384494</v>
      </c>
      <c r="G243" s="1194">
        <v>250000</v>
      </c>
      <c r="H243" s="1194"/>
      <c r="I243" s="1194"/>
      <c r="J243" s="1194"/>
      <c r="K243" s="1194"/>
      <c r="L243" s="1194">
        <v>0</v>
      </c>
      <c r="M243" s="1195">
        <f>SUM(G243:K243)</f>
        <v>250000</v>
      </c>
      <c r="N243" s="3728"/>
    </row>
    <row r="244" spans="1:16" ht="13.5" hidden="1" customHeight="1">
      <c r="A244" s="3670"/>
      <c r="B244" s="2157" t="s">
        <v>14</v>
      </c>
      <c r="C244" s="3654"/>
      <c r="D244" s="1115">
        <f>E244+L244+F244+G244+H244+I244+J244+K244</f>
        <v>0</v>
      </c>
      <c r="E244" s="719">
        <v>0</v>
      </c>
      <c r="F244" s="719">
        <v>0</v>
      </c>
      <c r="G244" s="719"/>
      <c r="H244" s="719"/>
      <c r="I244" s="719"/>
      <c r="J244" s="719"/>
      <c r="K244" s="719"/>
      <c r="L244" s="719">
        <v>0</v>
      </c>
      <c r="M244" s="1195">
        <f>SUM(F244:K244)</f>
        <v>0</v>
      </c>
      <c r="N244" s="3728"/>
    </row>
    <row r="245" spans="1:16" ht="13.5" customHeight="1">
      <c r="A245" s="3670"/>
      <c r="B245" s="2352" t="s">
        <v>17</v>
      </c>
      <c r="C245" s="3654"/>
      <c r="D245" s="1181">
        <f>+D246</f>
        <v>15098465</v>
      </c>
      <c r="E245" s="1181">
        <f t="shared" ref="E245:F245" si="144">+E246</f>
        <v>1614645</v>
      </c>
      <c r="F245" s="1181">
        <f t="shared" si="144"/>
        <v>13483820</v>
      </c>
      <c r="G245" s="1181"/>
      <c r="H245" s="1181"/>
      <c r="I245" s="1181"/>
      <c r="J245" s="1181"/>
      <c r="K245" s="1181"/>
      <c r="L245" s="1181">
        <f>+L246</f>
        <v>0</v>
      </c>
      <c r="M245" s="1182">
        <f>+M246</f>
        <v>0</v>
      </c>
      <c r="N245" s="3728"/>
    </row>
    <row r="246" spans="1:16" ht="13.5" customHeight="1">
      <c r="A246" s="3670"/>
      <c r="B246" s="2161" t="s">
        <v>19</v>
      </c>
      <c r="C246" s="3659"/>
      <c r="D246" s="1115">
        <f>E246+L246+F246+G246+H246+I246+J246+K246</f>
        <v>15098465</v>
      </c>
      <c r="E246" s="1194">
        <f>4671600-2206600-1105000+450500-189277-6578</f>
        <v>1614645</v>
      </c>
      <c r="F246" s="1194">
        <f>26472400-11172400+979758-450500+189277-1530000-850000-154715</f>
        <v>13483820</v>
      </c>
      <c r="G246" s="1194"/>
      <c r="H246" s="1194"/>
      <c r="I246" s="1194"/>
      <c r="J246" s="1194"/>
      <c r="K246" s="1194"/>
      <c r="L246" s="1194">
        <v>0</v>
      </c>
      <c r="M246" s="1195">
        <f>SUM(G246:K246)</f>
        <v>0</v>
      </c>
      <c r="N246" s="3713"/>
    </row>
    <row r="247" spans="1:16" ht="13.5" thickBot="1">
      <c r="A247" s="3670"/>
      <c r="B247" s="1705" t="s">
        <v>20</v>
      </c>
      <c r="C247" s="458"/>
      <c r="D247" s="1178">
        <f>+D250+D248</f>
        <v>15098465</v>
      </c>
      <c r="E247" s="1178">
        <f t="shared" ref="E247" si="145">+E250+E248</f>
        <v>1803921</v>
      </c>
      <c r="F247" s="1178">
        <f t="shared" ref="F247" si="146">+F250+F248</f>
        <v>13294544</v>
      </c>
      <c r="G247" s="1178"/>
      <c r="H247" s="1178"/>
      <c r="I247" s="1178"/>
      <c r="J247" s="1178"/>
      <c r="K247" s="1178"/>
      <c r="L247" s="1178">
        <f>+L250+L248</f>
        <v>0</v>
      </c>
      <c r="M247" s="3692" t="s">
        <v>21</v>
      </c>
      <c r="N247" s="3742" t="s">
        <v>92</v>
      </c>
      <c r="O247" s="354"/>
      <c r="P247" s="354">
        <v>-1230552</v>
      </c>
    </row>
    <row r="248" spans="1:16" ht="12" hidden="1" customHeight="1">
      <c r="A248" s="3670"/>
      <c r="B248" s="1196" t="s">
        <v>22</v>
      </c>
      <c r="C248" s="3664" t="s">
        <v>204</v>
      </c>
      <c r="D248" s="1181">
        <f>+D249</f>
        <v>0</v>
      </c>
      <c r="E248" s="1181">
        <f t="shared" ref="E248:F248" si="147">+E249</f>
        <v>0</v>
      </c>
      <c r="F248" s="1181">
        <f t="shared" si="147"/>
        <v>0</v>
      </c>
      <c r="G248" s="1181"/>
      <c r="H248" s="1181"/>
      <c r="I248" s="1181"/>
      <c r="J248" s="1181"/>
      <c r="K248" s="1181"/>
      <c r="L248" s="1181">
        <f>+L249</f>
        <v>0</v>
      </c>
      <c r="M248" s="3693"/>
      <c r="N248" s="3706"/>
    </row>
    <row r="249" spans="1:16" ht="12" hidden="1" customHeight="1">
      <c r="A249" s="3670"/>
      <c r="B249" s="1206" t="s">
        <v>14</v>
      </c>
      <c r="C249" s="3722"/>
      <c r="D249" s="1115">
        <f>E249+L249+F249+G249+H249+I249+J249+K249</f>
        <v>0</v>
      </c>
      <c r="E249" s="1197"/>
      <c r="F249" s="1197"/>
      <c r="G249" s="1197"/>
      <c r="H249" s="1197"/>
      <c r="I249" s="1197"/>
      <c r="J249" s="1197"/>
      <c r="K249" s="1197"/>
      <c r="L249" s="1197"/>
      <c r="M249" s="3693"/>
      <c r="N249" s="3755"/>
    </row>
    <row r="250" spans="1:16" s="2450" customFormat="1" ht="13.5" customHeight="1" thickBot="1">
      <c r="A250" s="3670"/>
      <c r="B250" s="2352" t="s">
        <v>17</v>
      </c>
      <c r="C250" s="3722"/>
      <c r="D250" s="1198">
        <f>+D251</f>
        <v>15098465</v>
      </c>
      <c r="E250" s="1198">
        <f t="shared" ref="E250:F250" si="148">+E251</f>
        <v>1803921</v>
      </c>
      <c r="F250" s="1198">
        <f t="shared" si="148"/>
        <v>13294544</v>
      </c>
      <c r="G250" s="1198"/>
      <c r="H250" s="1198"/>
      <c r="I250" s="1198"/>
      <c r="J250" s="1198"/>
      <c r="K250" s="1198"/>
      <c r="L250" s="1198">
        <f>+L251</f>
        <v>0</v>
      </c>
      <c r="M250" s="3693"/>
      <c r="N250" s="3755"/>
    </row>
    <row r="251" spans="1:16" s="2450" customFormat="1" ht="13.5" thickBot="1">
      <c r="A251" s="3738"/>
      <c r="B251" s="712" t="s">
        <v>19</v>
      </c>
      <c r="C251" s="3723"/>
      <c r="D251" s="1636">
        <f>E251+L251+F251+G251+H251+I251+J251+K251</f>
        <v>15098465</v>
      </c>
      <c r="E251" s="364">
        <f>4671600-2206600-1105000+450500-6579</f>
        <v>1803921</v>
      </c>
      <c r="F251" s="364">
        <f>26472400-11172400+979758-450500+6579-1530000-850000-161293</f>
        <v>13294544</v>
      </c>
      <c r="G251" s="364"/>
      <c r="H251" s="364"/>
      <c r="I251" s="364"/>
      <c r="J251" s="364"/>
      <c r="K251" s="364"/>
      <c r="L251" s="364">
        <v>0</v>
      </c>
      <c r="M251" s="3694"/>
      <c r="N251" s="3755"/>
    </row>
    <row r="252" spans="1:16" s="2450" customFormat="1" ht="24.75" customHeight="1" thickBot="1">
      <c r="A252" s="3669" t="s">
        <v>78</v>
      </c>
      <c r="B252" s="335" t="s">
        <v>494</v>
      </c>
      <c r="C252" s="48" t="s">
        <v>72</v>
      </c>
      <c r="D252" s="2121"/>
      <c r="E252" s="2098"/>
      <c r="F252" s="2098"/>
      <c r="G252" s="2098"/>
      <c r="H252" s="2098"/>
      <c r="I252" s="2098"/>
      <c r="J252" s="2098"/>
      <c r="K252" s="34"/>
      <c r="L252" s="2098"/>
      <c r="M252" s="36"/>
      <c r="N252" s="3800" t="s">
        <v>77</v>
      </c>
    </row>
    <row r="253" spans="1:16" s="2450" customFormat="1" ht="13.5" thickBot="1">
      <c r="A253" s="3670"/>
      <c r="B253" s="1705" t="s">
        <v>9</v>
      </c>
      <c r="C253" s="2643"/>
      <c r="D253" s="1213">
        <f>+D254+D257</f>
        <v>100250000</v>
      </c>
      <c r="E253" s="1213">
        <f t="shared" ref="E253" si="149">+E254+E257</f>
        <v>500918</v>
      </c>
      <c r="F253" s="1213">
        <f t="shared" ref="F253:H253" si="150">+F254+F257</f>
        <v>930340</v>
      </c>
      <c r="G253" s="1213">
        <f t="shared" si="150"/>
        <v>45619660</v>
      </c>
      <c r="H253" s="1213">
        <f t="shared" si="150"/>
        <v>53199082</v>
      </c>
      <c r="I253" s="1213"/>
      <c r="J253" s="1213"/>
      <c r="K253" s="1213"/>
      <c r="L253" s="1213">
        <f>+L254+L257</f>
        <v>0</v>
      </c>
      <c r="M253" s="1223">
        <f>+M254+M257</f>
        <v>98818742</v>
      </c>
      <c r="N253" s="3800"/>
    </row>
    <row r="254" spans="1:16" s="2450" customFormat="1" ht="13.5" thickBot="1">
      <c r="A254" s="3670"/>
      <c r="B254" s="2159" t="s">
        <v>22</v>
      </c>
      <c r="C254" s="3653" t="s">
        <v>75</v>
      </c>
      <c r="D254" s="1214">
        <f t="shared" ref="D254:H254" si="151">+D255+D256</f>
        <v>15132500</v>
      </c>
      <c r="E254" s="1214">
        <f t="shared" si="151"/>
        <v>75138</v>
      </c>
      <c r="F254" s="1214">
        <f t="shared" si="151"/>
        <v>210643</v>
      </c>
      <c r="G254" s="1214">
        <f t="shared" si="151"/>
        <v>6866857</v>
      </c>
      <c r="H254" s="1214">
        <f t="shared" si="151"/>
        <v>7979862</v>
      </c>
      <c r="I254" s="1214"/>
      <c r="J254" s="1214"/>
      <c r="K254" s="1214"/>
      <c r="L254" s="1214">
        <f>+L255+L256</f>
        <v>0</v>
      </c>
      <c r="M254" s="2461">
        <f>+M255</f>
        <v>14846719</v>
      </c>
      <c r="N254" s="3800"/>
    </row>
    <row r="255" spans="1:16" s="2450" customFormat="1" ht="13.5" thickBot="1">
      <c r="A255" s="3670"/>
      <c r="B255" s="2160" t="s">
        <v>11</v>
      </c>
      <c r="C255" s="3654"/>
      <c r="D255" s="1115">
        <f>E255+L255+F255+G255+H255+I255+J255+K255</f>
        <v>15132500</v>
      </c>
      <c r="E255" s="1194">
        <f>88875-13737</f>
        <v>75138</v>
      </c>
      <c r="F255" s="1194">
        <f>7426660+13737-7195397-34357</f>
        <v>210643</v>
      </c>
      <c r="G255" s="1194">
        <f>4654440+2178060+34357</f>
        <v>6866857</v>
      </c>
      <c r="H255" s="1194">
        <v>7979862</v>
      </c>
      <c r="I255" s="1194"/>
      <c r="J255" s="1194"/>
      <c r="K255" s="1194"/>
      <c r="L255" s="1194">
        <v>0</v>
      </c>
      <c r="M255" s="1195">
        <f>SUM(G255:K255)</f>
        <v>14846719</v>
      </c>
      <c r="N255" s="3800"/>
    </row>
    <row r="256" spans="1:16" s="2450" customFormat="1" ht="13.5" hidden="1" thickBot="1">
      <c r="A256" s="3670"/>
      <c r="B256" s="2157" t="s">
        <v>14</v>
      </c>
      <c r="C256" s="3654"/>
      <c r="D256" s="1115">
        <f>E256+L256+F256+G256+H256+I256+J256+K256</f>
        <v>0</v>
      </c>
      <c r="E256" s="719">
        <v>0</v>
      </c>
      <c r="F256" s="719">
        <v>0</v>
      </c>
      <c r="G256" s="719"/>
      <c r="H256" s="719"/>
      <c r="I256" s="719"/>
      <c r="J256" s="719"/>
      <c r="K256" s="719"/>
      <c r="L256" s="719">
        <v>0</v>
      </c>
      <c r="M256" s="1195">
        <f>SUM(F256:K256)</f>
        <v>0</v>
      </c>
      <c r="N256" s="3800"/>
    </row>
    <row r="257" spans="1:14" s="2450" customFormat="1" ht="13.5" thickBot="1">
      <c r="A257" s="3670"/>
      <c r="B257" s="1745" t="s">
        <v>17</v>
      </c>
      <c r="C257" s="3654"/>
      <c r="D257" s="1181">
        <f>+D258</f>
        <v>85117500</v>
      </c>
      <c r="E257" s="1181">
        <f t="shared" ref="E257:H257" si="152">+E258</f>
        <v>425780</v>
      </c>
      <c r="F257" s="1181">
        <f t="shared" si="152"/>
        <v>719697</v>
      </c>
      <c r="G257" s="1181">
        <f t="shared" si="152"/>
        <v>38752803</v>
      </c>
      <c r="H257" s="1181">
        <f t="shared" si="152"/>
        <v>45219220</v>
      </c>
      <c r="I257" s="1181"/>
      <c r="J257" s="1181"/>
      <c r="K257" s="1181"/>
      <c r="L257" s="1181">
        <f>+L258</f>
        <v>0</v>
      </c>
      <c r="M257" s="1182">
        <f>+M258</f>
        <v>83972023</v>
      </c>
      <c r="N257" s="3800"/>
    </row>
    <row r="258" spans="1:14" s="2450" customFormat="1" ht="13.5" thickBot="1">
      <c r="A258" s="3670"/>
      <c r="B258" s="2161" t="s">
        <v>19</v>
      </c>
      <c r="C258" s="3659"/>
      <c r="D258" s="1115">
        <f>E258+L258+F258+G258+H258+I258+J258+K258</f>
        <v>85117500</v>
      </c>
      <c r="E258" s="1194">
        <f>503625-77845</f>
        <v>425780</v>
      </c>
      <c r="F258" s="1194">
        <f>41517740+77845-40840585-35303</f>
        <v>719697</v>
      </c>
      <c r="G258" s="1194">
        <f>26375160+12342340+35303</f>
        <v>38752803</v>
      </c>
      <c r="H258" s="1194">
        <v>45219220</v>
      </c>
      <c r="I258" s="1194"/>
      <c r="J258" s="1194"/>
      <c r="K258" s="1194"/>
      <c r="L258" s="1194">
        <v>0</v>
      </c>
      <c r="M258" s="1195">
        <f>SUM(G258:K258)</f>
        <v>83972023</v>
      </c>
      <c r="N258" s="3800"/>
    </row>
    <row r="259" spans="1:14" s="2450" customFormat="1" ht="13.5" thickBot="1">
      <c r="A259" s="3670"/>
      <c r="B259" s="1705" t="s">
        <v>20</v>
      </c>
      <c r="C259" s="458"/>
      <c r="D259" s="1178">
        <f>+D262+D260</f>
        <v>85117500</v>
      </c>
      <c r="E259" s="1178">
        <f t="shared" ref="E259" si="153">+E262+E260</f>
        <v>0</v>
      </c>
      <c r="F259" s="1178">
        <f t="shared" ref="F259:H259" si="154">+F262+F260</f>
        <v>1180780</v>
      </c>
      <c r="G259" s="1178">
        <f t="shared" si="154"/>
        <v>38717500</v>
      </c>
      <c r="H259" s="1178">
        <f t="shared" si="154"/>
        <v>45219220</v>
      </c>
      <c r="I259" s="1178"/>
      <c r="J259" s="1178"/>
      <c r="K259" s="1178"/>
      <c r="L259" s="1178">
        <f>+L262+L260</f>
        <v>0</v>
      </c>
      <c r="M259" s="3692" t="s">
        <v>21</v>
      </c>
      <c r="N259" s="3755" t="s">
        <v>92</v>
      </c>
    </row>
    <row r="260" spans="1:14" s="2450" customFormat="1" ht="13.5" hidden="1" customHeight="1" thickBot="1">
      <c r="A260" s="3670"/>
      <c r="B260" s="1185" t="s">
        <v>22</v>
      </c>
      <c r="C260" s="3664" t="s">
        <v>204</v>
      </c>
      <c r="D260" s="1181">
        <f>+D261</f>
        <v>0</v>
      </c>
      <c r="E260" s="1181">
        <f t="shared" ref="E260:F260" si="155">+E261</f>
        <v>0</v>
      </c>
      <c r="F260" s="1181">
        <f t="shared" si="155"/>
        <v>0</v>
      </c>
      <c r="G260" s="1181"/>
      <c r="H260" s="1181"/>
      <c r="I260" s="1181"/>
      <c r="J260" s="1181"/>
      <c r="K260" s="1181"/>
      <c r="L260" s="1181">
        <f>+L261</f>
        <v>0</v>
      </c>
      <c r="M260" s="3693"/>
      <c r="N260" s="3755"/>
    </row>
    <row r="261" spans="1:14" s="2450" customFormat="1" ht="13.5" hidden="1" customHeight="1" thickBot="1">
      <c r="A261" s="3670"/>
      <c r="B261" s="1206" t="s">
        <v>14</v>
      </c>
      <c r="C261" s="3722"/>
      <c r="D261" s="1115">
        <f>E261+L261+F261+G261+H261+I261+J261+K261</f>
        <v>0</v>
      </c>
      <c r="E261" s="1197"/>
      <c r="F261" s="1197"/>
      <c r="G261" s="1197"/>
      <c r="H261" s="1197"/>
      <c r="I261" s="1197"/>
      <c r="J261" s="1197"/>
      <c r="K261" s="1197"/>
      <c r="L261" s="1197"/>
      <c r="M261" s="3693"/>
      <c r="N261" s="3755"/>
    </row>
    <row r="262" spans="1:14" s="2450" customFormat="1">
      <c r="A262" s="3670"/>
      <c r="B262" s="2352" t="s">
        <v>17</v>
      </c>
      <c r="C262" s="3722"/>
      <c r="D262" s="1198">
        <f>+D263</f>
        <v>85117500</v>
      </c>
      <c r="E262" s="1198">
        <f t="shared" ref="E262:H262" si="156">+E263</f>
        <v>0</v>
      </c>
      <c r="F262" s="1198">
        <f t="shared" si="156"/>
        <v>1180780</v>
      </c>
      <c r="G262" s="1198">
        <f t="shared" si="156"/>
        <v>38717500</v>
      </c>
      <c r="H262" s="1198">
        <f t="shared" si="156"/>
        <v>45219220</v>
      </c>
      <c r="I262" s="1198"/>
      <c r="J262" s="1198"/>
      <c r="K262" s="1198"/>
      <c r="L262" s="1198">
        <f>+L263</f>
        <v>0</v>
      </c>
      <c r="M262" s="3693"/>
      <c r="N262" s="3758"/>
    </row>
    <row r="263" spans="1:14" s="2450" customFormat="1" ht="13.5" thickBot="1">
      <c r="A263" s="3738"/>
      <c r="B263" s="712" t="s">
        <v>19</v>
      </c>
      <c r="C263" s="3723"/>
      <c r="D263" s="1636">
        <f>E263+L263+F263+G263+H263+I263+J263+K263</f>
        <v>85117500</v>
      </c>
      <c r="E263" s="364"/>
      <c r="F263" s="364">
        <f>38021365-36840585</f>
        <v>1180780</v>
      </c>
      <c r="G263" s="364">
        <f>30375160+8342340</f>
        <v>38717500</v>
      </c>
      <c r="H263" s="364">
        <v>45219220</v>
      </c>
      <c r="I263" s="364"/>
      <c r="J263" s="364"/>
      <c r="K263" s="364"/>
      <c r="L263" s="364"/>
      <c r="M263" s="3694"/>
      <c r="N263" s="3706"/>
    </row>
    <row r="264" spans="1:14" s="2450" customFormat="1" ht="36">
      <c r="A264" s="3669" t="s">
        <v>79</v>
      </c>
      <c r="B264" s="335" t="s">
        <v>439</v>
      </c>
      <c r="C264" s="48" t="s">
        <v>72</v>
      </c>
      <c r="D264" s="2121"/>
      <c r="E264" s="2098"/>
      <c r="F264" s="2098"/>
      <c r="G264" s="2098"/>
      <c r="H264" s="2098"/>
      <c r="I264" s="2098"/>
      <c r="J264" s="2098"/>
      <c r="K264" s="34"/>
      <c r="L264" s="2098"/>
      <c r="M264" s="36"/>
      <c r="N264" s="3724" t="s">
        <v>77</v>
      </c>
    </row>
    <row r="265" spans="1:14" s="2450" customFormat="1">
      <c r="A265" s="3670"/>
      <c r="B265" s="1705" t="s">
        <v>9</v>
      </c>
      <c r="C265" s="2643"/>
      <c r="D265" s="1213">
        <f>+D266+D269</f>
        <v>40700000</v>
      </c>
      <c r="E265" s="1213">
        <f t="shared" ref="E265:H265" si="157">+E266+E269</f>
        <v>1363392</v>
      </c>
      <c r="F265" s="1213">
        <f t="shared" si="157"/>
        <v>4179086</v>
      </c>
      <c r="G265" s="1213">
        <f t="shared" si="157"/>
        <v>24600928</v>
      </c>
      <c r="H265" s="1213">
        <f t="shared" si="157"/>
        <v>10556594</v>
      </c>
      <c r="I265" s="1213"/>
      <c r="J265" s="1213"/>
      <c r="K265" s="1213"/>
      <c r="L265" s="1213">
        <f>+L266+L269</f>
        <v>0</v>
      </c>
      <c r="M265" s="1223">
        <f>+M266+M269</f>
        <v>35157522</v>
      </c>
      <c r="N265" s="3728"/>
    </row>
    <row r="266" spans="1:14" s="2450" customFormat="1">
      <c r="A266" s="3670"/>
      <c r="B266" s="2159" t="s">
        <v>22</v>
      </c>
      <c r="C266" s="3653" t="s">
        <v>75</v>
      </c>
      <c r="D266" s="1214">
        <f>+D267+D268</f>
        <v>6275110</v>
      </c>
      <c r="E266" s="1214">
        <f t="shared" ref="E266" si="158">+E267+E268</f>
        <v>221497</v>
      </c>
      <c r="F266" s="1214">
        <f>+F267+F268</f>
        <v>694091</v>
      </c>
      <c r="G266" s="1214">
        <f>+G267+G268</f>
        <v>3776033</v>
      </c>
      <c r="H266" s="1214">
        <f>+H267+H268</f>
        <v>1583489</v>
      </c>
      <c r="I266" s="1214"/>
      <c r="J266" s="1214"/>
      <c r="K266" s="1214"/>
      <c r="L266" s="1214">
        <f>+L267+L268</f>
        <v>0</v>
      </c>
      <c r="M266" s="2461">
        <f>+M267</f>
        <v>5359522</v>
      </c>
      <c r="N266" s="3728"/>
    </row>
    <row r="267" spans="1:14" s="2450" customFormat="1">
      <c r="A267" s="3670"/>
      <c r="B267" s="2160" t="s">
        <v>11</v>
      </c>
      <c r="C267" s="3654"/>
      <c r="D267" s="1115">
        <f>E267+L267+F267+G267+H267+I267+J267+K267</f>
        <v>6275110</v>
      </c>
      <c r="E267" s="1155">
        <f>144271+77226</f>
        <v>221497</v>
      </c>
      <c r="F267" s="1194">
        <f>495014+300005-100928</f>
        <v>694091</v>
      </c>
      <c r="G267" s="1194">
        <f>3300000+675000-299895+100928</f>
        <v>3776033</v>
      </c>
      <c r="H267" s="1194">
        <v>1583489</v>
      </c>
      <c r="I267" s="1194"/>
      <c r="J267" s="1194"/>
      <c r="K267" s="1194"/>
      <c r="L267" s="1194">
        <v>0</v>
      </c>
      <c r="M267" s="1195">
        <f>SUM(G267:K267)</f>
        <v>5359522</v>
      </c>
      <c r="N267" s="3728"/>
    </row>
    <row r="268" spans="1:14" s="2450" customFormat="1" hidden="1">
      <c r="A268" s="3670"/>
      <c r="B268" s="2157" t="s">
        <v>14</v>
      </c>
      <c r="C268" s="3654"/>
      <c r="D268" s="1115">
        <f>E268+L268+F268+G268+H268+I268+J268+K268</f>
        <v>0</v>
      </c>
      <c r="E268" s="2466">
        <v>0</v>
      </c>
      <c r="F268" s="719">
        <v>0</v>
      </c>
      <c r="G268" s="719"/>
      <c r="H268" s="719"/>
      <c r="I268" s="719"/>
      <c r="J268" s="719"/>
      <c r="K268" s="719"/>
      <c r="L268" s="719">
        <v>0</v>
      </c>
      <c r="M268" s="2853">
        <f>SUM(F268:K268)</f>
        <v>0</v>
      </c>
      <c r="N268" s="3728"/>
    </row>
    <row r="269" spans="1:14" s="2450" customFormat="1">
      <c r="A269" s="3670"/>
      <c r="B269" s="2352" t="s">
        <v>17</v>
      </c>
      <c r="C269" s="3654"/>
      <c r="D269" s="1181">
        <f>+D270</f>
        <v>34424890</v>
      </c>
      <c r="E269" s="1181">
        <f t="shared" ref="E269:H269" si="159">+E270</f>
        <v>1141895</v>
      </c>
      <c r="F269" s="1181">
        <f t="shared" si="159"/>
        <v>3484995</v>
      </c>
      <c r="G269" s="1181">
        <f t="shared" si="159"/>
        <v>20824895</v>
      </c>
      <c r="H269" s="1181">
        <f t="shared" si="159"/>
        <v>8973105</v>
      </c>
      <c r="I269" s="1181"/>
      <c r="J269" s="1181"/>
      <c r="K269" s="1181"/>
      <c r="L269" s="1181">
        <f>+L270</f>
        <v>0</v>
      </c>
      <c r="M269" s="2461">
        <f>+M270</f>
        <v>29798000</v>
      </c>
      <c r="N269" s="3728"/>
    </row>
    <row r="270" spans="1:14" s="2450" customFormat="1">
      <c r="A270" s="3670"/>
      <c r="B270" s="2161" t="s">
        <v>19</v>
      </c>
      <c r="C270" s="3659"/>
      <c r="D270" s="1115">
        <f>E270+L270+F270+G270+H270+I270+J270+K270</f>
        <v>34424890</v>
      </c>
      <c r="E270" s="1155">
        <f>730122+411773</f>
        <v>1141895</v>
      </c>
      <c r="F270" s="1194">
        <f>1785000+1699995</f>
        <v>3484995</v>
      </c>
      <c r="G270" s="1194">
        <f>18700000+3825000-1700105</f>
        <v>20824895</v>
      </c>
      <c r="H270" s="1194">
        <v>8973105</v>
      </c>
      <c r="I270" s="1194"/>
      <c r="J270" s="1194"/>
      <c r="K270" s="1194"/>
      <c r="L270" s="1194">
        <v>0</v>
      </c>
      <c r="M270" s="1195">
        <f>SUM(G270:K270)</f>
        <v>29798000</v>
      </c>
      <c r="N270" s="3713"/>
    </row>
    <row r="271" spans="1:14" s="2450" customFormat="1">
      <c r="A271" s="3670"/>
      <c r="B271" s="1705" t="s">
        <v>20</v>
      </c>
      <c r="C271" s="458"/>
      <c r="D271" s="1178">
        <f>+D274+D272</f>
        <v>34424890</v>
      </c>
      <c r="E271" s="1421">
        <f t="shared" ref="E271:H271" si="160">+E274+E272</f>
        <v>0</v>
      </c>
      <c r="F271" s="1178">
        <f t="shared" si="160"/>
        <v>0</v>
      </c>
      <c r="G271" s="1178">
        <f t="shared" si="160"/>
        <v>25451785</v>
      </c>
      <c r="H271" s="1178">
        <f t="shared" si="160"/>
        <v>8973105</v>
      </c>
      <c r="I271" s="1178"/>
      <c r="J271" s="1178"/>
      <c r="K271" s="1178"/>
      <c r="L271" s="1178">
        <f>+L274+L272</f>
        <v>0</v>
      </c>
      <c r="M271" s="3757" t="s">
        <v>21</v>
      </c>
      <c r="N271" s="3742" t="s">
        <v>92</v>
      </c>
    </row>
    <row r="272" spans="1:14" s="2450" customFormat="1" ht="12.75" hidden="1" customHeight="1">
      <c r="A272" s="3670"/>
      <c r="B272" s="1196" t="s">
        <v>22</v>
      </c>
      <c r="C272" s="3664" t="s">
        <v>204</v>
      </c>
      <c r="D272" s="1181">
        <f>+D273</f>
        <v>0</v>
      </c>
      <c r="E272" s="1419">
        <f t="shared" ref="E272:F272" si="161">+E273</f>
        <v>0</v>
      </c>
      <c r="F272" s="1181">
        <f t="shared" si="161"/>
        <v>0</v>
      </c>
      <c r="G272" s="1181"/>
      <c r="H272" s="1181"/>
      <c r="I272" s="1181"/>
      <c r="J272" s="1181"/>
      <c r="K272" s="1181"/>
      <c r="L272" s="1181">
        <f>+L273</f>
        <v>0</v>
      </c>
      <c r="M272" s="3717"/>
      <c r="N272" s="3705"/>
    </row>
    <row r="273" spans="1:14" s="2450" customFormat="1" ht="12.75" hidden="1" customHeight="1">
      <c r="A273" s="3670"/>
      <c r="B273" s="1206" t="s">
        <v>14</v>
      </c>
      <c r="C273" s="3722"/>
      <c r="D273" s="1115">
        <f>E273+L273+F273+G273+H273+I273+J273+K273</f>
        <v>0</v>
      </c>
      <c r="E273" s="2795"/>
      <c r="F273" s="1197"/>
      <c r="G273" s="1197"/>
      <c r="H273" s="1197"/>
      <c r="I273" s="1197"/>
      <c r="J273" s="1197"/>
      <c r="K273" s="1197"/>
      <c r="L273" s="1197"/>
      <c r="M273" s="3717"/>
      <c r="N273" s="3705"/>
    </row>
    <row r="274" spans="1:14" s="2450" customFormat="1">
      <c r="A274" s="3670"/>
      <c r="B274" s="2352" t="s">
        <v>17</v>
      </c>
      <c r="C274" s="3722"/>
      <c r="D274" s="1198">
        <f>+D275</f>
        <v>34424890</v>
      </c>
      <c r="E274" s="1422">
        <f t="shared" ref="E274:H274" si="162">+E275</f>
        <v>0</v>
      </c>
      <c r="F274" s="1198">
        <f t="shared" si="162"/>
        <v>0</v>
      </c>
      <c r="G274" s="1198">
        <f t="shared" si="162"/>
        <v>25451785</v>
      </c>
      <c r="H274" s="1198">
        <f t="shared" si="162"/>
        <v>8973105</v>
      </c>
      <c r="I274" s="1198"/>
      <c r="J274" s="1198"/>
      <c r="K274" s="1198"/>
      <c r="L274" s="1198">
        <f>+L275</f>
        <v>0</v>
      </c>
      <c r="M274" s="3717"/>
      <c r="N274" s="3705"/>
    </row>
    <row r="275" spans="1:14" s="2450" customFormat="1" ht="13.5" thickBot="1">
      <c r="A275" s="3738"/>
      <c r="B275" s="712" t="s">
        <v>19</v>
      </c>
      <c r="C275" s="3723"/>
      <c r="D275" s="1636">
        <f>E275+L275+F275+G275+H275+I275+J275+K275</f>
        <v>34424890</v>
      </c>
      <c r="E275" s="1909">
        <v>0</v>
      </c>
      <c r="F275" s="364">
        <f>1785000+1141895-2926895</f>
        <v>0</v>
      </c>
      <c r="G275" s="364">
        <f>18700000+3825000+2926895-110</f>
        <v>25451785</v>
      </c>
      <c r="H275" s="364">
        <v>8973105</v>
      </c>
      <c r="I275" s="364"/>
      <c r="J275" s="364"/>
      <c r="K275" s="364"/>
      <c r="L275" s="1636">
        <v>0</v>
      </c>
      <c r="M275" s="3718"/>
      <c r="N275" s="3706"/>
    </row>
    <row r="276" spans="1:14" s="2450" customFormat="1" ht="24">
      <c r="A276" s="3669" t="s">
        <v>80</v>
      </c>
      <c r="B276" s="335" t="s">
        <v>435</v>
      </c>
      <c r="C276" s="48" t="s">
        <v>72</v>
      </c>
      <c r="D276" s="2121"/>
      <c r="E276" s="2097"/>
      <c r="F276" s="2098"/>
      <c r="G276" s="2098"/>
      <c r="H276" s="2098"/>
      <c r="I276" s="2098"/>
      <c r="J276" s="2098"/>
      <c r="K276" s="34"/>
      <c r="L276" s="2098"/>
      <c r="M276" s="36"/>
      <c r="N276" s="3724" t="s">
        <v>77</v>
      </c>
    </row>
    <row r="277" spans="1:14" s="2450" customFormat="1">
      <c r="A277" s="3670"/>
      <c r="B277" s="1705" t="s">
        <v>9</v>
      </c>
      <c r="C277" s="2643"/>
      <c r="D277" s="1213">
        <f>+D278+D281</f>
        <v>17800000</v>
      </c>
      <c r="E277" s="3007">
        <f t="shared" ref="E277:G277" si="163">+E278+E281</f>
        <v>0</v>
      </c>
      <c r="F277" s="1213">
        <f t="shared" si="163"/>
        <v>1206536</v>
      </c>
      <c r="G277" s="1213">
        <f t="shared" si="163"/>
        <v>16593464</v>
      </c>
      <c r="H277" s="1213"/>
      <c r="I277" s="1213"/>
      <c r="J277" s="1213"/>
      <c r="K277" s="1213"/>
      <c r="L277" s="1213">
        <f>+L278+L281</f>
        <v>0</v>
      </c>
      <c r="M277" s="1223">
        <f>+M278+M281</f>
        <v>16593464</v>
      </c>
      <c r="N277" s="3728"/>
    </row>
    <row r="278" spans="1:14" s="2450" customFormat="1">
      <c r="A278" s="3670"/>
      <c r="B278" s="2159" t="s">
        <v>22</v>
      </c>
      <c r="C278" s="3653" t="s">
        <v>75</v>
      </c>
      <c r="D278" s="1214">
        <f>+D279+D280</f>
        <v>2755000</v>
      </c>
      <c r="E278" s="3008">
        <f t="shared" ref="E278" si="164">+E279+E280</f>
        <v>0</v>
      </c>
      <c r="F278" s="1214">
        <f>+F279+F280</f>
        <v>190492</v>
      </c>
      <c r="G278" s="1214">
        <f>+G279+G280</f>
        <v>2564508</v>
      </c>
      <c r="H278" s="1214"/>
      <c r="I278" s="1214"/>
      <c r="J278" s="1214"/>
      <c r="K278" s="1214"/>
      <c r="L278" s="1214">
        <f>+L279+L280</f>
        <v>0</v>
      </c>
      <c r="M278" s="2461">
        <f>+M279</f>
        <v>2564508</v>
      </c>
      <c r="N278" s="3728"/>
    </row>
    <row r="279" spans="1:14" s="2450" customFormat="1">
      <c r="A279" s="3670"/>
      <c r="B279" s="2160" t="s">
        <v>11</v>
      </c>
      <c r="C279" s="3654"/>
      <c r="D279" s="1115">
        <f>E279+L279+F279+G279+H279+I279+J279+K279</f>
        <v>2755000</v>
      </c>
      <c r="E279" s="2802"/>
      <c r="F279" s="1194">
        <f>428598-238106</f>
        <v>190492</v>
      </c>
      <c r="G279" s="1194">
        <f>2326402+238106</f>
        <v>2564508</v>
      </c>
      <c r="H279" s="1194"/>
      <c r="I279" s="1194"/>
      <c r="J279" s="1194"/>
      <c r="K279" s="1194"/>
      <c r="L279" s="1194"/>
      <c r="M279" s="1195">
        <f>SUM(G279:K279)</f>
        <v>2564508</v>
      </c>
      <c r="N279" s="3728"/>
    </row>
    <row r="280" spans="1:14" s="2450" customFormat="1" hidden="1">
      <c r="A280" s="3670"/>
      <c r="B280" s="2157" t="s">
        <v>14</v>
      </c>
      <c r="C280" s="3654"/>
      <c r="D280" s="1115">
        <f>E280+L280+F280+G280+H280+I280+J280+K280</f>
        <v>0</v>
      </c>
      <c r="E280" s="2466">
        <v>0</v>
      </c>
      <c r="F280" s="719">
        <v>0</v>
      </c>
      <c r="G280" s="719"/>
      <c r="H280" s="719"/>
      <c r="I280" s="719"/>
      <c r="J280" s="719"/>
      <c r="K280" s="719"/>
      <c r="L280" s="719">
        <v>0</v>
      </c>
      <c r="M280" s="1195">
        <f>SUM(F280:K280)</f>
        <v>0</v>
      </c>
      <c r="N280" s="3728"/>
    </row>
    <row r="281" spans="1:14" s="2450" customFormat="1">
      <c r="A281" s="3670"/>
      <c r="B281" s="1745" t="s">
        <v>17</v>
      </c>
      <c r="C281" s="3654"/>
      <c r="D281" s="1181">
        <f>+D282</f>
        <v>15045000</v>
      </c>
      <c r="E281" s="1419">
        <f t="shared" ref="E281:G281" si="165">+E282</f>
        <v>0</v>
      </c>
      <c r="F281" s="1181">
        <f t="shared" si="165"/>
        <v>1016044</v>
      </c>
      <c r="G281" s="1181">
        <f t="shared" si="165"/>
        <v>14028956</v>
      </c>
      <c r="H281" s="1181"/>
      <c r="I281" s="1181"/>
      <c r="J281" s="1181"/>
      <c r="K281" s="1181"/>
      <c r="L281" s="1181">
        <f>+L282</f>
        <v>0</v>
      </c>
      <c r="M281" s="1182">
        <f>+M282</f>
        <v>14028956</v>
      </c>
      <c r="N281" s="3728"/>
    </row>
    <row r="282" spans="1:14" s="2450" customFormat="1">
      <c r="A282" s="3670"/>
      <c r="B282" s="2161" t="s">
        <v>19</v>
      </c>
      <c r="C282" s="3659"/>
      <c r="D282" s="1115">
        <f>E282+L282+F282+G282+H282+I282+J282+K282</f>
        <v>15045000</v>
      </c>
      <c r="E282" s="2802"/>
      <c r="F282" s="1194">
        <f>1862052-846008</f>
        <v>1016044</v>
      </c>
      <c r="G282" s="1194">
        <f>13182948+846008</f>
        <v>14028956</v>
      </c>
      <c r="H282" s="1194"/>
      <c r="I282" s="1194"/>
      <c r="J282" s="1194"/>
      <c r="K282" s="1194"/>
      <c r="L282" s="1194"/>
      <c r="M282" s="1195">
        <f>SUM(G282:K282)</f>
        <v>14028956</v>
      </c>
      <c r="N282" s="3713"/>
    </row>
    <row r="283" spans="1:14" s="2450" customFormat="1">
      <c r="A283" s="3670"/>
      <c r="B283" s="1705" t="s">
        <v>20</v>
      </c>
      <c r="C283" s="458"/>
      <c r="D283" s="1178">
        <f>+D286+D284</f>
        <v>15045000</v>
      </c>
      <c r="E283" s="1421">
        <f t="shared" ref="E283:G283" si="166">+E286+E284</f>
        <v>0</v>
      </c>
      <c r="F283" s="1178">
        <f t="shared" si="166"/>
        <v>0</v>
      </c>
      <c r="G283" s="1178">
        <f t="shared" si="166"/>
        <v>15045000</v>
      </c>
      <c r="H283" s="1178"/>
      <c r="I283" s="1178"/>
      <c r="J283" s="1178"/>
      <c r="K283" s="1178"/>
      <c r="L283" s="1178">
        <f>+L286+L284</f>
        <v>0</v>
      </c>
      <c r="M283" s="3692" t="s">
        <v>21</v>
      </c>
      <c r="N283" s="3742" t="s">
        <v>92</v>
      </c>
    </row>
    <row r="284" spans="1:14" s="2450" customFormat="1" ht="12.75" hidden="1" customHeight="1">
      <c r="A284" s="3670"/>
      <c r="B284" s="1185" t="s">
        <v>22</v>
      </c>
      <c r="C284" s="3664" t="s">
        <v>204</v>
      </c>
      <c r="D284" s="1181">
        <f>+D285</f>
        <v>0</v>
      </c>
      <c r="E284" s="1419">
        <f t="shared" ref="E284:G284" si="167">+E285</f>
        <v>0</v>
      </c>
      <c r="F284" s="1181">
        <f t="shared" si="167"/>
        <v>0</v>
      </c>
      <c r="G284" s="1181">
        <f t="shared" si="167"/>
        <v>0</v>
      </c>
      <c r="H284" s="1181"/>
      <c r="I284" s="1181"/>
      <c r="J284" s="1181"/>
      <c r="K284" s="1181"/>
      <c r="L284" s="1181">
        <f>+L285</f>
        <v>0</v>
      </c>
      <c r="M284" s="3693"/>
      <c r="N284" s="3705"/>
    </row>
    <row r="285" spans="1:14" s="2450" customFormat="1" ht="12.75" hidden="1" customHeight="1">
      <c r="A285" s="3670"/>
      <c r="B285" s="1206" t="s">
        <v>14</v>
      </c>
      <c r="C285" s="3722"/>
      <c r="D285" s="1115">
        <f>E285+L285+F285+G285+H285+I285+J285+K285</f>
        <v>0</v>
      </c>
      <c r="E285" s="2795"/>
      <c r="F285" s="1197"/>
      <c r="G285" s="1197"/>
      <c r="H285" s="1197"/>
      <c r="I285" s="1197"/>
      <c r="J285" s="1197"/>
      <c r="K285" s="1197"/>
      <c r="L285" s="1197"/>
      <c r="M285" s="3693"/>
      <c r="N285" s="3705"/>
    </row>
    <row r="286" spans="1:14" s="2450" customFormat="1">
      <c r="A286" s="3670"/>
      <c r="B286" s="2352" t="s">
        <v>17</v>
      </c>
      <c r="C286" s="3722"/>
      <c r="D286" s="1198">
        <f>+D287</f>
        <v>15045000</v>
      </c>
      <c r="E286" s="1422">
        <f t="shared" ref="E286:G286" si="168">+E287</f>
        <v>0</v>
      </c>
      <c r="F286" s="1198">
        <f t="shared" si="168"/>
        <v>0</v>
      </c>
      <c r="G286" s="1198">
        <f t="shared" si="168"/>
        <v>15045000</v>
      </c>
      <c r="H286" s="1198"/>
      <c r="I286" s="1198"/>
      <c r="J286" s="1198"/>
      <c r="K286" s="1198"/>
      <c r="L286" s="1198">
        <f>+L287</f>
        <v>0</v>
      </c>
      <c r="M286" s="3693"/>
      <c r="N286" s="3705"/>
    </row>
    <row r="287" spans="1:14" s="2450" customFormat="1" ht="13.5" thickBot="1">
      <c r="A287" s="3738"/>
      <c r="B287" s="712" t="s">
        <v>19</v>
      </c>
      <c r="C287" s="3723"/>
      <c r="D287" s="1636">
        <f>E287+L287+F287+G287+H287+I287+J287+K287</f>
        <v>15045000</v>
      </c>
      <c r="E287" s="1909">
        <v>0</v>
      </c>
      <c r="F287" s="364">
        <f>1862052-1862052</f>
        <v>0</v>
      </c>
      <c r="G287" s="364">
        <f>13182948+1862052</f>
        <v>15045000</v>
      </c>
      <c r="H287" s="364"/>
      <c r="I287" s="364"/>
      <c r="J287" s="364"/>
      <c r="K287" s="364"/>
      <c r="L287" s="1636">
        <v>0</v>
      </c>
      <c r="M287" s="3694"/>
      <c r="N287" s="3706"/>
    </row>
    <row r="288" spans="1:14" s="2450" customFormat="1" ht="24">
      <c r="A288" s="3669" t="s">
        <v>81</v>
      </c>
      <c r="B288" s="335" t="s">
        <v>533</v>
      </c>
      <c r="C288" s="48" t="s">
        <v>72</v>
      </c>
      <c r="D288" s="2121"/>
      <c r="E288" s="2097"/>
      <c r="F288" s="2098"/>
      <c r="G288" s="2098"/>
      <c r="H288" s="2098"/>
      <c r="I288" s="2098"/>
      <c r="J288" s="2098"/>
      <c r="K288" s="34"/>
      <c r="L288" s="2098"/>
      <c r="M288" s="36"/>
      <c r="N288" s="3724" t="s">
        <v>77</v>
      </c>
    </row>
    <row r="289" spans="1:14" s="2450" customFormat="1">
      <c r="A289" s="3670"/>
      <c r="B289" s="1705" t="s">
        <v>9</v>
      </c>
      <c r="C289" s="2643"/>
      <c r="D289" s="1213">
        <f>+D290+D293</f>
        <v>55800000</v>
      </c>
      <c r="E289" s="3007">
        <f t="shared" ref="E289:G289" si="169">+E290+E293</f>
        <v>0</v>
      </c>
      <c r="F289" s="3007">
        <f t="shared" si="169"/>
        <v>0</v>
      </c>
      <c r="G289" s="1213">
        <f t="shared" si="169"/>
        <v>7800000</v>
      </c>
      <c r="H289" s="1213">
        <f t="shared" ref="H289:I289" si="170">+H290+H293</f>
        <v>31000000</v>
      </c>
      <c r="I289" s="1213">
        <f t="shared" si="170"/>
        <v>17000000</v>
      </c>
      <c r="J289" s="1213"/>
      <c r="K289" s="1213"/>
      <c r="L289" s="1213">
        <f>+L290+L293</f>
        <v>0</v>
      </c>
      <c r="M289" s="1223">
        <f>+M290+M293</f>
        <v>55800000</v>
      </c>
      <c r="N289" s="3728"/>
    </row>
    <row r="290" spans="1:14" s="2450" customFormat="1">
      <c r="A290" s="3670"/>
      <c r="B290" s="2159" t="s">
        <v>22</v>
      </c>
      <c r="C290" s="3653" t="s">
        <v>75</v>
      </c>
      <c r="D290" s="1214">
        <f>+D291+D292</f>
        <v>8455000</v>
      </c>
      <c r="E290" s="3008">
        <f t="shared" ref="E290" si="171">+E291+E292</f>
        <v>0</v>
      </c>
      <c r="F290" s="3008">
        <f>+F291+F292</f>
        <v>0</v>
      </c>
      <c r="G290" s="1214">
        <f>+G291+G292</f>
        <v>1255000</v>
      </c>
      <c r="H290" s="1214">
        <f>+H291+H292</f>
        <v>4650000</v>
      </c>
      <c r="I290" s="1214">
        <f>+I291+I292</f>
        <v>2550000</v>
      </c>
      <c r="J290" s="1214"/>
      <c r="K290" s="1214"/>
      <c r="L290" s="1214">
        <f>+L291+L292</f>
        <v>0</v>
      </c>
      <c r="M290" s="2461">
        <f>+M291</f>
        <v>8455000</v>
      </c>
      <c r="N290" s="3728"/>
    </row>
    <row r="291" spans="1:14" s="2450" customFormat="1">
      <c r="A291" s="3670"/>
      <c r="B291" s="2160" t="s">
        <v>11</v>
      </c>
      <c r="C291" s="3654"/>
      <c r="D291" s="1115">
        <f>E291+L291+F291+G291+H291+I291+J291+K291</f>
        <v>8455000</v>
      </c>
      <c r="E291" s="2802"/>
      <c r="F291" s="1215"/>
      <c r="G291" s="1194">
        <f>1050000+205000</f>
        <v>1255000</v>
      </c>
      <c r="H291" s="1194">
        <v>4650000</v>
      </c>
      <c r="I291" s="1194">
        <v>2550000</v>
      </c>
      <c r="J291" s="1194"/>
      <c r="K291" s="1194"/>
      <c r="L291" s="1194"/>
      <c r="M291" s="1195">
        <f>SUM(G291:K291)</f>
        <v>8455000</v>
      </c>
      <c r="N291" s="3728"/>
    </row>
    <row r="292" spans="1:14" s="2450" customFormat="1" hidden="1">
      <c r="A292" s="3670"/>
      <c r="B292" s="2157" t="s">
        <v>14</v>
      </c>
      <c r="C292" s="3654"/>
      <c r="D292" s="1115">
        <f>E292+L292+F292+G292+H292+I292+J292+K292</f>
        <v>0</v>
      </c>
      <c r="E292" s="2466">
        <v>0</v>
      </c>
      <c r="F292" s="2693">
        <v>0</v>
      </c>
      <c r="G292" s="719"/>
      <c r="H292" s="719"/>
      <c r="I292" s="719"/>
      <c r="J292" s="719"/>
      <c r="K292" s="719"/>
      <c r="L292" s="719">
        <v>0</v>
      </c>
      <c r="M292" s="1195">
        <f>SUM(F292:K292)</f>
        <v>0</v>
      </c>
      <c r="N292" s="3728"/>
    </row>
    <row r="293" spans="1:14" s="2450" customFormat="1">
      <c r="A293" s="3670"/>
      <c r="B293" s="1745" t="s">
        <v>17</v>
      </c>
      <c r="C293" s="3654"/>
      <c r="D293" s="1181">
        <f>+D294</f>
        <v>47345000</v>
      </c>
      <c r="E293" s="1419">
        <f t="shared" ref="E293:I293" si="172">+E294</f>
        <v>0</v>
      </c>
      <c r="F293" s="1419">
        <f t="shared" si="172"/>
        <v>0</v>
      </c>
      <c r="G293" s="1181">
        <f t="shared" si="172"/>
        <v>6545000</v>
      </c>
      <c r="H293" s="1181">
        <f t="shared" si="172"/>
        <v>26350000</v>
      </c>
      <c r="I293" s="1181">
        <f t="shared" si="172"/>
        <v>14450000</v>
      </c>
      <c r="J293" s="1181"/>
      <c r="K293" s="1181"/>
      <c r="L293" s="1181">
        <f>+L294</f>
        <v>0</v>
      </c>
      <c r="M293" s="1182">
        <f>+M294</f>
        <v>47345000</v>
      </c>
      <c r="N293" s="3728"/>
    </row>
    <row r="294" spans="1:14" s="2450" customFormat="1">
      <c r="A294" s="3670"/>
      <c r="B294" s="2161" t="s">
        <v>19</v>
      </c>
      <c r="C294" s="3659"/>
      <c r="D294" s="1115">
        <f>E294+L294+F294+G294+H294+I294+J294+K294</f>
        <v>47345000</v>
      </c>
      <c r="E294" s="2802"/>
      <c r="F294" s="1215"/>
      <c r="G294" s="1194">
        <f>5950000+595000</f>
        <v>6545000</v>
      </c>
      <c r="H294" s="1194">
        <v>26350000</v>
      </c>
      <c r="I294" s="1194">
        <v>14450000</v>
      </c>
      <c r="J294" s="1194"/>
      <c r="K294" s="1194"/>
      <c r="L294" s="1194"/>
      <c r="M294" s="1195">
        <f>SUM(G294:K294)</f>
        <v>47345000</v>
      </c>
      <c r="N294" s="3713"/>
    </row>
    <row r="295" spans="1:14" s="2450" customFormat="1">
      <c r="A295" s="3670"/>
      <c r="B295" s="1705" t="s">
        <v>20</v>
      </c>
      <c r="C295" s="2376"/>
      <c r="D295" s="1178">
        <f>+D298+D296</f>
        <v>47345000</v>
      </c>
      <c r="E295" s="1421">
        <f t="shared" ref="E295:I295" si="173">+E298+E296</f>
        <v>0</v>
      </c>
      <c r="F295" s="1421">
        <f t="shared" si="173"/>
        <v>0</v>
      </c>
      <c r="G295" s="1178">
        <f t="shared" si="173"/>
        <v>3545000</v>
      </c>
      <c r="H295" s="1178">
        <f t="shared" si="173"/>
        <v>16350000</v>
      </c>
      <c r="I295" s="1178">
        <f t="shared" si="173"/>
        <v>27450000</v>
      </c>
      <c r="J295" s="1178"/>
      <c r="K295" s="1178"/>
      <c r="L295" s="1178">
        <f>+L298+L296</f>
        <v>0</v>
      </c>
      <c r="M295" s="3692" t="s">
        <v>21</v>
      </c>
      <c r="N295" s="3742" t="s">
        <v>92</v>
      </c>
    </row>
    <row r="296" spans="1:14" s="2450" customFormat="1" ht="12.75" hidden="1" customHeight="1">
      <c r="A296" s="3670"/>
      <c r="B296" s="1185" t="s">
        <v>22</v>
      </c>
      <c r="C296" s="3653" t="s">
        <v>204</v>
      </c>
      <c r="D296" s="1181">
        <f>+D297</f>
        <v>0</v>
      </c>
      <c r="E296" s="1419">
        <f t="shared" ref="E296:G296" si="174">+E297</f>
        <v>0</v>
      </c>
      <c r="F296" s="1419">
        <f t="shared" si="174"/>
        <v>0</v>
      </c>
      <c r="G296" s="1181">
        <f t="shared" si="174"/>
        <v>0</v>
      </c>
      <c r="H296" s="1181"/>
      <c r="I296" s="1181"/>
      <c r="J296" s="1181"/>
      <c r="K296" s="1181"/>
      <c r="L296" s="1181">
        <f>+L297</f>
        <v>0</v>
      </c>
      <c r="M296" s="3693"/>
      <c r="N296" s="3705"/>
    </row>
    <row r="297" spans="1:14" s="2450" customFormat="1" ht="12.75" hidden="1" customHeight="1">
      <c r="A297" s="3670"/>
      <c r="B297" s="1206" t="s">
        <v>14</v>
      </c>
      <c r="C297" s="3654"/>
      <c r="D297" s="1115">
        <f>E297+L297+F297+G297+H297+I297+J297+K297</f>
        <v>0</v>
      </c>
      <c r="E297" s="2795"/>
      <c r="F297" s="2795"/>
      <c r="G297" s="1197"/>
      <c r="H297" s="1197"/>
      <c r="I297" s="1197"/>
      <c r="J297" s="1197"/>
      <c r="K297" s="1197"/>
      <c r="L297" s="1197"/>
      <c r="M297" s="3693"/>
      <c r="N297" s="3705"/>
    </row>
    <row r="298" spans="1:14" s="2450" customFormat="1">
      <c r="A298" s="3670"/>
      <c r="B298" s="2352" t="s">
        <v>17</v>
      </c>
      <c r="C298" s="3654"/>
      <c r="D298" s="1198">
        <f>+D299</f>
        <v>47345000</v>
      </c>
      <c r="E298" s="1422">
        <f t="shared" ref="E298:I298" si="175">+E299</f>
        <v>0</v>
      </c>
      <c r="F298" s="1422">
        <f t="shared" si="175"/>
        <v>0</v>
      </c>
      <c r="G298" s="1198">
        <f t="shared" si="175"/>
        <v>3545000</v>
      </c>
      <c r="H298" s="1198">
        <f t="shared" si="175"/>
        <v>16350000</v>
      </c>
      <c r="I298" s="1198">
        <f t="shared" si="175"/>
        <v>27450000</v>
      </c>
      <c r="J298" s="1198"/>
      <c r="K298" s="1198"/>
      <c r="L298" s="1198">
        <f>+L299</f>
        <v>0</v>
      </c>
      <c r="M298" s="3693"/>
      <c r="N298" s="3705"/>
    </row>
    <row r="299" spans="1:14" s="2450" customFormat="1" ht="13.5" thickBot="1">
      <c r="A299" s="3738"/>
      <c r="B299" s="712" t="s">
        <v>19</v>
      </c>
      <c r="C299" s="3826"/>
      <c r="D299" s="1636">
        <f>E299+L299+F299+G299+H299+I299+J299+K299</f>
        <v>47345000</v>
      </c>
      <c r="E299" s="1909">
        <v>0</v>
      </c>
      <c r="F299" s="675">
        <f>1862052-1862052</f>
        <v>0</v>
      </c>
      <c r="G299" s="364">
        <f>2950000+595000</f>
        <v>3545000</v>
      </c>
      <c r="H299" s="364">
        <v>16350000</v>
      </c>
      <c r="I299" s="364">
        <v>27450000</v>
      </c>
      <c r="J299" s="364"/>
      <c r="K299" s="364"/>
      <c r="L299" s="1636">
        <v>0</v>
      </c>
      <c r="M299" s="3694"/>
      <c r="N299" s="3706"/>
    </row>
    <row r="300" spans="1:14" s="2450" customFormat="1" ht="24">
      <c r="A300" s="3669" t="s">
        <v>82</v>
      </c>
      <c r="B300" s="335" t="s">
        <v>534</v>
      </c>
      <c r="C300" s="48" t="s">
        <v>72</v>
      </c>
      <c r="D300" s="2121"/>
      <c r="E300" s="2098"/>
      <c r="F300" s="2098"/>
      <c r="G300" s="2098"/>
      <c r="H300" s="2098"/>
      <c r="I300" s="2098"/>
      <c r="J300" s="2098"/>
      <c r="K300" s="34"/>
      <c r="L300" s="2098"/>
      <c r="M300" s="36"/>
      <c r="N300" s="3724" t="s">
        <v>77</v>
      </c>
    </row>
    <row r="301" spans="1:14" s="2450" customFormat="1">
      <c r="A301" s="3670"/>
      <c r="B301" s="367" t="s">
        <v>9</v>
      </c>
      <c r="C301" s="2158"/>
      <c r="D301" s="1213">
        <f>+D302+D305</f>
        <v>25310000</v>
      </c>
      <c r="E301" s="3007">
        <f t="shared" ref="E301:I301" si="176">+E302+E305</f>
        <v>0</v>
      </c>
      <c r="F301" s="3007">
        <f t="shared" si="176"/>
        <v>0</v>
      </c>
      <c r="G301" s="1213">
        <f>+G302+G305</f>
        <v>6310000</v>
      </c>
      <c r="H301" s="1213">
        <f t="shared" si="176"/>
        <v>19000000</v>
      </c>
      <c r="I301" s="1213">
        <f t="shared" si="176"/>
        <v>0</v>
      </c>
      <c r="J301" s="1213"/>
      <c r="K301" s="1213"/>
      <c r="L301" s="1213">
        <f>+L302+L305</f>
        <v>0</v>
      </c>
      <c r="M301" s="1223">
        <f>+M302+M305</f>
        <v>25310000</v>
      </c>
      <c r="N301" s="3728"/>
    </row>
    <row r="302" spans="1:14" s="2450" customFormat="1">
      <c r="A302" s="3670"/>
      <c r="B302" s="481" t="s">
        <v>22</v>
      </c>
      <c r="C302" s="3653" t="s">
        <v>75</v>
      </c>
      <c r="D302" s="1214">
        <f>+D303+D304</f>
        <v>3881500</v>
      </c>
      <c r="E302" s="3008">
        <f t="shared" ref="E302" si="177">+E303+E304</f>
        <v>0</v>
      </c>
      <c r="F302" s="3008">
        <f>+F303+F304</f>
        <v>0</v>
      </c>
      <c r="G302" s="1214">
        <f>+G303+G304</f>
        <v>1031500</v>
      </c>
      <c r="H302" s="1214">
        <f>+H303+H304</f>
        <v>2850000</v>
      </c>
      <c r="I302" s="1214">
        <f>+I303+I304</f>
        <v>0</v>
      </c>
      <c r="J302" s="1214"/>
      <c r="K302" s="1214"/>
      <c r="L302" s="1214">
        <f>+L303+L304</f>
        <v>0</v>
      </c>
      <c r="M302" s="2461">
        <f>+M303</f>
        <v>3881500</v>
      </c>
      <c r="N302" s="3728"/>
    </row>
    <row r="303" spans="1:14" s="2450" customFormat="1">
      <c r="A303" s="3670"/>
      <c r="B303" s="532" t="s">
        <v>11</v>
      </c>
      <c r="C303" s="3654"/>
      <c r="D303" s="1115">
        <f>E303+L303+F303+G303+H303+I303+J303+K303</f>
        <v>3881500</v>
      </c>
      <c r="E303" s="2802"/>
      <c r="F303" s="1215"/>
      <c r="G303" s="1194">
        <f>900000+131500</f>
        <v>1031500</v>
      </c>
      <c r="H303" s="1194">
        <v>2850000</v>
      </c>
      <c r="I303" s="1194">
        <v>0</v>
      </c>
      <c r="J303" s="1194"/>
      <c r="K303" s="1194"/>
      <c r="L303" s="1194"/>
      <c r="M303" s="2446">
        <f>SUM(G303:K303)</f>
        <v>3881500</v>
      </c>
      <c r="N303" s="3728"/>
    </row>
    <row r="304" spans="1:14" s="2450" customFormat="1" hidden="1">
      <c r="A304" s="3670"/>
      <c r="B304" s="2157" t="s">
        <v>14</v>
      </c>
      <c r="C304" s="3654"/>
      <c r="D304" s="1115">
        <f>E304+L304+F304+G304+H304+I304+J304+K304</f>
        <v>0</v>
      </c>
      <c r="E304" s="2466">
        <v>0</v>
      </c>
      <c r="F304" s="2693">
        <v>0</v>
      </c>
      <c r="G304" s="719"/>
      <c r="H304" s="719"/>
      <c r="I304" s="719"/>
      <c r="J304" s="719"/>
      <c r="K304" s="719"/>
      <c r="L304" s="719">
        <v>0</v>
      </c>
      <c r="M304" s="1195">
        <f>SUM(F304:K304)</f>
        <v>0</v>
      </c>
      <c r="N304" s="3728"/>
    </row>
    <row r="305" spans="1:15" s="2450" customFormat="1">
      <c r="A305" s="3670"/>
      <c r="B305" s="709" t="s">
        <v>17</v>
      </c>
      <c r="C305" s="3654"/>
      <c r="D305" s="1181">
        <f>+D306</f>
        <v>21428500</v>
      </c>
      <c r="E305" s="1419">
        <f t="shared" ref="E305:I305" si="178">+E306</f>
        <v>0</v>
      </c>
      <c r="F305" s="1419">
        <f t="shared" si="178"/>
        <v>0</v>
      </c>
      <c r="G305" s="1181">
        <f t="shared" si="178"/>
        <v>5278500</v>
      </c>
      <c r="H305" s="1181">
        <f t="shared" si="178"/>
        <v>16150000</v>
      </c>
      <c r="I305" s="1181">
        <f t="shared" si="178"/>
        <v>0</v>
      </c>
      <c r="J305" s="1181"/>
      <c r="K305" s="1181"/>
      <c r="L305" s="1181">
        <f>+L306</f>
        <v>0</v>
      </c>
      <c r="M305" s="1182">
        <f>+M306</f>
        <v>21428500</v>
      </c>
      <c r="N305" s="3728"/>
    </row>
    <row r="306" spans="1:15" s="2450" customFormat="1">
      <c r="A306" s="3670"/>
      <c r="B306" s="2161" t="s">
        <v>19</v>
      </c>
      <c r="C306" s="3659"/>
      <c r="D306" s="1115">
        <f>E306+L306+F306+G306+H306+I306+J306+K306</f>
        <v>21428500</v>
      </c>
      <c r="E306" s="2802"/>
      <c r="F306" s="1215"/>
      <c r="G306" s="1194">
        <f>5100000+178500</f>
        <v>5278500</v>
      </c>
      <c r="H306" s="1194">
        <v>16150000</v>
      </c>
      <c r="I306" s="1194">
        <v>0</v>
      </c>
      <c r="J306" s="1194"/>
      <c r="K306" s="1194"/>
      <c r="L306" s="1194"/>
      <c r="M306" s="2446">
        <f>SUM(G306:K306)</f>
        <v>21428500</v>
      </c>
      <c r="N306" s="3713"/>
    </row>
    <row r="307" spans="1:15" s="2450" customFormat="1">
      <c r="A307" s="3670"/>
      <c r="B307" s="367" t="s">
        <v>20</v>
      </c>
      <c r="C307" s="2376"/>
      <c r="D307" s="1178">
        <f>+D310+D308</f>
        <v>21428500</v>
      </c>
      <c r="E307" s="1421">
        <f t="shared" ref="E307:I307" si="179">+E310+E308</f>
        <v>0</v>
      </c>
      <c r="F307" s="1421">
        <f t="shared" si="179"/>
        <v>0</v>
      </c>
      <c r="G307" s="1178">
        <f t="shared" si="179"/>
        <v>3678500</v>
      </c>
      <c r="H307" s="1178">
        <f t="shared" si="179"/>
        <v>11250000</v>
      </c>
      <c r="I307" s="1178">
        <f t="shared" si="179"/>
        <v>6500000</v>
      </c>
      <c r="J307" s="1178"/>
      <c r="K307" s="1178"/>
      <c r="L307" s="1178">
        <f>+L310+L308</f>
        <v>0</v>
      </c>
      <c r="M307" s="3692" t="s">
        <v>21</v>
      </c>
      <c r="N307" s="3742" t="s">
        <v>92</v>
      </c>
    </row>
    <row r="308" spans="1:15" s="2450" customFormat="1" ht="12.75" hidden="1" customHeight="1">
      <c r="A308" s="3670"/>
      <c r="B308" s="1185" t="s">
        <v>22</v>
      </c>
      <c r="C308" s="3653" t="s">
        <v>204</v>
      </c>
      <c r="D308" s="1181">
        <f>+D309</f>
        <v>0</v>
      </c>
      <c r="E308" s="1419">
        <f t="shared" ref="E308:G308" si="180">+E309</f>
        <v>0</v>
      </c>
      <c r="F308" s="1419">
        <f t="shared" si="180"/>
        <v>0</v>
      </c>
      <c r="G308" s="1181">
        <f t="shared" si="180"/>
        <v>0</v>
      </c>
      <c r="H308" s="1181"/>
      <c r="I308" s="1181"/>
      <c r="J308" s="1181"/>
      <c r="K308" s="1181"/>
      <c r="L308" s="1181">
        <f>+L309</f>
        <v>0</v>
      </c>
      <c r="M308" s="3693"/>
      <c r="N308" s="3705"/>
    </row>
    <row r="309" spans="1:15" s="2450" customFormat="1" ht="12.75" hidden="1" customHeight="1">
      <c r="A309" s="3670"/>
      <c r="B309" s="1206" t="s">
        <v>14</v>
      </c>
      <c r="C309" s="3654"/>
      <c r="D309" s="1115">
        <f>E309+L309+F309+G309+H309+I309+J309+K309</f>
        <v>0</v>
      </c>
      <c r="E309" s="2795"/>
      <c r="F309" s="2795"/>
      <c r="G309" s="1197"/>
      <c r="H309" s="1197"/>
      <c r="I309" s="1197"/>
      <c r="J309" s="1197"/>
      <c r="K309" s="1197"/>
      <c r="L309" s="1197"/>
      <c r="M309" s="3693"/>
      <c r="N309" s="3705"/>
    </row>
    <row r="310" spans="1:15" s="2450" customFormat="1">
      <c r="A310" s="3670"/>
      <c r="B310" s="483" t="s">
        <v>17</v>
      </c>
      <c r="C310" s="3654"/>
      <c r="D310" s="1198">
        <f>+D311</f>
        <v>21428500</v>
      </c>
      <c r="E310" s="1422">
        <f t="shared" ref="E310:I310" si="181">+E311</f>
        <v>0</v>
      </c>
      <c r="F310" s="1422">
        <f t="shared" si="181"/>
        <v>0</v>
      </c>
      <c r="G310" s="1198">
        <f t="shared" si="181"/>
        <v>3678500</v>
      </c>
      <c r="H310" s="1198">
        <f t="shared" si="181"/>
        <v>11250000</v>
      </c>
      <c r="I310" s="1198">
        <f t="shared" si="181"/>
        <v>6500000</v>
      </c>
      <c r="J310" s="1198"/>
      <c r="K310" s="1198"/>
      <c r="L310" s="1198">
        <f>+L311</f>
        <v>0</v>
      </c>
      <c r="M310" s="3693"/>
      <c r="N310" s="3705"/>
    </row>
    <row r="311" spans="1:15" s="2450" customFormat="1" ht="13.5" thickBot="1">
      <c r="A311" s="3738"/>
      <c r="B311" s="712" t="s">
        <v>19</v>
      </c>
      <c r="C311" s="3826"/>
      <c r="D311" s="1262">
        <f>E311+L311+F311+G311+H311+I311+J311+K311</f>
        <v>21428500</v>
      </c>
      <c r="E311" s="2475">
        <v>0</v>
      </c>
      <c r="F311" s="675">
        <f>1862052-1862052</f>
        <v>0</v>
      </c>
      <c r="G311" s="364">
        <f>3500000+178500</f>
        <v>3678500</v>
      </c>
      <c r="H311" s="364">
        <v>11250000</v>
      </c>
      <c r="I311" s="364">
        <v>6500000</v>
      </c>
      <c r="J311" s="364"/>
      <c r="K311" s="364"/>
      <c r="L311" s="1262">
        <v>0</v>
      </c>
      <c r="M311" s="3694"/>
      <c r="N311" s="3706"/>
    </row>
    <row r="312" spans="1:15" ht="24.75" customHeight="1">
      <c r="A312" s="3669" t="s">
        <v>83</v>
      </c>
      <c r="B312" s="232" t="s">
        <v>530</v>
      </c>
      <c r="C312" s="48" t="s">
        <v>72</v>
      </c>
      <c r="D312" s="2121"/>
      <c r="E312" s="2098"/>
      <c r="F312" s="2098"/>
      <c r="G312" s="2098"/>
      <c r="H312" s="2098"/>
      <c r="I312" s="2098"/>
      <c r="J312" s="2098"/>
      <c r="K312" s="34"/>
      <c r="L312" s="2098"/>
      <c r="M312" s="36"/>
      <c r="N312" s="3724" t="s">
        <v>77</v>
      </c>
      <c r="O312" s="196" t="s">
        <v>276</v>
      </c>
    </row>
    <row r="313" spans="1:15" ht="12" customHeight="1">
      <c r="A313" s="3670"/>
      <c r="B313" s="1176" t="s">
        <v>9</v>
      </c>
      <c r="C313" s="1199"/>
      <c r="D313" s="2162">
        <f t="shared" ref="D313" si="182">+D314+D317</f>
        <v>7647270</v>
      </c>
      <c r="E313" s="1122">
        <f>+E314+E317</f>
        <v>322280</v>
      </c>
      <c r="F313" s="3009">
        <f>+F314+F317</f>
        <v>0</v>
      </c>
      <c r="G313" s="1122">
        <f>+G314+G317</f>
        <v>6904990</v>
      </c>
      <c r="H313" s="1122">
        <f>+H314+H317</f>
        <v>420000</v>
      </c>
      <c r="I313" s="1122"/>
      <c r="J313" s="1122"/>
      <c r="K313" s="1122"/>
      <c r="L313" s="1122">
        <f>+L314+L317</f>
        <v>0</v>
      </c>
      <c r="M313" s="1124">
        <f>M314+M317</f>
        <v>7324990</v>
      </c>
      <c r="N313" s="3728"/>
      <c r="O313" s="354"/>
    </row>
    <row r="314" spans="1:15" ht="13.5" customHeight="1">
      <c r="A314" s="3670"/>
      <c r="B314" s="1185" t="s">
        <v>22</v>
      </c>
      <c r="C314" s="3664" t="s">
        <v>75</v>
      </c>
      <c r="D314" s="1125">
        <f>+D315+D316</f>
        <v>7373332</v>
      </c>
      <c r="E314" s="2163">
        <f t="shared" ref="E314:H314" si="183">+E315</f>
        <v>48342</v>
      </c>
      <c r="F314" s="3010">
        <f t="shared" si="183"/>
        <v>0</v>
      </c>
      <c r="G314" s="2163">
        <f t="shared" si="183"/>
        <v>6904990</v>
      </c>
      <c r="H314" s="2163">
        <f t="shared" si="183"/>
        <v>420000</v>
      </c>
      <c r="I314" s="1192"/>
      <c r="J314" s="1192"/>
      <c r="K314" s="1192"/>
      <c r="L314" s="2163">
        <f>+L315</f>
        <v>0</v>
      </c>
      <c r="M314" s="1182">
        <f>M315</f>
        <v>7324990</v>
      </c>
      <c r="N314" s="3728"/>
      <c r="O314" s="354"/>
    </row>
    <row r="315" spans="1:15" ht="12" customHeight="1">
      <c r="A315" s="3670"/>
      <c r="B315" s="1254" t="s">
        <v>11</v>
      </c>
      <c r="C315" s="3665"/>
      <c r="D315" s="1115">
        <f>E315+L315+F315+G315+H315+I315+J315+K315</f>
        <v>7373332</v>
      </c>
      <c r="E315" s="1194">
        <f>3200000-1940000+1520081+249090-73261-57720-385500-592500-1597849-273999</f>
        <v>48342</v>
      </c>
      <c r="F315" s="1215">
        <f>4984499+500000+710922+57720+385500+1597849-126001-28598-20000-246901-7814990</f>
        <v>0</v>
      </c>
      <c r="G315" s="1194">
        <f>7814990-910000</f>
        <v>6904990</v>
      </c>
      <c r="H315" s="1194">
        <v>420000</v>
      </c>
      <c r="I315" s="1194"/>
      <c r="J315" s="1194"/>
      <c r="K315" s="1194"/>
      <c r="L315" s="1194">
        <v>0</v>
      </c>
      <c r="M315" s="2446">
        <f>SUM(G315:K315)</f>
        <v>7324990</v>
      </c>
      <c r="N315" s="3728"/>
    </row>
    <row r="316" spans="1:15" hidden="1">
      <c r="A316" s="3670"/>
      <c r="B316" s="2156" t="s">
        <v>14</v>
      </c>
      <c r="C316" s="3665"/>
      <c r="D316" s="1115">
        <f>E316+L316+F316+G316+H316+I316+J316+K316</f>
        <v>0</v>
      </c>
      <c r="E316" s="1210"/>
      <c r="F316" s="1209"/>
      <c r="G316" s="1210"/>
      <c r="H316" s="1210"/>
      <c r="I316" s="175"/>
      <c r="J316" s="175"/>
      <c r="K316" s="175"/>
      <c r="L316" s="1210"/>
      <c r="M316" s="2451"/>
      <c r="N316" s="3728"/>
    </row>
    <row r="317" spans="1:15" ht="13.5" customHeight="1">
      <c r="A317" s="3670"/>
      <c r="B317" s="1212" t="s">
        <v>17</v>
      </c>
      <c r="C317" s="3665"/>
      <c r="D317" s="1181">
        <f>+D318</f>
        <v>273938</v>
      </c>
      <c r="E317" s="2163">
        <f t="shared" ref="E317:H317" si="184">+E318</f>
        <v>273938</v>
      </c>
      <c r="F317" s="3010">
        <f t="shared" si="184"/>
        <v>0</v>
      </c>
      <c r="G317" s="1475">
        <f t="shared" si="184"/>
        <v>0</v>
      </c>
      <c r="H317" s="1475">
        <f t="shared" si="184"/>
        <v>0</v>
      </c>
      <c r="I317" s="1181"/>
      <c r="J317" s="1181"/>
      <c r="K317" s="1181"/>
      <c r="L317" s="2163">
        <f>+L318</f>
        <v>0</v>
      </c>
      <c r="M317" s="1182">
        <f>M318</f>
        <v>0</v>
      </c>
      <c r="N317" s="3728"/>
    </row>
    <row r="318" spans="1:15">
      <c r="A318" s="3670"/>
      <c r="B318" s="713" t="s">
        <v>19</v>
      </c>
      <c r="C318" s="3696"/>
      <c r="D318" s="1211">
        <f>E318+L318+F318+G318+H318+I318+J318+K318</f>
        <v>273938</v>
      </c>
      <c r="E318" s="1194">
        <f>1617722-288485-415148-640151</f>
        <v>273938</v>
      </c>
      <c r="F318" s="1215">
        <f>640151-162052-478099</f>
        <v>0</v>
      </c>
      <c r="G318" s="2164">
        <f>1900090-569500-416501-914089</f>
        <v>0</v>
      </c>
      <c r="H318" s="2164">
        <f>1900090-569500-416501-914089</f>
        <v>0</v>
      </c>
      <c r="I318" s="1194"/>
      <c r="J318" s="1194"/>
      <c r="K318" s="1194"/>
      <c r="L318" s="1194">
        <v>0</v>
      </c>
      <c r="M318" s="2446">
        <f>SUM(G318:K318)</f>
        <v>0</v>
      </c>
      <c r="N318" s="3713"/>
    </row>
    <row r="319" spans="1:15" ht="12" customHeight="1">
      <c r="A319" s="3671"/>
      <c r="B319" s="1176" t="s">
        <v>20</v>
      </c>
      <c r="C319" s="75"/>
      <c r="D319" s="82">
        <f>+D322+D320</f>
        <v>273938</v>
      </c>
      <c r="E319" s="2467">
        <f t="shared" ref="E319" si="185">+E322+E320</f>
        <v>0</v>
      </c>
      <c r="F319" s="2467">
        <f t="shared" ref="F319:G319" si="186">+F322+F320</f>
        <v>0</v>
      </c>
      <c r="G319" s="82">
        <f t="shared" si="186"/>
        <v>273938</v>
      </c>
      <c r="H319" s="82"/>
      <c r="I319" s="82"/>
      <c r="J319" s="82"/>
      <c r="K319" s="82"/>
      <c r="L319" s="2467">
        <f>+L322+L320</f>
        <v>0</v>
      </c>
      <c r="M319" s="3749" t="s">
        <v>21</v>
      </c>
      <c r="N319" s="3752" t="s">
        <v>92</v>
      </c>
    </row>
    <row r="320" spans="1:15" ht="13.5" hidden="1" customHeight="1">
      <c r="A320" s="3671"/>
      <c r="B320" s="1185" t="s">
        <v>22</v>
      </c>
      <c r="C320" s="3664" t="s">
        <v>204</v>
      </c>
      <c r="D320" s="43">
        <f>+D321</f>
        <v>0</v>
      </c>
      <c r="E320" s="219">
        <f t="shared" ref="E320" si="187">+E321</f>
        <v>0</v>
      </c>
      <c r="F320" s="219"/>
      <c r="G320" s="43"/>
      <c r="H320" s="43"/>
      <c r="I320" s="43"/>
      <c r="J320" s="43"/>
      <c r="K320" s="43"/>
      <c r="L320" s="219"/>
      <c r="M320" s="3750"/>
      <c r="N320" s="3753"/>
    </row>
    <row r="321" spans="1:15" ht="12.75" hidden="1" customHeight="1">
      <c r="A321" s="3671"/>
      <c r="B321" s="2156" t="s">
        <v>14</v>
      </c>
      <c r="C321" s="3722"/>
      <c r="D321" s="1115">
        <f>E321+L321+F321+G321+H321+I321+J321+K321</f>
        <v>0</v>
      </c>
      <c r="E321" s="2465">
        <v>0</v>
      </c>
      <c r="F321" s="2465"/>
      <c r="G321" s="1127"/>
      <c r="H321" s="1127"/>
      <c r="I321" s="1127"/>
      <c r="J321" s="1127"/>
      <c r="K321" s="1127"/>
      <c r="L321" s="2465"/>
      <c r="M321" s="3750"/>
      <c r="N321" s="3753"/>
    </row>
    <row r="322" spans="1:15" ht="12" customHeight="1">
      <c r="A322" s="3671"/>
      <c r="B322" s="1212" t="s">
        <v>17</v>
      </c>
      <c r="C322" s="3722"/>
      <c r="D322" s="1181">
        <f t="shared" ref="D322:G322" si="188">+D323</f>
        <v>273938</v>
      </c>
      <c r="E322" s="1475">
        <f t="shared" si="188"/>
        <v>0</v>
      </c>
      <c r="F322" s="1475">
        <f t="shared" si="188"/>
        <v>0</v>
      </c>
      <c r="G322" s="1128">
        <f t="shared" si="188"/>
        <v>273938</v>
      </c>
      <c r="H322" s="1128"/>
      <c r="I322" s="1128"/>
      <c r="J322" s="1128"/>
      <c r="K322" s="1128"/>
      <c r="L322" s="1475">
        <f>+L323</f>
        <v>0</v>
      </c>
      <c r="M322" s="3750"/>
      <c r="N322" s="3753"/>
    </row>
    <row r="323" spans="1:15" ht="13.5" customHeight="1" thickBot="1">
      <c r="A323" s="3672"/>
      <c r="B323" s="603" t="s">
        <v>19</v>
      </c>
      <c r="C323" s="3723"/>
      <c r="D323" s="693">
        <f>E323+L323+F323+G323+H323+I323+J323+K323</f>
        <v>273938</v>
      </c>
      <c r="E323" s="490">
        <v>0</v>
      </c>
      <c r="F323" s="1579">
        <f>914089-162052-752037</f>
        <v>0</v>
      </c>
      <c r="G323" s="47">
        <v>273938</v>
      </c>
      <c r="H323" s="365"/>
      <c r="I323" s="365"/>
      <c r="J323" s="365"/>
      <c r="K323" s="365"/>
      <c r="L323" s="1579">
        <f>1900090-569500-416501-914089</f>
        <v>0</v>
      </c>
      <c r="M323" s="3751"/>
      <c r="N323" s="3754"/>
    </row>
    <row r="324" spans="1:15" ht="29.25" hidden="1" customHeight="1">
      <c r="A324" s="3669"/>
      <c r="B324" s="61" t="s">
        <v>353</v>
      </c>
      <c r="C324" s="48" t="s">
        <v>72</v>
      </c>
      <c r="D324" s="601"/>
      <c r="E324" s="336"/>
      <c r="F324" s="336"/>
      <c r="G324" s="336"/>
      <c r="H324" s="336"/>
      <c r="I324" s="35"/>
      <c r="J324" s="35"/>
      <c r="K324" s="35"/>
      <c r="L324" s="336"/>
      <c r="M324" s="36"/>
      <c r="N324" s="3758" t="s">
        <v>92</v>
      </c>
      <c r="O324" s="196" t="s">
        <v>276</v>
      </c>
    </row>
    <row r="325" spans="1:15" ht="13.5" hidden="1" customHeight="1">
      <c r="A325" s="3670"/>
      <c r="B325" s="479" t="s">
        <v>9</v>
      </c>
      <c r="C325" s="543"/>
      <c r="D325" s="519">
        <f t="shared" ref="D325" si="189">+D326+D329</f>
        <v>0</v>
      </c>
      <c r="E325" s="529">
        <v>0</v>
      </c>
      <c r="F325" s="520"/>
      <c r="G325" s="520"/>
      <c r="H325" s="520"/>
      <c r="I325" s="520"/>
      <c r="J325" s="520"/>
      <c r="K325" s="520"/>
      <c r="L325" s="520">
        <f>+L326+L329</f>
        <v>0</v>
      </c>
      <c r="M325" s="704">
        <f>M326+M329</f>
        <v>0</v>
      </c>
      <c r="N325" s="3705"/>
      <c r="O325" s="354"/>
    </row>
    <row r="326" spans="1:15" ht="14.25" hidden="1" customHeight="1">
      <c r="A326" s="3670"/>
      <c r="B326" s="904" t="s">
        <v>22</v>
      </c>
      <c r="C326" s="3682" t="s">
        <v>89</v>
      </c>
      <c r="D326" s="646">
        <f t="shared" ref="D326" si="190">+D327+D328</f>
        <v>0</v>
      </c>
      <c r="E326" s="493">
        <v>0</v>
      </c>
      <c r="F326" s="646"/>
      <c r="G326" s="646"/>
      <c r="H326" s="646"/>
      <c r="I326" s="646"/>
      <c r="J326" s="646"/>
      <c r="K326" s="646"/>
      <c r="L326" s="646">
        <f>+L327+L328</f>
        <v>0</v>
      </c>
      <c r="M326" s="459">
        <f>+M327+M328</f>
        <v>0</v>
      </c>
      <c r="N326" s="3705"/>
      <c r="O326" s="354"/>
    </row>
    <row r="327" spans="1:15" ht="12.75" hidden="1" customHeight="1">
      <c r="A327" s="3670"/>
      <c r="B327" s="905" t="s">
        <v>11</v>
      </c>
      <c r="C327" s="3665"/>
      <c r="D327" s="698">
        <f>SUM(E327:K327)</f>
        <v>0</v>
      </c>
      <c r="E327" s="487"/>
      <c r="F327" s="525"/>
      <c r="G327" s="525"/>
      <c r="H327" s="525"/>
      <c r="I327" s="525"/>
      <c r="J327" s="525"/>
      <c r="K327" s="525"/>
      <c r="L327" s="525"/>
      <c r="M327" s="2468"/>
      <c r="N327" s="3705"/>
    </row>
    <row r="328" spans="1:15" ht="11.25" hidden="1" customHeight="1">
      <c r="A328" s="3670"/>
      <c r="B328" s="429" t="s">
        <v>96</v>
      </c>
      <c r="C328" s="3665"/>
      <c r="D328" s="206">
        <f>E328+L328+F328+G328+H328+I328+J328+K328</f>
        <v>0</v>
      </c>
      <c r="E328" s="487">
        <v>0</v>
      </c>
      <c r="F328" s="525"/>
      <c r="G328" s="525"/>
      <c r="H328" s="526"/>
      <c r="I328" s="525"/>
      <c r="J328" s="525"/>
      <c r="K328" s="525"/>
      <c r="L328" s="526">
        <f>5400000-5400000</f>
        <v>0</v>
      </c>
      <c r="M328" s="2446">
        <f>SUM(F328:K328)</f>
        <v>0</v>
      </c>
      <c r="N328" s="3705"/>
    </row>
    <row r="329" spans="1:15" ht="11.25" hidden="1" customHeight="1">
      <c r="A329" s="3670"/>
      <c r="B329" s="906" t="s">
        <v>17</v>
      </c>
      <c r="C329" s="3665"/>
      <c r="D329" s="460">
        <f t="shared" ref="D329" si="191">+D330</f>
        <v>0</v>
      </c>
      <c r="E329" s="714">
        <v>0</v>
      </c>
      <c r="F329" s="705"/>
      <c r="G329" s="705"/>
      <c r="H329" s="705"/>
      <c r="I329" s="705"/>
      <c r="J329" s="705"/>
      <c r="K329" s="705"/>
      <c r="L329" s="705">
        <f>+L330</f>
        <v>0</v>
      </c>
      <c r="M329" s="459">
        <f>M330</f>
        <v>0</v>
      </c>
      <c r="N329" s="3705"/>
    </row>
    <row r="330" spans="1:15" ht="13.5" hidden="1" customHeight="1">
      <c r="A330" s="3670"/>
      <c r="B330" s="907" t="s">
        <v>19</v>
      </c>
      <c r="C330" s="3696"/>
      <c r="D330" s="206">
        <f>E330+L330+F330+G330+H330+I330+J330+K330</f>
        <v>0</v>
      </c>
      <c r="E330" s="487">
        <v>0</v>
      </c>
      <c r="F330" s="525"/>
      <c r="G330" s="524"/>
      <c r="H330" s="525"/>
      <c r="I330" s="524"/>
      <c r="J330" s="524"/>
      <c r="K330" s="524"/>
      <c r="L330" s="525">
        <f>30600000-30600000</f>
        <v>0</v>
      </c>
      <c r="M330" s="2446">
        <f>SUM(F330:K330)</f>
        <v>0</v>
      </c>
      <c r="N330" s="3705"/>
    </row>
    <row r="331" spans="1:15" ht="13.5" hidden="1" customHeight="1">
      <c r="A331" s="3671"/>
      <c r="B331" s="908" t="s">
        <v>20</v>
      </c>
      <c r="C331" s="75"/>
      <c r="D331" s="82">
        <f>+D334+D332</f>
        <v>0</v>
      </c>
      <c r="E331" s="2467">
        <v>0</v>
      </c>
      <c r="F331" s="82"/>
      <c r="G331" s="82"/>
      <c r="H331" s="82"/>
      <c r="I331" s="82"/>
      <c r="J331" s="82"/>
      <c r="K331" s="82"/>
      <c r="L331" s="82">
        <f t="shared" ref="L331" si="192">+L334+L332</f>
        <v>0</v>
      </c>
      <c r="M331" s="3756" t="s">
        <v>21</v>
      </c>
      <c r="N331" s="3705"/>
    </row>
    <row r="332" spans="1:15" ht="13.5" hidden="1" customHeight="1">
      <c r="A332" s="3671"/>
      <c r="B332" s="711" t="s">
        <v>22</v>
      </c>
      <c r="C332" s="3682" t="s">
        <v>275</v>
      </c>
      <c r="D332" s="600">
        <f>D333</f>
        <v>0</v>
      </c>
      <c r="E332" s="2469">
        <v>0</v>
      </c>
      <c r="F332" s="600"/>
      <c r="G332" s="600"/>
      <c r="H332" s="600"/>
      <c r="I332" s="600"/>
      <c r="J332" s="600"/>
      <c r="K332" s="600"/>
      <c r="L332" s="600">
        <f t="shared" ref="L332" si="193">L333</f>
        <v>0</v>
      </c>
      <c r="M332" s="3717"/>
      <c r="N332" s="3705"/>
    </row>
    <row r="333" spans="1:15" ht="13.5" hidden="1" customHeight="1">
      <c r="A333" s="3671"/>
      <c r="B333" s="429" t="s">
        <v>96</v>
      </c>
      <c r="C333" s="3722"/>
      <c r="D333" s="206">
        <f>E333+L333+F333+G333+H333+I333+J333+K333</f>
        <v>0</v>
      </c>
      <c r="E333" s="487">
        <v>0</v>
      </c>
      <c r="F333" s="600"/>
      <c r="G333" s="909"/>
      <c r="H333" s="909"/>
      <c r="I333" s="600"/>
      <c r="J333" s="600"/>
      <c r="K333" s="600"/>
      <c r="L333" s="909">
        <v>0</v>
      </c>
      <c r="M333" s="3717"/>
      <c r="N333" s="3705"/>
    </row>
    <row r="334" spans="1:15" ht="12" hidden="1" customHeight="1">
      <c r="A334" s="3671"/>
      <c r="B334" s="488" t="s">
        <v>17</v>
      </c>
      <c r="C334" s="3722"/>
      <c r="D334" s="460">
        <f>+D335</f>
        <v>0</v>
      </c>
      <c r="E334" s="714">
        <v>0</v>
      </c>
      <c r="F334" s="705"/>
      <c r="G334" s="705"/>
      <c r="H334" s="705"/>
      <c r="I334" s="705"/>
      <c r="J334" s="705"/>
      <c r="K334" s="705"/>
      <c r="L334" s="705">
        <f t="shared" ref="L334" si="194">+L335</f>
        <v>0</v>
      </c>
      <c r="M334" s="3717"/>
      <c r="N334" s="3705"/>
    </row>
    <row r="335" spans="1:15" ht="13.5" hidden="1" customHeight="1" thickBot="1">
      <c r="A335" s="3672"/>
      <c r="B335" s="712" t="s">
        <v>19</v>
      </c>
      <c r="C335" s="3723"/>
      <c r="D335" s="206">
        <f>E335+L335+F335+G335+H335+I335+J335+K335</f>
        <v>0</v>
      </c>
      <c r="E335" s="490">
        <v>0</v>
      </c>
      <c r="F335" s="47"/>
      <c r="G335" s="47"/>
      <c r="H335" s="47"/>
      <c r="I335" s="47"/>
      <c r="J335" s="47"/>
      <c r="K335" s="47"/>
      <c r="L335" s="47">
        <f>30600000-30600000</f>
        <v>0</v>
      </c>
      <c r="M335" s="3718"/>
      <c r="N335" s="3706"/>
    </row>
    <row r="336" spans="1:15" ht="24.75" hidden="1" customHeight="1">
      <c r="A336" s="3669"/>
      <c r="B336" s="61"/>
      <c r="C336" s="48" t="s">
        <v>72</v>
      </c>
      <c r="D336" s="3058"/>
      <c r="E336" s="2105"/>
      <c r="F336" s="2105"/>
      <c r="G336" s="2105"/>
      <c r="H336" s="2105"/>
      <c r="I336" s="2105"/>
      <c r="J336" s="2105"/>
      <c r="K336" s="2106"/>
      <c r="L336" s="2105"/>
      <c r="M336" s="36"/>
      <c r="N336" s="3758" t="s">
        <v>92</v>
      </c>
    </row>
    <row r="337" spans="1:16" ht="13.5" hidden="1" customHeight="1">
      <c r="A337" s="3670"/>
      <c r="B337" s="720" t="s">
        <v>9</v>
      </c>
      <c r="C337" s="381"/>
      <c r="D337" s="531">
        <f t="shared" ref="D337" si="195">+D338+D342</f>
        <v>0</v>
      </c>
      <c r="E337" s="1580">
        <f>+E338+E342</f>
        <v>0</v>
      </c>
      <c r="F337" s="1580">
        <f>+F338+F342</f>
        <v>0</v>
      </c>
      <c r="G337" s="3059">
        <f>+G338+G342</f>
        <v>0</v>
      </c>
      <c r="H337" s="3059">
        <f>+H338+H342</f>
        <v>0</v>
      </c>
      <c r="I337" s="1580"/>
      <c r="J337" s="1580"/>
      <c r="K337" s="1580"/>
      <c r="L337" s="1580">
        <f>+L338+L342</f>
        <v>0</v>
      </c>
      <c r="M337" s="1570">
        <f>+M338+M342</f>
        <v>0</v>
      </c>
      <c r="N337" s="3705"/>
      <c r="P337" s="354"/>
    </row>
    <row r="338" spans="1:16" ht="13.5" hidden="1" customHeight="1">
      <c r="A338" s="3670"/>
      <c r="B338" s="711" t="s">
        <v>22</v>
      </c>
      <c r="C338" s="3682" t="s">
        <v>89</v>
      </c>
      <c r="D338" s="3060">
        <f>+D339+D341+D340</f>
        <v>0</v>
      </c>
      <c r="E338" s="3060">
        <f t="shared" ref="E338" si="196">+E339+E341+E340</f>
        <v>0</v>
      </c>
      <c r="F338" s="3060">
        <f t="shared" ref="F338" si="197">+F339+F341+F340</f>
        <v>0</v>
      </c>
      <c r="G338" s="3061">
        <f>+G339+G341+G340</f>
        <v>0</v>
      </c>
      <c r="H338" s="3061">
        <f>+H339+H341+H340</f>
        <v>0</v>
      </c>
      <c r="I338" s="3060"/>
      <c r="J338" s="3060"/>
      <c r="K338" s="3060"/>
      <c r="L338" s="3060">
        <f>+L339+L341+L340</f>
        <v>0</v>
      </c>
      <c r="M338" s="459">
        <f>+M339+M341+M340</f>
        <v>0</v>
      </c>
      <c r="N338" s="3705"/>
      <c r="P338" s="354"/>
    </row>
    <row r="339" spans="1:16" hidden="1">
      <c r="A339" s="3670"/>
      <c r="B339" s="3062" t="s">
        <v>11</v>
      </c>
      <c r="C339" s="3665"/>
      <c r="D339" s="698">
        <f>E339+L339+F339+G339+H339+I339+J339+K339</f>
        <v>0</v>
      </c>
      <c r="E339" s="524"/>
      <c r="F339" s="1578"/>
      <c r="G339" s="708">
        <v>0</v>
      </c>
      <c r="H339" s="1573">
        <v>0</v>
      </c>
      <c r="I339" s="524"/>
      <c r="J339" s="524"/>
      <c r="K339" s="524"/>
      <c r="L339" s="524">
        <v>0</v>
      </c>
      <c r="M339" s="2446">
        <f>SUM(G339:K339)</f>
        <v>0</v>
      </c>
      <c r="N339" s="3705"/>
    </row>
    <row r="340" spans="1:16" ht="12.75" hidden="1" customHeight="1">
      <c r="A340" s="3670"/>
      <c r="B340" s="429" t="s">
        <v>96</v>
      </c>
      <c r="C340" s="3665"/>
      <c r="D340" s="698">
        <f>E340+L340+F340+G340+H340+I340+J340+K340</f>
        <v>0</v>
      </c>
      <c r="E340" s="3063">
        <f>15546856-2076856-13470000</f>
        <v>0</v>
      </c>
      <c r="F340" s="3064">
        <f>8419285+6619715-15039000</f>
        <v>0</v>
      </c>
      <c r="G340" s="3065">
        <v>0</v>
      </c>
      <c r="H340" s="1226">
        <f>2076000-2076000</f>
        <v>0</v>
      </c>
      <c r="I340" s="3063"/>
      <c r="J340" s="3063"/>
      <c r="K340" s="3063"/>
      <c r="L340" s="3063">
        <f>15546856-2076856-13470000</f>
        <v>0</v>
      </c>
      <c r="M340" s="2446">
        <f>SUM(F340:K340)</f>
        <v>0</v>
      </c>
      <c r="N340" s="3705"/>
    </row>
    <row r="341" spans="1:16" ht="13.5" hidden="1" customHeight="1">
      <c r="A341" s="3670"/>
      <c r="B341" s="76" t="s">
        <v>14</v>
      </c>
      <c r="C341" s="3665"/>
      <c r="D341" s="698">
        <f>SUM(E341:H341)</f>
        <v>0</v>
      </c>
      <c r="E341" s="3063">
        <v>0</v>
      </c>
      <c r="F341" s="3063">
        <v>0</v>
      </c>
      <c r="G341" s="3065"/>
      <c r="H341" s="3065"/>
      <c r="I341" s="3063"/>
      <c r="J341" s="3063"/>
      <c r="K341" s="3063"/>
      <c r="L341" s="3063">
        <v>0</v>
      </c>
      <c r="M341" s="2451"/>
      <c r="N341" s="3705"/>
    </row>
    <row r="342" spans="1:16" ht="13.5" hidden="1" customHeight="1">
      <c r="A342" s="3670"/>
      <c r="B342" s="3066" t="s">
        <v>17</v>
      </c>
      <c r="C342" s="3665"/>
      <c r="D342" s="460">
        <f>+D343</f>
        <v>0</v>
      </c>
      <c r="E342" s="3067">
        <f t="shared" ref="E342:M342" si="198">+E343</f>
        <v>0</v>
      </c>
      <c r="F342" s="3067">
        <f t="shared" si="198"/>
        <v>0</v>
      </c>
      <c r="G342" s="3068">
        <f t="shared" si="198"/>
        <v>0</v>
      </c>
      <c r="H342" s="3068">
        <f t="shared" si="198"/>
        <v>0</v>
      </c>
      <c r="I342" s="3067"/>
      <c r="J342" s="3067"/>
      <c r="K342" s="3067"/>
      <c r="L342" s="3067">
        <f>+L343</f>
        <v>0</v>
      </c>
      <c r="M342" s="459">
        <f t="shared" si="198"/>
        <v>0</v>
      </c>
      <c r="N342" s="3705"/>
    </row>
    <row r="343" spans="1:16" hidden="1">
      <c r="A343" s="3670"/>
      <c r="B343" s="489" t="s">
        <v>19</v>
      </c>
      <c r="C343" s="3696"/>
      <c r="D343" s="698">
        <f>E343+L343+F343+G343+H343+I343+J343+K343</f>
        <v>0</v>
      </c>
      <c r="E343" s="3063"/>
      <c r="F343" s="3063"/>
      <c r="G343" s="3065">
        <v>0</v>
      </c>
      <c r="H343" s="3065">
        <f>11764000-11764000</f>
        <v>0</v>
      </c>
      <c r="I343" s="3063"/>
      <c r="J343" s="3063"/>
      <c r="K343" s="3063"/>
      <c r="L343" s="3063">
        <v>0</v>
      </c>
      <c r="M343" s="2446">
        <f>SUM(G343:K343)</f>
        <v>0</v>
      </c>
      <c r="N343" s="3705"/>
    </row>
    <row r="344" spans="1:16" ht="13.5" hidden="1" customHeight="1">
      <c r="A344" s="3671"/>
      <c r="B344" s="720" t="s">
        <v>20</v>
      </c>
      <c r="C344" s="381"/>
      <c r="D344" s="519">
        <f>+D345+D348</f>
        <v>0</v>
      </c>
      <c r="E344" s="1581">
        <f t="shared" ref="E344" si="199">+E345+E348</f>
        <v>0</v>
      </c>
      <c r="F344" s="1581">
        <f t="shared" ref="F344:H344" si="200">+F345+F348</f>
        <v>0</v>
      </c>
      <c r="G344" s="3069">
        <f t="shared" si="200"/>
        <v>0</v>
      </c>
      <c r="H344" s="3069">
        <f t="shared" si="200"/>
        <v>0</v>
      </c>
      <c r="I344" s="1581"/>
      <c r="J344" s="1581"/>
      <c r="K344" s="1581"/>
      <c r="L344" s="1581">
        <f>+L345+L348</f>
        <v>0</v>
      </c>
      <c r="M344" s="3070"/>
      <c r="N344" s="3705"/>
    </row>
    <row r="345" spans="1:16" hidden="1">
      <c r="A345" s="3671"/>
      <c r="B345" s="711" t="s">
        <v>22</v>
      </c>
      <c r="C345" s="3827" t="s">
        <v>337</v>
      </c>
      <c r="D345" s="43">
        <f>+D347+D346</f>
        <v>0</v>
      </c>
      <c r="E345" s="43">
        <f t="shared" ref="E345" si="201">+E347+E346</f>
        <v>0</v>
      </c>
      <c r="F345" s="43">
        <f t="shared" ref="F345" si="202">+F347+F346</f>
        <v>0</v>
      </c>
      <c r="G345" s="219">
        <f>+G347+G346</f>
        <v>0</v>
      </c>
      <c r="H345" s="219">
        <f>+H347+H346</f>
        <v>0</v>
      </c>
      <c r="I345" s="43"/>
      <c r="J345" s="43"/>
      <c r="K345" s="43"/>
      <c r="L345" s="43">
        <f>+L347+L346</f>
        <v>0</v>
      </c>
      <c r="M345" s="3053"/>
      <c r="N345" s="3705"/>
    </row>
    <row r="346" spans="1:16" ht="13.5" hidden="1" customHeight="1">
      <c r="A346" s="3671"/>
      <c r="B346" s="429" t="s">
        <v>96</v>
      </c>
      <c r="C346" s="3828"/>
      <c r="D346" s="698">
        <f>E346+L346+F346+G346+H346+I346+J346+K346</f>
        <v>0</v>
      </c>
      <c r="E346" s="1582">
        <f>8419285-8419285</f>
        <v>0</v>
      </c>
      <c r="F346" s="1582">
        <f>8419285-8419285</f>
        <v>0</v>
      </c>
      <c r="G346" s="3071">
        <v>0</v>
      </c>
      <c r="H346" s="219">
        <v>0</v>
      </c>
      <c r="I346" s="43"/>
      <c r="J346" s="43"/>
      <c r="K346" s="43"/>
      <c r="L346" s="1582">
        <f>8419285-8419285</f>
        <v>0</v>
      </c>
      <c r="M346" s="3053"/>
      <c r="N346" s="3705"/>
    </row>
    <row r="347" spans="1:16" ht="12.75" hidden="1" customHeight="1">
      <c r="A347" s="3671"/>
      <c r="B347" s="76" t="s">
        <v>14</v>
      </c>
      <c r="C347" s="3760"/>
      <c r="D347" s="698">
        <f>SUM(E347:H347)</f>
        <v>0</v>
      </c>
      <c r="E347" s="1583"/>
      <c r="F347" s="1583"/>
      <c r="G347" s="3072"/>
      <c r="H347" s="3072"/>
      <c r="I347" s="1583"/>
      <c r="J347" s="1583"/>
      <c r="K347" s="1583"/>
      <c r="L347" s="1583"/>
      <c r="M347" s="3053"/>
      <c r="N347" s="3705"/>
    </row>
    <row r="348" spans="1:16" ht="14.25" hidden="1" customHeight="1">
      <c r="A348" s="3671"/>
      <c r="B348" s="3066" t="s">
        <v>17</v>
      </c>
      <c r="C348" s="3760"/>
      <c r="D348" s="460">
        <f t="shared" ref="D348:H348" si="203">+D349</f>
        <v>0</v>
      </c>
      <c r="E348" s="3067">
        <f t="shared" si="203"/>
        <v>0</v>
      </c>
      <c r="F348" s="3067">
        <f t="shared" si="203"/>
        <v>0</v>
      </c>
      <c r="G348" s="3068">
        <f t="shared" si="203"/>
        <v>0</v>
      </c>
      <c r="H348" s="3068">
        <f t="shared" si="203"/>
        <v>0</v>
      </c>
      <c r="I348" s="3067"/>
      <c r="J348" s="3067"/>
      <c r="K348" s="3067"/>
      <c r="L348" s="3067">
        <f>+L349</f>
        <v>0</v>
      </c>
      <c r="M348" s="3053"/>
      <c r="N348" s="3705"/>
    </row>
    <row r="349" spans="1:16" ht="12.75" hidden="1" customHeight="1" thickBot="1">
      <c r="A349" s="3672"/>
      <c r="B349" s="712" t="s">
        <v>19</v>
      </c>
      <c r="C349" s="3761"/>
      <c r="D349" s="1506">
        <f>E349+L349+F349+G349+H349+I349+J349+K349</f>
        <v>0</v>
      </c>
      <c r="E349" s="47"/>
      <c r="F349" s="47"/>
      <c r="G349" s="1579">
        <v>0</v>
      </c>
      <c r="H349" s="1579">
        <f>11764000-11764000</f>
        <v>0</v>
      </c>
      <c r="I349" s="47"/>
      <c r="J349" s="47"/>
      <c r="K349" s="47"/>
      <c r="L349" s="47">
        <v>0</v>
      </c>
      <c r="M349" s="3052"/>
      <c r="N349" s="3706"/>
    </row>
    <row r="350" spans="1:16" ht="28.5" hidden="1" customHeight="1">
      <c r="A350" s="3669"/>
      <c r="B350" s="61"/>
      <c r="C350" s="48" t="s">
        <v>99</v>
      </c>
      <c r="D350" s="915"/>
      <c r="E350" s="2098"/>
      <c r="F350" s="2098"/>
      <c r="G350" s="2098"/>
      <c r="H350" s="2098"/>
      <c r="I350" s="2098"/>
      <c r="J350" s="2098"/>
      <c r="K350" s="34"/>
      <c r="L350" s="2098"/>
      <c r="M350" s="36"/>
      <c r="N350" s="3758" t="s">
        <v>92</v>
      </c>
    </row>
    <row r="351" spans="1:16" ht="12.75" hidden="1" customHeight="1">
      <c r="A351" s="3670"/>
      <c r="B351" s="720" t="s">
        <v>9</v>
      </c>
      <c r="C351" s="1177"/>
      <c r="D351" s="707">
        <f>+D352+D355</f>
        <v>0</v>
      </c>
      <c r="E351" s="3073">
        <f t="shared" ref="E351:F351" si="204">+E352+E355</f>
        <v>0</v>
      </c>
      <c r="F351" s="707">
        <f t="shared" si="204"/>
        <v>0</v>
      </c>
      <c r="G351" s="707"/>
      <c r="H351" s="707"/>
      <c r="I351" s="707"/>
      <c r="J351" s="707"/>
      <c r="K351" s="707"/>
      <c r="L351" s="3073">
        <f>+L352+L355</f>
        <v>0</v>
      </c>
      <c r="M351" s="1570">
        <f>M352+M355</f>
        <v>0</v>
      </c>
      <c r="N351" s="3705"/>
    </row>
    <row r="352" spans="1:16" ht="12.75" hidden="1" customHeight="1">
      <c r="A352" s="3670"/>
      <c r="B352" s="711" t="s">
        <v>22</v>
      </c>
      <c r="C352" s="3682" t="s">
        <v>89</v>
      </c>
      <c r="D352" s="64">
        <f>+D353+D354</f>
        <v>0</v>
      </c>
      <c r="E352" s="1490">
        <f t="shared" ref="E352:F352" si="205">+E353+E354</f>
        <v>0</v>
      </c>
      <c r="F352" s="64">
        <f t="shared" si="205"/>
        <v>0</v>
      </c>
      <c r="G352" s="64"/>
      <c r="H352" s="64"/>
      <c r="I352" s="64"/>
      <c r="J352" s="64"/>
      <c r="K352" s="64"/>
      <c r="L352" s="1490">
        <f>+L353+L354</f>
        <v>0</v>
      </c>
      <c r="M352" s="459">
        <f>+M353+M354</f>
        <v>0</v>
      </c>
      <c r="N352" s="3705"/>
    </row>
    <row r="353" spans="1:16" ht="12.75" hidden="1" customHeight="1">
      <c r="A353" s="3670"/>
      <c r="B353" s="3074" t="s">
        <v>11</v>
      </c>
      <c r="C353" s="3665"/>
      <c r="D353" s="698">
        <f>E353+L353+F353+G353+H353+I353+J353+K353</f>
        <v>0</v>
      </c>
      <c r="E353" s="3075">
        <v>0</v>
      </c>
      <c r="F353" s="698"/>
      <c r="G353" s="708"/>
      <c r="H353" s="708"/>
      <c r="I353" s="708"/>
      <c r="J353" s="708"/>
      <c r="K353" s="708"/>
      <c r="L353" s="3075">
        <v>0</v>
      </c>
      <c r="M353" s="2446">
        <f>SUM(G353:K353)</f>
        <v>0</v>
      </c>
      <c r="N353" s="3705"/>
    </row>
    <row r="354" spans="1:16" ht="12.75" hidden="1" customHeight="1">
      <c r="A354" s="3670"/>
      <c r="B354" s="3076" t="s">
        <v>16</v>
      </c>
      <c r="C354" s="3665"/>
      <c r="D354" s="698">
        <f>E354+L354+F354+G354+H354+I354+J354+K354</f>
        <v>0</v>
      </c>
      <c r="E354" s="3075">
        <v>0</v>
      </c>
      <c r="F354" s="698"/>
      <c r="G354" s="524"/>
      <c r="H354" s="524"/>
      <c r="I354" s="524"/>
      <c r="J354" s="524"/>
      <c r="K354" s="524"/>
      <c r="L354" s="3075">
        <v>0</v>
      </c>
      <c r="M354" s="2446">
        <f>SUM(G354:K354)</f>
        <v>0</v>
      </c>
      <c r="N354" s="3705"/>
    </row>
    <row r="355" spans="1:16" ht="12.75" hidden="1" customHeight="1">
      <c r="A355" s="3670"/>
      <c r="B355" s="1745" t="s">
        <v>17</v>
      </c>
      <c r="C355" s="3665"/>
      <c r="D355" s="460">
        <f>+D356</f>
        <v>0</v>
      </c>
      <c r="E355" s="710">
        <f t="shared" ref="E355:F355" si="206">+E356</f>
        <v>0</v>
      </c>
      <c r="F355" s="460">
        <f t="shared" si="206"/>
        <v>0</v>
      </c>
      <c r="G355" s="460"/>
      <c r="H355" s="460"/>
      <c r="I355" s="460"/>
      <c r="J355" s="460"/>
      <c r="K355" s="460"/>
      <c r="L355" s="710">
        <f>+L356</f>
        <v>0</v>
      </c>
      <c r="M355" s="459">
        <f>M356</f>
        <v>0</v>
      </c>
      <c r="N355" s="3705"/>
    </row>
    <row r="356" spans="1:16" ht="12.75" hidden="1" customHeight="1">
      <c r="A356" s="3670"/>
      <c r="B356" s="3077" t="s">
        <v>19</v>
      </c>
      <c r="C356" s="3665"/>
      <c r="D356" s="698">
        <f>E356+L356+F356+G356+H356+I356+J356+K356</f>
        <v>0</v>
      </c>
      <c r="E356" s="3078">
        <v>0</v>
      </c>
      <c r="F356" s="1576"/>
      <c r="G356" s="524"/>
      <c r="H356" s="524"/>
      <c r="I356" s="524"/>
      <c r="J356" s="524"/>
      <c r="K356" s="524"/>
      <c r="L356" s="3078">
        <v>0</v>
      </c>
      <c r="M356" s="2446">
        <f>SUM(G356:K356)</f>
        <v>0</v>
      </c>
      <c r="N356" s="3832"/>
    </row>
    <row r="357" spans="1:16" ht="12.75" hidden="1" customHeight="1">
      <c r="A357" s="3671"/>
      <c r="B357" s="1722" t="s">
        <v>20</v>
      </c>
      <c r="C357" s="1177"/>
      <c r="D357" s="519">
        <f>+D360+D358</f>
        <v>0</v>
      </c>
      <c r="E357" s="544">
        <f t="shared" ref="E357:F357" si="207">+E360+E358</f>
        <v>0</v>
      </c>
      <c r="F357" s="519">
        <f t="shared" si="207"/>
        <v>0</v>
      </c>
      <c r="G357" s="519"/>
      <c r="H357" s="519"/>
      <c r="I357" s="519"/>
      <c r="J357" s="519"/>
      <c r="K357" s="519"/>
      <c r="L357" s="544">
        <f>+L360+L358</f>
        <v>0</v>
      </c>
      <c r="M357" s="3737" t="s">
        <v>21</v>
      </c>
      <c r="N357" s="3742" t="s">
        <v>440</v>
      </c>
    </row>
    <row r="358" spans="1:16" ht="12.75" hidden="1" customHeight="1">
      <c r="A358" s="3671"/>
      <c r="B358" s="711" t="s">
        <v>22</v>
      </c>
      <c r="C358" s="3682" t="s">
        <v>337</v>
      </c>
      <c r="D358" s="3079">
        <f>D359</f>
        <v>0</v>
      </c>
      <c r="E358" s="3080">
        <f t="shared" ref="E358:F358" si="208">E359</f>
        <v>0</v>
      </c>
      <c r="F358" s="3079">
        <f t="shared" si="208"/>
        <v>0</v>
      </c>
      <c r="G358" s="3079"/>
      <c r="H358" s="3079"/>
      <c r="I358" s="3079"/>
      <c r="J358" s="3079"/>
      <c r="K358" s="3079"/>
      <c r="L358" s="3080">
        <f>L359</f>
        <v>0</v>
      </c>
      <c r="M358" s="3693"/>
      <c r="N358" s="3705"/>
    </row>
    <row r="359" spans="1:16" ht="12.75" hidden="1" customHeight="1">
      <c r="A359" s="3671"/>
      <c r="B359" s="429" t="s">
        <v>16</v>
      </c>
      <c r="C359" s="3722"/>
      <c r="D359" s="1641">
        <f>E359+L359+F359+G359+H359+I359+J359+K359</f>
        <v>0</v>
      </c>
      <c r="E359" s="3078">
        <v>0</v>
      </c>
      <c r="F359" s="1641"/>
      <c r="G359" s="3079"/>
      <c r="H359" s="3079"/>
      <c r="I359" s="3079"/>
      <c r="J359" s="3079"/>
      <c r="K359" s="3079"/>
      <c r="L359" s="3078">
        <v>0</v>
      </c>
      <c r="M359" s="3693"/>
      <c r="N359" s="3705"/>
    </row>
    <row r="360" spans="1:16" ht="12.75" hidden="1" customHeight="1">
      <c r="A360" s="3671"/>
      <c r="B360" s="1745" t="s">
        <v>17</v>
      </c>
      <c r="C360" s="3722"/>
      <c r="D360" s="1584">
        <f>+D361</f>
        <v>0</v>
      </c>
      <c r="E360" s="2972">
        <f t="shared" ref="E360:F360" si="209">+E361</f>
        <v>0</v>
      </c>
      <c r="F360" s="1584">
        <f t="shared" si="209"/>
        <v>0</v>
      </c>
      <c r="G360" s="646"/>
      <c r="H360" s="646"/>
      <c r="I360" s="646"/>
      <c r="J360" s="646"/>
      <c r="K360" s="646"/>
      <c r="L360" s="2972">
        <f>+L361</f>
        <v>0</v>
      </c>
      <c r="M360" s="3693"/>
      <c r="N360" s="3705"/>
    </row>
    <row r="361" spans="1:16" ht="12.75" hidden="1" customHeight="1" thickBot="1">
      <c r="A361" s="3672"/>
      <c r="B361" s="292" t="s">
        <v>19</v>
      </c>
      <c r="C361" s="3723"/>
      <c r="D361" s="1636">
        <f>E361+L361+F361+G361+H361+I361+J361+K361</f>
        <v>0</v>
      </c>
      <c r="E361" s="1439">
        <v>0</v>
      </c>
      <c r="F361" s="1410"/>
      <c r="G361" s="364"/>
      <c r="H361" s="364"/>
      <c r="I361" s="364"/>
      <c r="J361" s="364"/>
      <c r="K361" s="364"/>
      <c r="L361" s="1439">
        <v>0</v>
      </c>
      <c r="M361" s="3694"/>
      <c r="N361" s="3706"/>
    </row>
    <row r="362" spans="1:16" ht="20.25" customHeight="1">
      <c r="A362" s="3731" t="s">
        <v>210</v>
      </c>
      <c r="B362" s="92" t="s">
        <v>451</v>
      </c>
      <c r="C362" s="641"/>
      <c r="D362" s="93"/>
      <c r="E362" s="94"/>
      <c r="F362" s="94"/>
      <c r="G362" s="94"/>
      <c r="H362" s="94"/>
      <c r="I362" s="247"/>
      <c r="J362" s="248"/>
      <c r="K362" s="248"/>
      <c r="L362" s="94"/>
      <c r="M362" s="2470"/>
      <c r="N362" s="3747"/>
    </row>
    <row r="363" spans="1:16" s="2472" customFormat="1" ht="14.25" customHeight="1">
      <c r="A363" s="3732"/>
      <c r="B363" s="720" t="s">
        <v>9</v>
      </c>
      <c r="C363" s="75"/>
      <c r="D363" s="95">
        <f>+D364+D367</f>
        <v>38104915</v>
      </c>
      <c r="E363" s="95">
        <f t="shared" ref="E363:M363" si="210">+E364+E367</f>
        <v>594744</v>
      </c>
      <c r="F363" s="95">
        <f t="shared" si="210"/>
        <v>264484</v>
      </c>
      <c r="G363" s="95">
        <f t="shared" si="210"/>
        <v>22197649</v>
      </c>
      <c r="H363" s="95">
        <f t="shared" si="210"/>
        <v>15048038</v>
      </c>
      <c r="I363" s="95">
        <f t="shared" si="210"/>
        <v>0</v>
      </c>
      <c r="J363" s="95">
        <f t="shared" si="210"/>
        <v>0</v>
      </c>
      <c r="K363" s="95">
        <f t="shared" si="210"/>
        <v>0</v>
      </c>
      <c r="L363" s="95">
        <f>+L364+L367</f>
        <v>0</v>
      </c>
      <c r="M363" s="703">
        <f t="shared" si="210"/>
        <v>37245687</v>
      </c>
      <c r="N363" s="3748"/>
      <c r="O363" s="354">
        <f>E363+F363+G363+H363+I363+J363+K363-D363</f>
        <v>0</v>
      </c>
      <c r="P363" s="2471"/>
    </row>
    <row r="364" spans="1:16" s="642" customFormat="1" ht="13.5" customHeight="1">
      <c r="A364" s="3732"/>
      <c r="B364" s="96" t="s">
        <v>10</v>
      </c>
      <c r="C364" s="97"/>
      <c r="D364" s="721">
        <f>+D365+D366</f>
        <v>21537251</v>
      </c>
      <c r="E364" s="721">
        <f>+E365+E366</f>
        <v>425959</v>
      </c>
      <c r="F364" s="721">
        <f t="shared" ref="F364:K364" si="211">+F365</f>
        <v>40181</v>
      </c>
      <c r="G364" s="721">
        <f t="shared" si="211"/>
        <v>12399996</v>
      </c>
      <c r="H364" s="721">
        <f t="shared" si="211"/>
        <v>8671115</v>
      </c>
      <c r="I364" s="721">
        <f t="shared" si="211"/>
        <v>0</v>
      </c>
      <c r="J364" s="721">
        <f t="shared" si="211"/>
        <v>0</v>
      </c>
      <c r="K364" s="721">
        <f t="shared" si="211"/>
        <v>0</v>
      </c>
      <c r="L364" s="721">
        <f>+L365</f>
        <v>0</v>
      </c>
      <c r="M364" s="459">
        <f>+M365</f>
        <v>21071111</v>
      </c>
      <c r="N364" s="3748"/>
      <c r="P364" s="2471"/>
    </row>
    <row r="365" spans="1:16" s="2472" customFormat="1" ht="11.25" customHeight="1">
      <c r="A365" s="3732"/>
      <c r="B365" s="29" t="s">
        <v>11</v>
      </c>
      <c r="C365" s="30"/>
      <c r="D365" s="722">
        <f>++D380+D437++D389+D401+D410+D419+D428+D452</f>
        <v>21480248</v>
      </c>
      <c r="E365" s="722">
        <f>+E380+E437++E389+E401+E410+E419+E428+E452</f>
        <v>368956</v>
      </c>
      <c r="F365" s="722">
        <f t="shared" ref="F365:K365" si="212">+F380+F437++F389+F401+F410+F419+F428+F452</f>
        <v>40181</v>
      </c>
      <c r="G365" s="722">
        <f t="shared" si="212"/>
        <v>12399996</v>
      </c>
      <c r="H365" s="722">
        <f t="shared" si="212"/>
        <v>8671115</v>
      </c>
      <c r="I365" s="722">
        <f t="shared" si="212"/>
        <v>0</v>
      </c>
      <c r="J365" s="722">
        <f t="shared" si="212"/>
        <v>0</v>
      </c>
      <c r="K365" s="722">
        <f t="shared" si="212"/>
        <v>0</v>
      </c>
      <c r="L365" s="722">
        <f>+L380+L437++L389+L401+L410+L419+L428+L452</f>
        <v>0</v>
      </c>
      <c r="M365" s="2446">
        <f>SUM(G365:K365)</f>
        <v>21071111</v>
      </c>
      <c r="N365" s="3748"/>
      <c r="O365" s="2471"/>
      <c r="P365" s="2471"/>
    </row>
    <row r="366" spans="1:16" s="2472" customFormat="1" ht="11.25" customHeight="1">
      <c r="A366" s="3732"/>
      <c r="B366" s="29" t="s">
        <v>14</v>
      </c>
      <c r="C366" s="30"/>
      <c r="D366" s="722">
        <f>+D390</f>
        <v>57003</v>
      </c>
      <c r="E366" s="722">
        <f t="shared" ref="E366:K366" si="213">+E390</f>
        <v>57003</v>
      </c>
      <c r="F366" s="722">
        <f t="shared" si="213"/>
        <v>0</v>
      </c>
      <c r="G366" s="722">
        <f t="shared" si="213"/>
        <v>0</v>
      </c>
      <c r="H366" s="722">
        <f t="shared" si="213"/>
        <v>0</v>
      </c>
      <c r="I366" s="722">
        <f t="shared" si="213"/>
        <v>0</v>
      </c>
      <c r="J366" s="722">
        <f t="shared" si="213"/>
        <v>0</v>
      </c>
      <c r="K366" s="722">
        <f t="shared" si="213"/>
        <v>0</v>
      </c>
      <c r="L366" s="722">
        <f>+L390</f>
        <v>0</v>
      </c>
      <c r="M366" s="2446">
        <f>SUM(G366:K366)</f>
        <v>0</v>
      </c>
      <c r="N366" s="3748"/>
      <c r="O366" s="2471"/>
      <c r="P366" s="2471"/>
    </row>
    <row r="367" spans="1:16" s="642" customFormat="1" ht="13.5" customHeight="1">
      <c r="A367" s="3732"/>
      <c r="B367" s="723" t="s">
        <v>91</v>
      </c>
      <c r="C367" s="724"/>
      <c r="D367" s="725">
        <f>+D368+D369</f>
        <v>16567664</v>
      </c>
      <c r="E367" s="725">
        <f>+E368+E369</f>
        <v>168785</v>
      </c>
      <c r="F367" s="725">
        <f t="shared" ref="F367:K367" si="214">+F368+F369</f>
        <v>224303</v>
      </c>
      <c r="G367" s="725">
        <f t="shared" si="214"/>
        <v>9797653</v>
      </c>
      <c r="H367" s="725">
        <f t="shared" si="214"/>
        <v>6376923</v>
      </c>
      <c r="I367" s="725">
        <f t="shared" si="214"/>
        <v>0</v>
      </c>
      <c r="J367" s="725">
        <f t="shared" si="214"/>
        <v>0</v>
      </c>
      <c r="K367" s="725">
        <f t="shared" si="214"/>
        <v>0</v>
      </c>
      <c r="L367" s="725">
        <f>+L368+L369</f>
        <v>0</v>
      </c>
      <c r="M367" s="459">
        <f>+M368+M369</f>
        <v>16174576</v>
      </c>
      <c r="N367" s="3748"/>
      <c r="P367" s="2471"/>
    </row>
    <row r="368" spans="1:16" s="2472" customFormat="1" ht="12.75" hidden="1" customHeight="1">
      <c r="A368" s="3732"/>
      <c r="B368" s="29" t="s">
        <v>18</v>
      </c>
      <c r="C368" s="30"/>
      <c r="D368" s="722"/>
      <c r="E368" s="722"/>
      <c r="F368" s="722"/>
      <c r="G368" s="722"/>
      <c r="H368" s="722"/>
      <c r="I368" s="722"/>
      <c r="J368" s="722">
        <f>J442+J457</f>
        <v>0</v>
      </c>
      <c r="K368" s="722">
        <f>K442+K457</f>
        <v>0</v>
      </c>
      <c r="L368" s="722"/>
      <c r="M368" s="2446">
        <f>SUM(F368:K368)</f>
        <v>0</v>
      </c>
      <c r="N368" s="3748"/>
      <c r="O368" s="2471"/>
      <c r="P368" s="2471"/>
    </row>
    <row r="369" spans="1:16" s="2472" customFormat="1" ht="12.75" customHeight="1">
      <c r="A369" s="3732"/>
      <c r="B369" s="29" t="s">
        <v>19</v>
      </c>
      <c r="C369" s="30"/>
      <c r="D369" s="1811">
        <f>D382+D392+D421+D430+D442+D457</f>
        <v>16567664</v>
      </c>
      <c r="E369" s="1811">
        <f>E382+E392+E421+E430+E442+E457</f>
        <v>168785</v>
      </c>
      <c r="F369" s="1811">
        <f>F382+F392+F421+F430+F442+F457</f>
        <v>224303</v>
      </c>
      <c r="G369" s="1811">
        <f t="shared" ref="G369:K369" si="215">G382+G392+G421+G430+G442+G457</f>
        <v>9797653</v>
      </c>
      <c r="H369" s="1811">
        <f t="shared" si="215"/>
        <v>6376923</v>
      </c>
      <c r="I369" s="1811">
        <f t="shared" si="215"/>
        <v>0</v>
      </c>
      <c r="J369" s="1811">
        <f t="shared" si="215"/>
        <v>0</v>
      </c>
      <c r="K369" s="1811">
        <f t="shared" si="215"/>
        <v>0</v>
      </c>
      <c r="L369" s="1811">
        <f>L382+L392+L421+L430+L442+L457</f>
        <v>0</v>
      </c>
      <c r="M369" s="2446">
        <f>SUM(G369:K369)</f>
        <v>16174576</v>
      </c>
      <c r="N369" s="3030"/>
      <c r="O369" s="2471"/>
      <c r="P369" s="2471"/>
    </row>
    <row r="370" spans="1:16" s="2472" customFormat="1" ht="12" customHeight="1">
      <c r="A370" s="3732"/>
      <c r="B370" s="475" t="s">
        <v>20</v>
      </c>
      <c r="C370" s="543"/>
      <c r="D370" s="707">
        <f>+D373+D371</f>
        <v>16624667</v>
      </c>
      <c r="E370" s="707">
        <f t="shared" ref="E370:K370" si="216">+E373+E371</f>
        <v>102737</v>
      </c>
      <c r="F370" s="707">
        <f t="shared" si="216"/>
        <v>129265</v>
      </c>
      <c r="G370" s="707">
        <f t="shared" si="216"/>
        <v>5152238</v>
      </c>
      <c r="H370" s="707">
        <f t="shared" si="216"/>
        <v>6509864</v>
      </c>
      <c r="I370" s="707">
        <f t="shared" si="216"/>
        <v>4730563</v>
      </c>
      <c r="J370" s="707">
        <f t="shared" si="216"/>
        <v>0</v>
      </c>
      <c r="K370" s="707">
        <f t="shared" si="216"/>
        <v>0</v>
      </c>
      <c r="L370" s="707">
        <f>+L373+L371</f>
        <v>0</v>
      </c>
      <c r="M370" s="3829" t="s">
        <v>21</v>
      </c>
      <c r="N370" s="99"/>
      <c r="O370" s="2471"/>
    </row>
    <row r="371" spans="1:16" s="2472" customFormat="1" ht="12" customHeight="1">
      <c r="A371" s="3732"/>
      <c r="B371" s="96" t="s">
        <v>22</v>
      </c>
      <c r="C371" s="97"/>
      <c r="D371" s="721">
        <f>+D372</f>
        <v>57003</v>
      </c>
      <c r="E371" s="721">
        <v>57003</v>
      </c>
      <c r="F371" s="721"/>
      <c r="G371" s="721"/>
      <c r="H371" s="721"/>
      <c r="I371" s="721"/>
      <c r="J371" s="721"/>
      <c r="K371" s="721"/>
      <c r="L371" s="721"/>
      <c r="M371" s="3830"/>
      <c r="N371" s="99"/>
      <c r="O371" s="2471"/>
    </row>
    <row r="372" spans="1:16" s="2472" customFormat="1" ht="12" customHeight="1">
      <c r="A372" s="3732"/>
      <c r="B372" s="29" t="s">
        <v>14</v>
      </c>
      <c r="C372" s="30"/>
      <c r="D372" s="722">
        <f>+D395</f>
        <v>57003</v>
      </c>
      <c r="E372" s="722">
        <f>+E390</f>
        <v>57003</v>
      </c>
      <c r="F372" s="722">
        <f t="shared" ref="F372:J372" si="217">+F390</f>
        <v>0</v>
      </c>
      <c r="G372" s="722">
        <f t="shared" si="217"/>
        <v>0</v>
      </c>
      <c r="H372" s="722">
        <f t="shared" si="217"/>
        <v>0</v>
      </c>
      <c r="I372" s="722">
        <f t="shared" si="217"/>
        <v>0</v>
      </c>
      <c r="J372" s="722">
        <f t="shared" si="217"/>
        <v>0</v>
      </c>
      <c r="K372" s="722">
        <f t="shared" ref="K372" si="218">+K395</f>
        <v>0</v>
      </c>
      <c r="L372" s="722">
        <f>+L390</f>
        <v>0</v>
      </c>
      <c r="M372" s="3830"/>
      <c r="N372" s="99"/>
      <c r="O372" s="2471"/>
    </row>
    <row r="373" spans="1:16" s="2472" customFormat="1" ht="12.75" customHeight="1">
      <c r="A373" s="3732"/>
      <c r="B373" s="1812" t="s">
        <v>17</v>
      </c>
      <c r="C373" s="1734"/>
      <c r="D373" s="1813">
        <f t="shared" ref="D373:K373" si="219">+D374+D375</f>
        <v>16567664</v>
      </c>
      <c r="E373" s="1813">
        <f t="shared" si="219"/>
        <v>45734</v>
      </c>
      <c r="F373" s="1813">
        <f t="shared" si="219"/>
        <v>129265</v>
      </c>
      <c r="G373" s="1813">
        <f t="shared" si="219"/>
        <v>5152238</v>
      </c>
      <c r="H373" s="1813">
        <f t="shared" si="219"/>
        <v>6509864</v>
      </c>
      <c r="I373" s="1813">
        <f t="shared" si="219"/>
        <v>4730563</v>
      </c>
      <c r="J373" s="1813">
        <f t="shared" si="219"/>
        <v>0</v>
      </c>
      <c r="K373" s="1813">
        <f t="shared" si="219"/>
        <v>0</v>
      </c>
      <c r="L373" s="1813">
        <f>+L374+L375</f>
        <v>0</v>
      </c>
      <c r="M373" s="3830"/>
      <c r="N373" s="3030"/>
      <c r="O373" s="2471"/>
    </row>
    <row r="374" spans="1:16" s="2472" customFormat="1" ht="13.5" hidden="1" customHeight="1" thickBot="1">
      <c r="A374" s="3732"/>
      <c r="B374" s="218" t="s">
        <v>18</v>
      </c>
      <c r="C374" s="656"/>
      <c r="D374" s="1814"/>
      <c r="E374" s="1814"/>
      <c r="F374" s="1814"/>
      <c r="G374" s="1814"/>
      <c r="H374" s="1814"/>
      <c r="I374" s="1814">
        <f>I448+I463</f>
        <v>0</v>
      </c>
      <c r="J374" s="1814">
        <f>J448+J463</f>
        <v>0</v>
      </c>
      <c r="K374" s="1814">
        <f>K448+K463</f>
        <v>0</v>
      </c>
      <c r="L374" s="1814"/>
      <c r="M374" s="3830"/>
      <c r="N374" s="3030"/>
      <c r="O374" s="2471">
        <f>D374-D368</f>
        <v>0</v>
      </c>
    </row>
    <row r="375" spans="1:16" ht="12" customHeight="1" thickBot="1">
      <c r="A375" s="3733"/>
      <c r="B375" s="643" t="s">
        <v>19</v>
      </c>
      <c r="C375" s="644"/>
      <c r="D375" s="100">
        <f>D385+D397+D424+D433+D448+D463</f>
        <v>16567664</v>
      </c>
      <c r="E375" s="100">
        <f t="shared" ref="E375" si="220">E385+E397+E424+E433+E448+E463</f>
        <v>45734</v>
      </c>
      <c r="F375" s="100">
        <f>F385+F397+F424+F433+F448+F463</f>
        <v>129265</v>
      </c>
      <c r="G375" s="100">
        <f t="shared" ref="G375:K375" si="221">G385+G397+G424+G433+G448+G463</f>
        <v>5152238</v>
      </c>
      <c r="H375" s="100">
        <f t="shared" si="221"/>
        <v>6509864</v>
      </c>
      <c r="I375" s="100">
        <f t="shared" si="221"/>
        <v>4730563</v>
      </c>
      <c r="J375" s="100">
        <f t="shared" si="221"/>
        <v>0</v>
      </c>
      <c r="K375" s="100">
        <f t="shared" si="221"/>
        <v>0</v>
      </c>
      <c r="L375" s="100">
        <f>L385+L397+L424+L433+L448+L463</f>
        <v>0</v>
      </c>
      <c r="M375" s="3831"/>
      <c r="N375" s="101"/>
    </row>
    <row r="376" spans="1:16" ht="20.25" customHeight="1" thickBot="1">
      <c r="A376" s="3032"/>
      <c r="B376" s="231" t="s">
        <v>457</v>
      </c>
      <c r="C376" s="3037"/>
      <c r="D376" s="3833"/>
      <c r="E376" s="3834"/>
      <c r="F376" s="3834"/>
      <c r="G376" s="3834"/>
      <c r="H376" s="3834"/>
      <c r="I376" s="3834"/>
      <c r="J376" s="3834"/>
      <c r="K376" s="3835"/>
      <c r="L376" s="645"/>
      <c r="M376" s="2473"/>
      <c r="N376" s="3033"/>
    </row>
    <row r="377" spans="1:16" ht="28.5" hidden="1" customHeight="1">
      <c r="A377" s="3669" t="s">
        <v>88</v>
      </c>
      <c r="B377" s="232" t="s">
        <v>452</v>
      </c>
      <c r="C377" s="48" t="s">
        <v>72</v>
      </c>
      <c r="D377" s="2099"/>
      <c r="E377" s="2098"/>
      <c r="F377" s="2098"/>
      <c r="G377" s="2098"/>
      <c r="H377" s="2098"/>
      <c r="I377" s="2098"/>
      <c r="J377" s="2098"/>
      <c r="K377" s="34"/>
      <c r="L377" s="2098"/>
      <c r="M377" s="2452"/>
      <c r="N377" s="3637" t="s">
        <v>77</v>
      </c>
    </row>
    <row r="378" spans="1:16" hidden="1">
      <c r="A378" s="3670"/>
      <c r="B378" s="475" t="s">
        <v>9</v>
      </c>
      <c r="C378" s="1177"/>
      <c r="D378" s="1200">
        <f>+D379+D381</f>
        <v>0</v>
      </c>
      <c r="E378" s="1200">
        <f t="shared" ref="E378" si="222">+E379+E381</f>
        <v>0</v>
      </c>
      <c r="F378" s="1200">
        <f>+F379+F381</f>
        <v>0</v>
      </c>
      <c r="G378" s="1200"/>
      <c r="H378" s="1200"/>
      <c r="I378" s="1200"/>
      <c r="J378" s="1200"/>
      <c r="K378" s="1200"/>
      <c r="L378" s="1200">
        <f>+L379+L381</f>
        <v>0</v>
      </c>
      <c r="M378" s="1179">
        <f>+M379+M381</f>
        <v>0</v>
      </c>
      <c r="N378" s="3638"/>
      <c r="O378" s="354"/>
    </row>
    <row r="379" spans="1:16" hidden="1">
      <c r="A379" s="3670"/>
      <c r="B379" s="453" t="s">
        <v>22</v>
      </c>
      <c r="C379" s="3664" t="s">
        <v>75</v>
      </c>
      <c r="D379" s="1201">
        <f>+D380</f>
        <v>0</v>
      </c>
      <c r="E379" s="1201">
        <f t="shared" ref="E379:F379" si="223">+E380</f>
        <v>0</v>
      </c>
      <c r="F379" s="1201">
        <f t="shared" si="223"/>
        <v>0</v>
      </c>
      <c r="G379" s="1201"/>
      <c r="H379" s="1201"/>
      <c r="I379" s="1201"/>
      <c r="J379" s="1201"/>
      <c r="K379" s="1201"/>
      <c r="L379" s="1201">
        <f>+L380</f>
        <v>0</v>
      </c>
      <c r="M379" s="1182">
        <f>+M380</f>
        <v>0</v>
      </c>
      <c r="N379" s="3638"/>
    </row>
    <row r="380" spans="1:16" hidden="1">
      <c r="A380" s="3670"/>
      <c r="B380" s="713" t="s">
        <v>11</v>
      </c>
      <c r="C380" s="3695"/>
      <c r="D380" s="1115"/>
      <c r="E380" s="1155"/>
      <c r="F380" s="1193"/>
      <c r="G380" s="1193"/>
      <c r="H380" s="1193"/>
      <c r="I380" s="1193"/>
      <c r="J380" s="1193"/>
      <c r="K380" s="1193"/>
      <c r="L380" s="1193">
        <v>0</v>
      </c>
      <c r="M380" s="2446">
        <f>SUM(G380:K380)</f>
        <v>0</v>
      </c>
      <c r="N380" s="3638"/>
    </row>
    <row r="381" spans="1:16" hidden="1">
      <c r="A381" s="3670"/>
      <c r="B381" s="709" t="s">
        <v>17</v>
      </c>
      <c r="C381" s="3695"/>
      <c r="D381" s="1181">
        <f>+D382</f>
        <v>0</v>
      </c>
      <c r="E381" s="1181">
        <f t="shared" ref="E381:F381" si="224">+E382</f>
        <v>0</v>
      </c>
      <c r="F381" s="1181">
        <f t="shared" si="224"/>
        <v>0</v>
      </c>
      <c r="G381" s="1181"/>
      <c r="H381" s="1181"/>
      <c r="I381" s="1181"/>
      <c r="J381" s="1181"/>
      <c r="K381" s="1181"/>
      <c r="L381" s="1181">
        <f>+L382</f>
        <v>0</v>
      </c>
      <c r="M381" s="1182">
        <f>+M382</f>
        <v>0</v>
      </c>
      <c r="N381" s="3638"/>
    </row>
    <row r="382" spans="1:16" hidden="1">
      <c r="A382" s="3670"/>
      <c r="B382" s="1420" t="s">
        <v>19</v>
      </c>
      <c r="C382" s="3697"/>
      <c r="D382" s="1115"/>
      <c r="E382" s="1193"/>
      <c r="F382" s="1193"/>
      <c r="G382" s="1193"/>
      <c r="H382" s="1193"/>
      <c r="I382" s="1193"/>
      <c r="J382" s="1193"/>
      <c r="K382" s="1193"/>
      <c r="L382" s="1193">
        <v>0</v>
      </c>
      <c r="M382" s="2446">
        <f>SUM(G382:K382)</f>
        <v>0</v>
      </c>
      <c r="N382" s="3652"/>
      <c r="O382" s="354"/>
    </row>
    <row r="383" spans="1:16" hidden="1">
      <c r="A383" s="3671"/>
      <c r="B383" s="475" t="s">
        <v>20</v>
      </c>
      <c r="C383" s="1177"/>
      <c r="D383" s="1178">
        <f>+D384</f>
        <v>0</v>
      </c>
      <c r="E383" s="1421">
        <f t="shared" ref="E383:G384" si="225">+E384</f>
        <v>0</v>
      </c>
      <c r="F383" s="1178">
        <f t="shared" si="225"/>
        <v>0</v>
      </c>
      <c r="G383" s="1178">
        <f t="shared" si="225"/>
        <v>0</v>
      </c>
      <c r="H383" s="1178"/>
      <c r="I383" s="1178"/>
      <c r="J383" s="1178"/>
      <c r="K383" s="1178"/>
      <c r="L383" s="1421">
        <f>+L384</f>
        <v>0</v>
      </c>
      <c r="M383" s="3692" t="s">
        <v>21</v>
      </c>
      <c r="N383" s="3742" t="s">
        <v>92</v>
      </c>
      <c r="O383" s="354"/>
    </row>
    <row r="384" spans="1:16" s="2450" customFormat="1" ht="12.75" hidden="1" customHeight="1">
      <c r="A384" s="3671"/>
      <c r="B384" s="709" t="s">
        <v>17</v>
      </c>
      <c r="C384" s="3664" t="s">
        <v>75</v>
      </c>
      <c r="D384" s="1198">
        <f>+D385</f>
        <v>0</v>
      </c>
      <c r="E384" s="2474">
        <v>0</v>
      </c>
      <c r="F384" s="1204">
        <f t="shared" si="225"/>
        <v>0</v>
      </c>
      <c r="G384" s="1204">
        <f t="shared" si="225"/>
        <v>0</v>
      </c>
      <c r="H384" s="1198"/>
      <c r="I384" s="1198"/>
      <c r="J384" s="1198"/>
      <c r="K384" s="1198"/>
      <c r="L384" s="2474">
        <f>+L385</f>
        <v>0</v>
      </c>
      <c r="M384" s="3693"/>
      <c r="N384" s="3705"/>
    </row>
    <row r="385" spans="1:15" ht="12" hidden="1" customHeight="1" thickBot="1">
      <c r="A385" s="3672"/>
      <c r="B385" s="603" t="s">
        <v>19</v>
      </c>
      <c r="C385" s="3666"/>
      <c r="D385" s="1262">
        <f>E385+L385+F385+G385+H385+I385+J385+K385</f>
        <v>0</v>
      </c>
      <c r="E385" s="2475"/>
      <c r="F385" s="1433"/>
      <c r="G385" s="1433"/>
      <c r="H385" s="1433"/>
      <c r="I385" s="1433"/>
      <c r="J385" s="1433"/>
      <c r="K385" s="1433"/>
      <c r="L385" s="1434">
        <v>0</v>
      </c>
      <c r="M385" s="3694"/>
      <c r="N385" s="3706"/>
    </row>
    <row r="386" spans="1:15" ht="24">
      <c r="A386" s="3669" t="s">
        <v>84</v>
      </c>
      <c r="B386" s="232" t="s">
        <v>622</v>
      </c>
      <c r="C386" s="48" t="s">
        <v>72</v>
      </c>
      <c r="D386" s="2099"/>
      <c r="E386" s="2098"/>
      <c r="F386" s="2097"/>
      <c r="G386" s="2098"/>
      <c r="H386" s="2098"/>
      <c r="I386" s="2098"/>
      <c r="J386" s="2098"/>
      <c r="K386" s="34"/>
      <c r="L386" s="2098"/>
      <c r="M386" s="2452"/>
      <c r="N386" s="3637" t="s">
        <v>77</v>
      </c>
    </row>
    <row r="387" spans="1:15">
      <c r="A387" s="3670"/>
      <c r="B387" s="475" t="s">
        <v>9</v>
      </c>
      <c r="C387" s="381"/>
      <c r="D387" s="1568">
        <f>+D388+D391</f>
        <v>17624366</v>
      </c>
      <c r="E387" s="1568">
        <f t="shared" ref="E387" si="226">+E388+E391</f>
        <v>395660</v>
      </c>
      <c r="F387" s="1569">
        <f t="shared" ref="F387:G387" si="227">+F388+F391</f>
        <v>0</v>
      </c>
      <c r="G387" s="1568">
        <f t="shared" si="227"/>
        <v>10337224</v>
      </c>
      <c r="H387" s="1568">
        <f t="shared" ref="H387" si="228">+H388+H391</f>
        <v>6891482</v>
      </c>
      <c r="I387" s="1568"/>
      <c r="J387" s="1568"/>
      <c r="K387" s="1568"/>
      <c r="L387" s="1569">
        <f>+L388+L391</f>
        <v>0</v>
      </c>
      <c r="M387" s="1570">
        <f>+M388+M391</f>
        <v>17228706</v>
      </c>
      <c r="N387" s="3638"/>
      <c r="O387" s="354"/>
    </row>
    <row r="388" spans="1:15">
      <c r="A388" s="3670"/>
      <c r="B388" s="453" t="s">
        <v>22</v>
      </c>
      <c r="C388" s="3682" t="s">
        <v>75</v>
      </c>
      <c r="D388" s="1571">
        <f>+D389+D390</f>
        <v>10805666</v>
      </c>
      <c r="E388" s="1571">
        <f t="shared" ref="E388" si="229">+E389+E390</f>
        <v>395660</v>
      </c>
      <c r="F388" s="1572">
        <f>+F389+F390</f>
        <v>0</v>
      </c>
      <c r="G388" s="1571">
        <f>+G389+G390</f>
        <v>6246004</v>
      </c>
      <c r="H388" s="1571">
        <f>+H389+H390</f>
        <v>4164002</v>
      </c>
      <c r="I388" s="1571"/>
      <c r="J388" s="1571"/>
      <c r="K388" s="1571"/>
      <c r="L388" s="1572">
        <v>0</v>
      </c>
      <c r="M388" s="459">
        <f>+M389</f>
        <v>10410006</v>
      </c>
      <c r="N388" s="3638"/>
    </row>
    <row r="389" spans="1:15">
      <c r="A389" s="3670"/>
      <c r="B389" s="713" t="s">
        <v>11</v>
      </c>
      <c r="C389" s="3695"/>
      <c r="D389" s="698">
        <f>E389+L389+F389+G389+H389+I389+J389+K389</f>
        <v>10748663</v>
      </c>
      <c r="E389" s="706">
        <v>338657</v>
      </c>
      <c r="F389" s="1573">
        <f>1887021+23820-1309191-151650-375000-75000</f>
        <v>0</v>
      </c>
      <c r="G389" s="1578">
        <f>601650+4147356+375000+5286000-4164002</f>
        <v>6246004</v>
      </c>
      <c r="H389" s="1578">
        <v>4164002</v>
      </c>
      <c r="I389" s="1578"/>
      <c r="J389" s="1578"/>
      <c r="K389" s="1578"/>
      <c r="L389" s="1226">
        <v>0</v>
      </c>
      <c r="M389" s="2446">
        <f>SUM(G389:K389)</f>
        <v>10410006</v>
      </c>
      <c r="N389" s="3638"/>
    </row>
    <row r="390" spans="1:15" ht="12" customHeight="1">
      <c r="A390" s="3670"/>
      <c r="B390" s="713" t="s">
        <v>14</v>
      </c>
      <c r="C390" s="3695"/>
      <c r="D390" s="698">
        <f>E390+L390+F390+G390+H390+I390+J390+K390</f>
        <v>57003</v>
      </c>
      <c r="E390" s="706">
        <v>57003</v>
      </c>
      <c r="F390" s="1226">
        <v>0</v>
      </c>
      <c r="G390" s="1226"/>
      <c r="H390" s="1226"/>
      <c r="I390" s="1226"/>
      <c r="J390" s="1226"/>
      <c r="K390" s="1226"/>
      <c r="L390" s="1226">
        <v>0</v>
      </c>
      <c r="M390" s="2446">
        <f>SUM(G390:K390)</f>
        <v>0</v>
      </c>
      <c r="N390" s="3638"/>
    </row>
    <row r="391" spans="1:15">
      <c r="A391" s="3670"/>
      <c r="B391" s="709" t="s">
        <v>17</v>
      </c>
      <c r="C391" s="3695"/>
      <c r="D391" s="460">
        <f>+D392</f>
        <v>6818700</v>
      </c>
      <c r="E391" s="710">
        <f t="shared" ref="E391:H391" si="230">+E392</f>
        <v>0</v>
      </c>
      <c r="F391" s="710">
        <f t="shared" si="230"/>
        <v>0</v>
      </c>
      <c r="G391" s="460">
        <f t="shared" si="230"/>
        <v>4091220</v>
      </c>
      <c r="H391" s="460">
        <f t="shared" si="230"/>
        <v>2727480</v>
      </c>
      <c r="I391" s="460"/>
      <c r="J391" s="460"/>
      <c r="K391" s="460"/>
      <c r="L391" s="1572">
        <v>0</v>
      </c>
      <c r="M391" s="459">
        <f>+M392</f>
        <v>6818700</v>
      </c>
      <c r="N391" s="3638"/>
    </row>
    <row r="392" spans="1:15" ht="12" customHeight="1">
      <c r="A392" s="3670"/>
      <c r="B392" s="598" t="s">
        <v>19</v>
      </c>
      <c r="C392" s="3697"/>
      <c r="D392" s="698">
        <f>E392+L392+F392+G392+H392+I392+J392+K392</f>
        <v>6818700</v>
      </c>
      <c r="E392" s="487">
        <v>0</v>
      </c>
      <c r="F392" s="1573">
        <f>6034979+76180-2701809-859350-2125000-425000</f>
        <v>0</v>
      </c>
      <c r="G392" s="1578">
        <f>3409350+859350+2125000+425000-2727480</f>
        <v>4091220</v>
      </c>
      <c r="H392" s="1578">
        <v>2727480</v>
      </c>
      <c r="I392" s="1578"/>
      <c r="J392" s="1578"/>
      <c r="K392" s="1578"/>
      <c r="L392" s="1226">
        <v>0</v>
      </c>
      <c r="M392" s="2446">
        <f>SUM(G392:K392)</f>
        <v>6818700</v>
      </c>
      <c r="N392" s="3652"/>
      <c r="O392" s="354"/>
    </row>
    <row r="393" spans="1:15" ht="11.25" customHeight="1">
      <c r="A393" s="3671"/>
      <c r="B393" s="475" t="s">
        <v>20</v>
      </c>
      <c r="C393" s="381"/>
      <c r="D393" s="519">
        <f>+D394+D396</f>
        <v>6875703</v>
      </c>
      <c r="E393" s="519">
        <f t="shared" ref="E393" si="231">+E394+E396</f>
        <v>57003</v>
      </c>
      <c r="F393" s="544">
        <f t="shared" ref="F393:I393" si="232">+F394+F396</f>
        <v>0</v>
      </c>
      <c r="G393" s="519">
        <f t="shared" si="232"/>
        <v>2045610</v>
      </c>
      <c r="H393" s="519">
        <f t="shared" si="232"/>
        <v>2727480</v>
      </c>
      <c r="I393" s="519">
        <f t="shared" si="232"/>
        <v>2045610</v>
      </c>
      <c r="J393" s="519"/>
      <c r="K393" s="519"/>
      <c r="L393" s="544">
        <f>+L394+L396</f>
        <v>0</v>
      </c>
      <c r="M393" s="3737" t="s">
        <v>21</v>
      </c>
      <c r="N393" s="3704" t="s">
        <v>92</v>
      </c>
    </row>
    <row r="394" spans="1:15">
      <c r="A394" s="3671"/>
      <c r="B394" s="709" t="s">
        <v>22</v>
      </c>
      <c r="C394" s="3739" t="s">
        <v>75</v>
      </c>
      <c r="D394" s="1571">
        <f>+D395</f>
        <v>57003</v>
      </c>
      <c r="E394" s="1571">
        <f t="shared" ref="E394" si="233">+E395</f>
        <v>57003</v>
      </c>
      <c r="F394" s="1572">
        <v>0</v>
      </c>
      <c r="G394" s="1572">
        <v>0</v>
      </c>
      <c r="H394" s="1572">
        <v>0</v>
      </c>
      <c r="I394" s="1572">
        <v>0</v>
      </c>
      <c r="J394" s="1572"/>
      <c r="K394" s="1572"/>
      <c r="L394" s="1572">
        <v>0</v>
      </c>
      <c r="M394" s="3693"/>
      <c r="N394" s="3705"/>
    </row>
    <row r="395" spans="1:15">
      <c r="A395" s="3671"/>
      <c r="B395" s="598" t="s">
        <v>14</v>
      </c>
      <c r="C395" s="3740"/>
      <c r="D395" s="698">
        <f>E395+L395+F395+G395+H395+I395+J395+K395</f>
        <v>57003</v>
      </c>
      <c r="E395" s="706">
        <v>57003</v>
      </c>
      <c r="F395" s="1226">
        <v>0</v>
      </c>
      <c r="G395" s="1226">
        <v>0</v>
      </c>
      <c r="H395" s="1226">
        <v>0</v>
      </c>
      <c r="I395" s="1226">
        <v>0</v>
      </c>
      <c r="J395" s="1226"/>
      <c r="K395" s="1226"/>
      <c r="L395" s="1226">
        <v>0</v>
      </c>
      <c r="M395" s="3693"/>
      <c r="N395" s="3705"/>
    </row>
    <row r="396" spans="1:15" s="2450" customFormat="1" ht="12.75" customHeight="1">
      <c r="A396" s="3671"/>
      <c r="B396" s="709" t="s">
        <v>17</v>
      </c>
      <c r="C396" s="3740"/>
      <c r="D396" s="646">
        <f>+D397</f>
        <v>6818700</v>
      </c>
      <c r="E396" s="3011">
        <f t="shared" ref="E396:I396" si="234">+E397</f>
        <v>0</v>
      </c>
      <c r="F396" s="2972">
        <f t="shared" si="234"/>
        <v>0</v>
      </c>
      <c r="G396" s="1584">
        <f t="shared" si="234"/>
        <v>2045610</v>
      </c>
      <c r="H396" s="1584">
        <f t="shared" si="234"/>
        <v>2727480</v>
      </c>
      <c r="I396" s="1584">
        <f t="shared" si="234"/>
        <v>2045610</v>
      </c>
      <c r="J396" s="646"/>
      <c r="K396" s="646"/>
      <c r="L396" s="1572">
        <v>0</v>
      </c>
      <c r="M396" s="3693"/>
      <c r="N396" s="3705"/>
    </row>
    <row r="397" spans="1:15" ht="12" customHeight="1" thickBot="1">
      <c r="A397" s="3672"/>
      <c r="B397" s="603" t="s">
        <v>19</v>
      </c>
      <c r="C397" s="3741"/>
      <c r="D397" s="1506">
        <f>E397+L397+F397+G397+H397+I397+J397+K397</f>
        <v>6818700</v>
      </c>
      <c r="E397" s="3012">
        <v>0</v>
      </c>
      <c r="F397" s="1434">
        <f>2555629+1141538-2197167-1500000</f>
        <v>0</v>
      </c>
      <c r="G397" s="1433">
        <f>2413992+2904708-1227480-2045610</f>
        <v>2045610</v>
      </c>
      <c r="H397" s="1433">
        <v>2727480</v>
      </c>
      <c r="I397" s="1433">
        <v>2045610</v>
      </c>
      <c r="J397" s="1433"/>
      <c r="K397" s="1433"/>
      <c r="L397" s="2476">
        <v>0</v>
      </c>
      <c r="M397" s="3694"/>
      <c r="N397" s="3706"/>
    </row>
    <row r="398" spans="1:15" ht="24.75" hidden="1" customHeight="1">
      <c r="A398" s="3669" t="s">
        <v>90</v>
      </c>
      <c r="B398" s="232"/>
      <c r="C398" s="48" t="s">
        <v>72</v>
      </c>
      <c r="D398" s="104"/>
      <c r="E398" s="2477"/>
      <c r="F398" s="35"/>
      <c r="G398" s="200"/>
      <c r="H398" s="34"/>
      <c r="I398" s="200"/>
      <c r="J398" s="200"/>
      <c r="K398" s="200"/>
      <c r="L398" s="35"/>
      <c r="M398" s="2452"/>
      <c r="N398" s="3637" t="s">
        <v>77</v>
      </c>
      <c r="O398" s="196" t="s">
        <v>276</v>
      </c>
    </row>
    <row r="399" spans="1:15" ht="13.5" hidden="1" thickBot="1">
      <c r="A399" s="3670"/>
      <c r="B399" s="1722" t="s">
        <v>9</v>
      </c>
      <c r="C399" s="1177"/>
      <c r="D399" s="1568">
        <f>+D400+D402</f>
        <v>0</v>
      </c>
      <c r="E399" s="1568">
        <f t="shared" ref="E399" si="235">+E400+E402</f>
        <v>0</v>
      </c>
      <c r="F399" s="1568">
        <f t="shared" ref="F399:G399" si="236">+F400+F402</f>
        <v>0</v>
      </c>
      <c r="G399" s="1568">
        <f t="shared" si="236"/>
        <v>0</v>
      </c>
      <c r="H399" s="1568"/>
      <c r="I399" s="1568"/>
      <c r="J399" s="1568"/>
      <c r="K399" s="1568"/>
      <c r="L399" s="1568">
        <f>+L400+L402</f>
        <v>0</v>
      </c>
      <c r="M399" s="1570">
        <f>+M400+M402</f>
        <v>0</v>
      </c>
      <c r="N399" s="3638"/>
    </row>
    <row r="400" spans="1:15" ht="13.5" hidden="1" thickBot="1">
      <c r="A400" s="3670"/>
      <c r="B400" s="1743" t="s">
        <v>22</v>
      </c>
      <c r="C400" s="3682" t="s">
        <v>75</v>
      </c>
      <c r="D400" s="1571">
        <f>+D401</f>
        <v>0</v>
      </c>
      <c r="E400" s="1571">
        <f t="shared" ref="E400:G400" si="237">+E401</f>
        <v>0</v>
      </c>
      <c r="F400" s="1571">
        <f t="shared" si="237"/>
        <v>0</v>
      </c>
      <c r="G400" s="1571">
        <f t="shared" si="237"/>
        <v>0</v>
      </c>
      <c r="H400" s="1571"/>
      <c r="I400" s="1571"/>
      <c r="J400" s="1571"/>
      <c r="K400" s="1571"/>
      <c r="L400" s="1571">
        <f>+L401</f>
        <v>0</v>
      </c>
      <c r="M400" s="459">
        <f>+M401</f>
        <v>0</v>
      </c>
      <c r="N400" s="3638"/>
    </row>
    <row r="401" spans="1:15" ht="13.5" hidden="1" thickBot="1">
      <c r="A401" s="3670"/>
      <c r="B401" s="1744" t="s">
        <v>11</v>
      </c>
      <c r="C401" s="3695"/>
      <c r="D401" s="698"/>
      <c r="E401" s="706"/>
      <c r="F401" s="1578">
        <f>1854503+17167-1310168-561502</f>
        <v>0</v>
      </c>
      <c r="G401" s="1578">
        <f>1550169-1550169</f>
        <v>0</v>
      </c>
      <c r="H401" s="1578"/>
      <c r="I401" s="1578"/>
      <c r="J401" s="1578"/>
      <c r="K401" s="1578"/>
      <c r="L401" s="1578"/>
      <c r="M401" s="2446">
        <f>SUM(F401:K401)</f>
        <v>0</v>
      </c>
      <c r="N401" s="3638"/>
    </row>
    <row r="402" spans="1:15" ht="13.5" hidden="1" thickBot="1">
      <c r="A402" s="3670"/>
      <c r="B402" s="1745" t="s">
        <v>17</v>
      </c>
      <c r="C402" s="3695"/>
      <c r="D402" s="460">
        <f>+D403</f>
        <v>0</v>
      </c>
      <c r="E402" s="460">
        <f t="shared" ref="E402:G402" si="238">+E403</f>
        <v>0</v>
      </c>
      <c r="F402" s="460">
        <f t="shared" si="238"/>
        <v>0</v>
      </c>
      <c r="G402" s="460">
        <f t="shared" si="238"/>
        <v>0</v>
      </c>
      <c r="H402" s="460"/>
      <c r="I402" s="460"/>
      <c r="J402" s="460"/>
      <c r="K402" s="460"/>
      <c r="L402" s="460">
        <f>+L403</f>
        <v>0</v>
      </c>
      <c r="M402" s="459">
        <f>+M403</f>
        <v>0</v>
      </c>
      <c r="N402" s="3638"/>
    </row>
    <row r="403" spans="1:15" ht="13.5" hidden="1" thickBot="1">
      <c r="A403" s="3670"/>
      <c r="B403" s="598" t="s">
        <v>19</v>
      </c>
      <c r="C403" s="3697"/>
      <c r="D403" s="698">
        <f>E403+L403+F403+G403+H403+I403+J403+K403</f>
        <v>0</v>
      </c>
      <c r="E403" s="706">
        <f>4205-4205</f>
        <v>0</v>
      </c>
      <c r="F403" s="1578">
        <f>6124035-4286825-1837210</f>
        <v>0</v>
      </c>
      <c r="G403" s="1578">
        <f>5046825-5046825</f>
        <v>0</v>
      </c>
      <c r="H403" s="1578"/>
      <c r="I403" s="1578"/>
      <c r="J403" s="1578"/>
      <c r="K403" s="1578"/>
      <c r="L403" s="1578">
        <f>5928372+953820+1843-6884035</f>
        <v>0</v>
      </c>
      <c r="M403" s="2446">
        <f>SUM(F403:K403)</f>
        <v>0</v>
      </c>
      <c r="N403" s="3652"/>
      <c r="O403" s="354"/>
    </row>
    <row r="404" spans="1:15" ht="12.75" hidden="1" customHeight="1">
      <c r="A404" s="3671"/>
      <c r="B404" s="1722" t="s">
        <v>20</v>
      </c>
      <c r="C404" s="1177"/>
      <c r="D404" s="519">
        <f>+D405</f>
        <v>0</v>
      </c>
      <c r="E404" s="519">
        <f t="shared" ref="E404:H405" si="239">+E405</f>
        <v>0</v>
      </c>
      <c r="F404" s="519">
        <f t="shared" si="239"/>
        <v>0</v>
      </c>
      <c r="G404" s="519">
        <f t="shared" si="239"/>
        <v>0</v>
      </c>
      <c r="H404" s="519">
        <f t="shared" si="239"/>
        <v>0</v>
      </c>
      <c r="I404" s="519"/>
      <c r="J404" s="519"/>
      <c r="K404" s="519"/>
      <c r="L404" s="519">
        <f>+L405</f>
        <v>0</v>
      </c>
      <c r="M404" s="3737" t="s">
        <v>21</v>
      </c>
      <c r="N404" s="3704" t="s">
        <v>92</v>
      </c>
    </row>
    <row r="405" spans="1:15" s="2450" customFormat="1" ht="12.75" hidden="1" customHeight="1">
      <c r="A405" s="3671"/>
      <c r="B405" s="1745" t="s">
        <v>17</v>
      </c>
      <c r="C405" s="3682" t="s">
        <v>75</v>
      </c>
      <c r="D405" s="646">
        <f>+D406</f>
        <v>0</v>
      </c>
      <c r="E405" s="1584">
        <f t="shared" si="239"/>
        <v>0</v>
      </c>
      <c r="F405" s="1584">
        <f t="shared" si="239"/>
        <v>0</v>
      </c>
      <c r="G405" s="1584">
        <f t="shared" si="239"/>
        <v>0</v>
      </c>
      <c r="H405" s="1584">
        <f t="shared" si="239"/>
        <v>0</v>
      </c>
      <c r="I405" s="646"/>
      <c r="J405" s="646"/>
      <c r="K405" s="646"/>
      <c r="L405" s="1584">
        <f>+L406</f>
        <v>0</v>
      </c>
      <c r="M405" s="3693"/>
      <c r="N405" s="3705"/>
    </row>
    <row r="406" spans="1:15" ht="13.5" hidden="1" customHeight="1" thickBot="1">
      <c r="A406" s="3672"/>
      <c r="B406" s="603" t="s">
        <v>19</v>
      </c>
      <c r="C406" s="3666"/>
      <c r="D406" s="1636">
        <f>E406+L406+F406+G406+H406+I406+J406+K406</f>
        <v>0</v>
      </c>
      <c r="E406" s="1636">
        <v>0</v>
      </c>
      <c r="F406" s="1433">
        <f>2978360+931520-3909880</f>
        <v>0</v>
      </c>
      <c r="G406" s="1433">
        <f>2218360+760000-2978360</f>
        <v>0</v>
      </c>
      <c r="H406" s="1433">
        <f>3909880-3909880</f>
        <v>0</v>
      </c>
      <c r="I406" s="1433"/>
      <c r="J406" s="1433"/>
      <c r="K406" s="1433"/>
      <c r="L406" s="1433">
        <f>3909880-3909880</f>
        <v>0</v>
      </c>
      <c r="M406" s="3694"/>
      <c r="N406" s="3706"/>
    </row>
    <row r="407" spans="1:15" ht="22.5" hidden="1" customHeight="1">
      <c r="A407" s="3669" t="s">
        <v>94</v>
      </c>
      <c r="B407" s="232" t="s">
        <v>428</v>
      </c>
      <c r="C407" s="48" t="s">
        <v>72</v>
      </c>
      <c r="D407" s="104"/>
      <c r="E407" s="2477"/>
      <c r="F407" s="35"/>
      <c r="G407" s="200"/>
      <c r="H407" s="34"/>
      <c r="I407" s="200"/>
      <c r="J407" s="200"/>
      <c r="K407" s="200"/>
      <c r="L407" s="35"/>
      <c r="M407" s="2452"/>
      <c r="N407" s="3637" t="s">
        <v>77</v>
      </c>
      <c r="O407" s="196" t="s">
        <v>276</v>
      </c>
    </row>
    <row r="408" spans="1:15" ht="12" hidden="1" customHeight="1">
      <c r="A408" s="3670"/>
      <c r="B408" s="475" t="s">
        <v>9</v>
      </c>
      <c r="C408" s="1199"/>
      <c r="D408" s="1200">
        <f>+D409+D411</f>
        <v>0</v>
      </c>
      <c r="E408" s="1200">
        <f t="shared" ref="E408" si="240">+E409+E411</f>
        <v>0</v>
      </c>
      <c r="F408" s="1200">
        <f t="shared" ref="F408" si="241">+F409+F411</f>
        <v>0</v>
      </c>
      <c r="G408" s="1200"/>
      <c r="H408" s="1200"/>
      <c r="I408" s="1200"/>
      <c r="J408" s="1200"/>
      <c r="K408" s="1200"/>
      <c r="L408" s="1200">
        <f>+L409+L411</f>
        <v>0</v>
      </c>
      <c r="M408" s="1179">
        <f>+M409+M411</f>
        <v>0</v>
      </c>
      <c r="N408" s="3638"/>
    </row>
    <row r="409" spans="1:15" ht="13.5" hidden="1" thickBot="1">
      <c r="A409" s="3670"/>
      <c r="B409" s="453" t="s">
        <v>22</v>
      </c>
      <c r="C409" s="3682" t="s">
        <v>75</v>
      </c>
      <c r="D409" s="1201">
        <f>+D410</f>
        <v>0</v>
      </c>
      <c r="E409" s="1201">
        <f t="shared" ref="E409:F409" si="242">+E410</f>
        <v>0</v>
      </c>
      <c r="F409" s="1201">
        <f t="shared" si="242"/>
        <v>0</v>
      </c>
      <c r="G409" s="1201"/>
      <c r="H409" s="1201"/>
      <c r="I409" s="1201"/>
      <c r="J409" s="1201"/>
      <c r="K409" s="1201"/>
      <c r="L409" s="1201">
        <f>+L410</f>
        <v>0</v>
      </c>
      <c r="M409" s="1182">
        <f>+M410</f>
        <v>0</v>
      </c>
      <c r="N409" s="3638"/>
    </row>
    <row r="410" spans="1:15" ht="13.5" hidden="1" thickBot="1">
      <c r="A410" s="3670"/>
      <c r="B410" s="713" t="s">
        <v>11</v>
      </c>
      <c r="C410" s="3695"/>
      <c r="D410" s="698">
        <f>E410+L410+F410+G410+H410+I410+J410+K410</f>
        <v>0</v>
      </c>
      <c r="E410" s="1155">
        <v>0</v>
      </c>
      <c r="F410" s="1193">
        <f>938336-938336</f>
        <v>0</v>
      </c>
      <c r="G410" s="1193"/>
      <c r="H410" s="1193"/>
      <c r="I410" s="1193"/>
      <c r="J410" s="1193"/>
      <c r="K410" s="1193"/>
      <c r="L410" s="1193">
        <v>0</v>
      </c>
      <c r="M410" s="1195">
        <f>SUM(F410:K410)</f>
        <v>0</v>
      </c>
      <c r="N410" s="3638"/>
    </row>
    <row r="411" spans="1:15" ht="13.5" hidden="1" thickBot="1">
      <c r="A411" s="3670"/>
      <c r="B411" s="709" t="s">
        <v>17</v>
      </c>
      <c r="C411" s="3695"/>
      <c r="D411" s="1181">
        <f>+D412</f>
        <v>0</v>
      </c>
      <c r="E411" s="1181">
        <f t="shared" ref="E411:F411" si="243">+E412</f>
        <v>0</v>
      </c>
      <c r="F411" s="1181">
        <f t="shared" si="243"/>
        <v>0</v>
      </c>
      <c r="G411" s="1181"/>
      <c r="H411" s="1181"/>
      <c r="I411" s="1181"/>
      <c r="J411" s="1181"/>
      <c r="K411" s="1181"/>
      <c r="L411" s="1181">
        <f>+L412</f>
        <v>0</v>
      </c>
      <c r="M411" s="1182">
        <f>+M412</f>
        <v>0</v>
      </c>
      <c r="N411" s="3638"/>
    </row>
    <row r="412" spans="1:15" ht="13.5" hidden="1" thickBot="1">
      <c r="A412" s="3670"/>
      <c r="B412" s="598" t="s">
        <v>219</v>
      </c>
      <c r="C412" s="3697"/>
      <c r="D412" s="698">
        <f>E412+L412+F412+G412+H412+I412+J412+K412</f>
        <v>0</v>
      </c>
      <c r="E412" s="1155">
        <v>0</v>
      </c>
      <c r="F412" s="1193">
        <f>3019942-3019942</f>
        <v>0</v>
      </c>
      <c r="G412" s="1193"/>
      <c r="H412" s="1193"/>
      <c r="I412" s="1193"/>
      <c r="J412" s="1193"/>
      <c r="K412" s="1193"/>
      <c r="L412" s="1193">
        <v>0</v>
      </c>
      <c r="M412" s="1195">
        <f>SUM(F412:K412)</f>
        <v>0</v>
      </c>
      <c r="N412" s="3652"/>
      <c r="O412" s="354"/>
    </row>
    <row r="413" spans="1:15" ht="12.75" hidden="1" customHeight="1">
      <c r="A413" s="3671"/>
      <c r="B413" s="475" t="s">
        <v>20</v>
      </c>
      <c r="C413" s="1199"/>
      <c r="D413" s="1178">
        <f>+D414</f>
        <v>0</v>
      </c>
      <c r="E413" s="1178">
        <f t="shared" ref="E413:G414" si="244">+E414</f>
        <v>0</v>
      </c>
      <c r="F413" s="1178">
        <f t="shared" si="244"/>
        <v>0</v>
      </c>
      <c r="G413" s="1178">
        <f t="shared" si="244"/>
        <v>0</v>
      </c>
      <c r="H413" s="1178"/>
      <c r="I413" s="1178"/>
      <c r="J413" s="1178"/>
      <c r="K413" s="1178"/>
      <c r="L413" s="1178">
        <f>+L414</f>
        <v>0</v>
      </c>
      <c r="M413" s="3737" t="s">
        <v>21</v>
      </c>
      <c r="N413" s="3704" t="s">
        <v>92</v>
      </c>
    </row>
    <row r="414" spans="1:15" s="2450" customFormat="1" ht="12.75" hidden="1" customHeight="1">
      <c r="A414" s="3671"/>
      <c r="B414" s="709" t="s">
        <v>17</v>
      </c>
      <c r="C414" s="3682" t="s">
        <v>75</v>
      </c>
      <c r="D414" s="1198">
        <f>+D415</f>
        <v>0</v>
      </c>
      <c r="E414" s="1204">
        <f t="shared" si="244"/>
        <v>0</v>
      </c>
      <c r="F414" s="1204">
        <f t="shared" si="244"/>
        <v>0</v>
      </c>
      <c r="G414" s="1204">
        <f t="shared" si="244"/>
        <v>0</v>
      </c>
      <c r="H414" s="1198"/>
      <c r="I414" s="1198"/>
      <c r="J414" s="1198"/>
      <c r="K414" s="1198"/>
      <c r="L414" s="1204">
        <f>+L415</f>
        <v>0</v>
      </c>
      <c r="M414" s="3693"/>
      <c r="N414" s="3705"/>
    </row>
    <row r="415" spans="1:15" ht="12" hidden="1" customHeight="1" thickBot="1">
      <c r="A415" s="3672"/>
      <c r="B415" s="603" t="s">
        <v>18</v>
      </c>
      <c r="C415" s="3666"/>
      <c r="D415" s="693">
        <f>E415+L415+F415+G415+H415+I415+J415+K415</f>
        <v>0</v>
      </c>
      <c r="E415" s="693">
        <v>0</v>
      </c>
      <c r="F415" s="365">
        <f>1025310+1308918-2334228</f>
        <v>0</v>
      </c>
      <c r="G415" s="365">
        <v>0</v>
      </c>
      <c r="H415" s="365"/>
      <c r="I415" s="365"/>
      <c r="J415" s="365"/>
      <c r="K415" s="365"/>
      <c r="L415" s="365">
        <f>2334228-2334228</f>
        <v>0</v>
      </c>
      <c r="M415" s="3694"/>
      <c r="N415" s="3706"/>
    </row>
    <row r="416" spans="1:15" ht="23.25" customHeight="1" thickBot="1">
      <c r="A416" s="3707" t="s">
        <v>85</v>
      </c>
      <c r="B416" s="232" t="s">
        <v>453</v>
      </c>
      <c r="C416" s="48" t="s">
        <v>72</v>
      </c>
      <c r="D416" s="2099"/>
      <c r="E416" s="2097"/>
      <c r="F416" s="2098"/>
      <c r="G416" s="2098"/>
      <c r="H416" s="2098"/>
      <c r="I416" s="2098"/>
      <c r="J416" s="2098"/>
      <c r="K416" s="34"/>
      <c r="L416" s="2098"/>
      <c r="M416" s="2452"/>
      <c r="N416" s="3637" t="s">
        <v>77</v>
      </c>
      <c r="O416" s="196" t="s">
        <v>276</v>
      </c>
    </row>
    <row r="417" spans="1:15" ht="13.5" thickBot="1">
      <c r="A417" s="3707"/>
      <c r="B417" s="17" t="s">
        <v>9</v>
      </c>
      <c r="C417" s="18"/>
      <c r="D417" s="1816">
        <f>+D418+D420</f>
        <v>19535962</v>
      </c>
      <c r="E417" s="2478">
        <f t="shared" ref="E417" si="245">+E418+E420</f>
        <v>0</v>
      </c>
      <c r="F417" s="2478">
        <f>+F418+F420</f>
        <v>0</v>
      </c>
      <c r="G417" s="1816">
        <f>+G418+G420</f>
        <v>11461578</v>
      </c>
      <c r="H417" s="1816">
        <f>+H418+H420</f>
        <v>8074384</v>
      </c>
      <c r="I417" s="1816"/>
      <c r="J417" s="1816"/>
      <c r="K417" s="1568"/>
      <c r="L417" s="2478">
        <f>+L418+L420</f>
        <v>0</v>
      </c>
      <c r="M417" s="2479">
        <f>+M418+M420</f>
        <v>19535962</v>
      </c>
      <c r="N417" s="3638"/>
      <c r="O417" s="354"/>
    </row>
    <row r="418" spans="1:15" ht="13.5" customHeight="1" thickBot="1">
      <c r="A418" s="3707"/>
      <c r="B418" s="144" t="s">
        <v>22</v>
      </c>
      <c r="C418" s="3842" t="s">
        <v>75</v>
      </c>
      <c r="D418" s="1817">
        <f>+D419</f>
        <v>10586120</v>
      </c>
      <c r="E418" s="2480">
        <f t="shared" ref="E418:H418" si="246">+E419</f>
        <v>0</v>
      </c>
      <c r="F418" s="2480">
        <f t="shared" si="246"/>
        <v>0</v>
      </c>
      <c r="G418" s="1817">
        <f t="shared" si="246"/>
        <v>6091673</v>
      </c>
      <c r="H418" s="1817">
        <f t="shared" si="246"/>
        <v>4494447</v>
      </c>
      <c r="I418" s="1817"/>
      <c r="J418" s="1817"/>
      <c r="K418" s="1571"/>
      <c r="L418" s="2480">
        <f>+L419</f>
        <v>0</v>
      </c>
      <c r="M418" s="459">
        <f>+M419</f>
        <v>10586120</v>
      </c>
      <c r="N418" s="3638"/>
    </row>
    <row r="419" spans="1:15" ht="13.5" thickBot="1">
      <c r="A419" s="3707"/>
      <c r="B419" s="339" t="s">
        <v>11</v>
      </c>
      <c r="C419" s="3695"/>
      <c r="D419" s="206">
        <f>E419+L419+F419+G419+H419+I419+J419+K419</f>
        <v>10586120</v>
      </c>
      <c r="E419" s="2481">
        <v>0</v>
      </c>
      <c r="F419" s="2481">
        <f>621874-435312-186562</f>
        <v>0</v>
      </c>
      <c r="G419" s="1818">
        <f>1058866+787322+1465206+2780279</f>
        <v>6091673</v>
      </c>
      <c r="H419" s="1818">
        <f>2461974+2032473</f>
        <v>4494447</v>
      </c>
      <c r="I419" s="1818"/>
      <c r="J419" s="1818"/>
      <c r="K419" s="1578"/>
      <c r="L419" s="2481">
        <v>0</v>
      </c>
      <c r="M419" s="2446">
        <f>SUM(G419:K419)</f>
        <v>10586120</v>
      </c>
      <c r="N419" s="3638"/>
    </row>
    <row r="420" spans="1:15" ht="13.5" thickBot="1">
      <c r="A420" s="3707"/>
      <c r="B420" s="357" t="s">
        <v>17</v>
      </c>
      <c r="C420" s="3695"/>
      <c r="D420" s="1819">
        <f>+D421</f>
        <v>8949842</v>
      </c>
      <c r="E420" s="2482">
        <f t="shared" ref="E420:H420" si="247">+E421</f>
        <v>0</v>
      </c>
      <c r="F420" s="2482">
        <f t="shared" si="247"/>
        <v>0</v>
      </c>
      <c r="G420" s="1819">
        <f t="shared" si="247"/>
        <v>5369905</v>
      </c>
      <c r="H420" s="1819">
        <f t="shared" si="247"/>
        <v>3579937</v>
      </c>
      <c r="I420" s="1819"/>
      <c r="J420" s="1819"/>
      <c r="K420" s="460"/>
      <c r="L420" s="2482">
        <f>+L421</f>
        <v>0</v>
      </c>
      <c r="M420" s="459">
        <f>+M421</f>
        <v>8949842</v>
      </c>
      <c r="N420" s="3638"/>
    </row>
    <row r="421" spans="1:15" ht="11.25" customHeight="1" thickBot="1">
      <c r="A421" s="3707"/>
      <c r="B421" s="1820" t="s">
        <v>19</v>
      </c>
      <c r="C421" s="3697"/>
      <c r="D421" s="206">
        <f>E421+L421+F421+G421+H421+I421+J421+K421</f>
        <v>8949842</v>
      </c>
      <c r="E421" s="2481">
        <v>0</v>
      </c>
      <c r="F421" s="2481">
        <f>1988846-1392192-596654</f>
        <v>0</v>
      </c>
      <c r="G421" s="1818">
        <f>3386414+2522163-2597182+2058510</f>
        <v>5369905</v>
      </c>
      <c r="H421" s="1818">
        <f>1953218+1626719</f>
        <v>3579937</v>
      </c>
      <c r="I421" s="1818"/>
      <c r="J421" s="1818"/>
      <c r="K421" s="1578"/>
      <c r="L421" s="2481">
        <v>0</v>
      </c>
      <c r="M421" s="2446">
        <f>SUM(G421:K421)</f>
        <v>8949842</v>
      </c>
      <c r="N421" s="3652"/>
      <c r="O421" s="354"/>
    </row>
    <row r="422" spans="1:15" ht="13.5" thickBot="1">
      <c r="A422" s="3708"/>
      <c r="B422" s="17" t="s">
        <v>20</v>
      </c>
      <c r="C422" s="18"/>
      <c r="D422" s="1821">
        <f>+D423</f>
        <v>8949842</v>
      </c>
      <c r="E422" s="2483">
        <f t="shared" ref="E422:I423" si="248">+E423</f>
        <v>0</v>
      </c>
      <c r="F422" s="2483">
        <f t="shared" si="248"/>
        <v>0</v>
      </c>
      <c r="G422" s="1821">
        <f t="shared" si="248"/>
        <v>2684953</v>
      </c>
      <c r="H422" s="1821">
        <f t="shared" si="248"/>
        <v>3579936</v>
      </c>
      <c r="I422" s="1821">
        <f t="shared" si="248"/>
        <v>2684953</v>
      </c>
      <c r="J422" s="1821"/>
      <c r="K422" s="519"/>
      <c r="L422" s="2483">
        <f>+L423</f>
        <v>0</v>
      </c>
      <c r="M422" s="3843" t="s">
        <v>21</v>
      </c>
      <c r="N422" s="3847" t="s">
        <v>92</v>
      </c>
    </row>
    <row r="423" spans="1:15" s="2450" customFormat="1" ht="13.5" thickBot="1">
      <c r="A423" s="3708"/>
      <c r="B423" s="357" t="s">
        <v>17</v>
      </c>
      <c r="C423" s="3848" t="s">
        <v>75</v>
      </c>
      <c r="D423" s="1822">
        <f>+D424</f>
        <v>8949842</v>
      </c>
      <c r="E423" s="2484">
        <f t="shared" si="248"/>
        <v>0</v>
      </c>
      <c r="F423" s="2484">
        <f t="shared" si="248"/>
        <v>0</v>
      </c>
      <c r="G423" s="3081">
        <f t="shared" si="248"/>
        <v>2684953</v>
      </c>
      <c r="H423" s="3081">
        <f t="shared" si="248"/>
        <v>3579936</v>
      </c>
      <c r="I423" s="3081">
        <f t="shared" si="248"/>
        <v>2684953</v>
      </c>
      <c r="J423" s="1822"/>
      <c r="K423" s="646"/>
      <c r="L423" s="2484">
        <f>+L424</f>
        <v>0</v>
      </c>
      <c r="M423" s="3844"/>
      <c r="N423" s="3755"/>
    </row>
    <row r="424" spans="1:15" ht="12" customHeight="1" thickBot="1">
      <c r="A424" s="3708"/>
      <c r="B424" s="45" t="s">
        <v>19</v>
      </c>
      <c r="C424" s="3849"/>
      <c r="D424" s="1636">
        <f>E424+L424+F424+G424+H424+I424+J424+K424</f>
        <v>8949842</v>
      </c>
      <c r="E424" s="1434">
        <v>0</v>
      </c>
      <c r="F424" s="1434">
        <v>0</v>
      </c>
      <c r="G424" s="1433">
        <f>3657763-2604840+1632030</f>
        <v>2684953</v>
      </c>
      <c r="H424" s="1433">
        <f>1717497+1129971+311300+421168</f>
        <v>3579936</v>
      </c>
      <c r="I424" s="1433">
        <f>1052922+1632031</f>
        <v>2684953</v>
      </c>
      <c r="J424" s="1433"/>
      <c r="K424" s="1433"/>
      <c r="L424" s="1434">
        <v>0</v>
      </c>
      <c r="M424" s="3844"/>
      <c r="N424" s="3755"/>
    </row>
    <row r="425" spans="1:15" ht="24.75" hidden="1" thickBot="1">
      <c r="A425" s="3707" t="s">
        <v>94</v>
      </c>
      <c r="B425" s="232" t="s">
        <v>454</v>
      </c>
      <c r="C425" s="48" t="s">
        <v>72</v>
      </c>
      <c r="D425" s="2099"/>
      <c r="E425" s="2097"/>
      <c r="F425" s="2098"/>
      <c r="G425" s="2098"/>
      <c r="H425" s="2098"/>
      <c r="I425" s="2098"/>
      <c r="J425" s="2098"/>
      <c r="K425" s="34"/>
      <c r="L425" s="2097"/>
      <c r="M425" s="2452"/>
      <c r="N425" s="3845" t="s">
        <v>77</v>
      </c>
      <c r="O425" s="196" t="s">
        <v>276</v>
      </c>
    </row>
    <row r="426" spans="1:15" ht="10.5" hidden="1" customHeight="1" thickBot="1">
      <c r="A426" s="3707"/>
      <c r="B426" s="475" t="s">
        <v>9</v>
      </c>
      <c r="C426" s="1177"/>
      <c r="D426" s="1200">
        <f>+D427+D429</f>
        <v>0</v>
      </c>
      <c r="E426" s="1200">
        <f t="shared" ref="E426" si="249">+E427+E429</f>
        <v>0</v>
      </c>
      <c r="F426" s="1200">
        <f t="shared" ref="F426:H426" si="250">+F427+F429</f>
        <v>0</v>
      </c>
      <c r="G426" s="1200">
        <f t="shared" si="250"/>
        <v>0</v>
      </c>
      <c r="H426" s="1200">
        <f t="shared" si="250"/>
        <v>0</v>
      </c>
      <c r="I426" s="1200"/>
      <c r="J426" s="1200"/>
      <c r="K426" s="1200"/>
      <c r="L426" s="1205">
        <f>+L427+L429</f>
        <v>0</v>
      </c>
      <c r="M426" s="1229">
        <f>+M427+M429</f>
        <v>0</v>
      </c>
      <c r="N426" s="3845"/>
    </row>
    <row r="427" spans="1:15" ht="13.5" hidden="1" thickBot="1">
      <c r="A427" s="3707"/>
      <c r="B427" s="453" t="s">
        <v>22</v>
      </c>
      <c r="C427" s="3664" t="s">
        <v>75</v>
      </c>
      <c r="D427" s="1201">
        <f>+D428</f>
        <v>0</v>
      </c>
      <c r="E427" s="1201">
        <f t="shared" ref="E427:H427" si="251">+E428</f>
        <v>0</v>
      </c>
      <c r="F427" s="1201">
        <f t="shared" si="251"/>
        <v>0</v>
      </c>
      <c r="G427" s="1201">
        <f t="shared" si="251"/>
        <v>0</v>
      </c>
      <c r="H427" s="1201">
        <f t="shared" si="251"/>
        <v>0</v>
      </c>
      <c r="I427" s="1201"/>
      <c r="J427" s="1201"/>
      <c r="K427" s="1201"/>
      <c r="L427" s="1203">
        <f>+L428</f>
        <v>0</v>
      </c>
      <c r="M427" s="1182">
        <f>+M428</f>
        <v>0</v>
      </c>
      <c r="N427" s="3845"/>
    </row>
    <row r="428" spans="1:15" ht="11.25" hidden="1" customHeight="1" thickBot="1">
      <c r="A428" s="3707"/>
      <c r="B428" s="713" t="s">
        <v>11</v>
      </c>
      <c r="C428" s="3695"/>
      <c r="D428" s="1115">
        <f>E428+L428+F428+G428+H428+I428+J428+K428</f>
        <v>0</v>
      </c>
      <c r="E428" s="1193">
        <f>47545-47545</f>
        <v>0</v>
      </c>
      <c r="F428" s="1193">
        <f>455300-318710-136590</f>
        <v>0</v>
      </c>
      <c r="G428" s="1193"/>
      <c r="H428" s="1193"/>
      <c r="I428" s="1193"/>
      <c r="J428" s="1193"/>
      <c r="K428" s="1193"/>
      <c r="L428" s="1138">
        <v>0</v>
      </c>
      <c r="M428" s="2446">
        <f>SUM(G428:K428)</f>
        <v>0</v>
      </c>
      <c r="N428" s="3845"/>
    </row>
    <row r="429" spans="1:15" ht="13.5" hidden="1" thickBot="1">
      <c r="A429" s="3707"/>
      <c r="B429" s="709" t="s">
        <v>17</v>
      </c>
      <c r="C429" s="3695"/>
      <c r="D429" s="1181">
        <f>+D430</f>
        <v>0</v>
      </c>
      <c r="E429" s="1181">
        <f t="shared" ref="E429:H429" si="252">+E430</f>
        <v>0</v>
      </c>
      <c r="F429" s="1181">
        <f t="shared" si="252"/>
        <v>0</v>
      </c>
      <c r="G429" s="1181">
        <f t="shared" si="252"/>
        <v>0</v>
      </c>
      <c r="H429" s="1181">
        <f t="shared" si="252"/>
        <v>0</v>
      </c>
      <c r="I429" s="1181"/>
      <c r="J429" s="1181"/>
      <c r="K429" s="1181"/>
      <c r="L429" s="1419">
        <f>+L430</f>
        <v>0</v>
      </c>
      <c r="M429" s="1182">
        <f>+M430</f>
        <v>0</v>
      </c>
      <c r="N429" s="3845"/>
    </row>
    <row r="430" spans="1:15" ht="13.5" hidden="1" thickBot="1">
      <c r="A430" s="3707"/>
      <c r="B430" s="1420" t="s">
        <v>19</v>
      </c>
      <c r="C430" s="3697"/>
      <c r="D430" s="1115">
        <f>E430+L430+F430+G430+H430+I430+J430+K430</f>
        <v>0</v>
      </c>
      <c r="E430" s="1155">
        <v>0</v>
      </c>
      <c r="F430" s="1193">
        <f>1456120-1019284-436836</f>
        <v>0</v>
      </c>
      <c r="G430" s="1193"/>
      <c r="H430" s="1193"/>
      <c r="I430" s="1193"/>
      <c r="J430" s="1193"/>
      <c r="K430" s="1193"/>
      <c r="L430" s="1138">
        <v>0</v>
      </c>
      <c r="M430" s="2446">
        <f>SUM(G430:K430)</f>
        <v>0</v>
      </c>
      <c r="N430" s="3846"/>
      <c r="O430" s="354"/>
    </row>
    <row r="431" spans="1:15" ht="12" hidden="1" customHeight="1" thickBot="1">
      <c r="A431" s="3708"/>
      <c r="B431" s="475" t="s">
        <v>20</v>
      </c>
      <c r="C431" s="1177"/>
      <c r="D431" s="1178">
        <f>+D432</f>
        <v>0</v>
      </c>
      <c r="E431" s="1178">
        <f t="shared" ref="E431:I432" si="253">+E432</f>
        <v>0</v>
      </c>
      <c r="F431" s="1178">
        <f t="shared" si="253"/>
        <v>0</v>
      </c>
      <c r="G431" s="1178">
        <f t="shared" si="253"/>
        <v>0</v>
      </c>
      <c r="H431" s="1178">
        <f t="shared" si="253"/>
        <v>0</v>
      </c>
      <c r="I431" s="1178">
        <f t="shared" si="253"/>
        <v>0</v>
      </c>
      <c r="J431" s="1178"/>
      <c r="K431" s="1178"/>
      <c r="L431" s="1421">
        <f>+L432</f>
        <v>0</v>
      </c>
      <c r="M431" s="3692" t="s">
        <v>21</v>
      </c>
      <c r="N431" s="3742" t="s">
        <v>92</v>
      </c>
    </row>
    <row r="432" spans="1:15" s="2450" customFormat="1" ht="12.75" hidden="1" customHeight="1" thickBot="1">
      <c r="A432" s="3708"/>
      <c r="B432" s="709" t="s">
        <v>17</v>
      </c>
      <c r="C432" s="3664" t="s">
        <v>75</v>
      </c>
      <c r="D432" s="1198">
        <f>+D433</f>
        <v>0</v>
      </c>
      <c r="E432" s="1204">
        <f t="shared" si="253"/>
        <v>0</v>
      </c>
      <c r="F432" s="1204">
        <f t="shared" si="253"/>
        <v>0</v>
      </c>
      <c r="G432" s="1204">
        <f t="shared" si="253"/>
        <v>0</v>
      </c>
      <c r="H432" s="1204">
        <f t="shared" si="253"/>
        <v>0</v>
      </c>
      <c r="I432" s="1204">
        <f t="shared" si="253"/>
        <v>0</v>
      </c>
      <c r="J432" s="1198"/>
      <c r="K432" s="1198"/>
      <c r="L432" s="2474">
        <f>+L433</f>
        <v>0</v>
      </c>
      <c r="M432" s="3693"/>
      <c r="N432" s="3705"/>
    </row>
    <row r="433" spans="1:15" ht="12" hidden="1" customHeight="1" thickBot="1">
      <c r="A433" s="3708"/>
      <c r="B433" s="603" t="s">
        <v>19</v>
      </c>
      <c r="C433" s="3666"/>
      <c r="D433" s="1262">
        <f>E433+L433+F433+G433+H433+I433+J433+K433</f>
        <v>0</v>
      </c>
      <c r="E433" s="1262">
        <v>0</v>
      </c>
      <c r="F433" s="1433">
        <v>0</v>
      </c>
      <c r="G433" s="1433"/>
      <c r="H433" s="1433"/>
      <c r="I433" s="1433"/>
      <c r="J433" s="1433"/>
      <c r="K433" s="1433"/>
      <c r="L433" s="1434">
        <v>0</v>
      </c>
      <c r="M433" s="3694"/>
      <c r="N433" s="3706"/>
    </row>
    <row r="434" spans="1:15" ht="27.75" customHeight="1">
      <c r="A434" s="3743" t="s">
        <v>86</v>
      </c>
      <c r="B434" s="232" t="s">
        <v>455</v>
      </c>
      <c r="C434" s="48" t="s">
        <v>99</v>
      </c>
      <c r="D434" s="336"/>
      <c r="E434" s="336"/>
      <c r="F434" s="336"/>
      <c r="G434" s="2098"/>
      <c r="H434" s="2098"/>
      <c r="I434" s="2098"/>
      <c r="J434" s="2098"/>
      <c r="K434" s="34"/>
      <c r="L434" s="2098"/>
      <c r="M434" s="2452"/>
      <c r="N434" s="3637" t="s">
        <v>617</v>
      </c>
    </row>
    <row r="435" spans="1:15" ht="15.75" customHeight="1">
      <c r="A435" s="3744"/>
      <c r="B435" s="475" t="s">
        <v>9</v>
      </c>
      <c r="C435" s="381"/>
      <c r="D435" s="1568">
        <f>+D436+D441</f>
        <v>454666</v>
      </c>
      <c r="E435" s="1568">
        <f t="shared" ref="E435" si="254">+E436+E441</f>
        <v>179350</v>
      </c>
      <c r="F435" s="1568">
        <f>+F436+F441</f>
        <v>145968</v>
      </c>
      <c r="G435" s="1568">
        <f>+G436+G441</f>
        <v>129348</v>
      </c>
      <c r="H435" s="1569">
        <v>0</v>
      </c>
      <c r="I435" s="1569">
        <v>0</v>
      </c>
      <c r="J435" s="1569">
        <v>0</v>
      </c>
      <c r="K435" s="1569">
        <v>0</v>
      </c>
      <c r="L435" s="1568">
        <f>+L436+L441</f>
        <v>0</v>
      </c>
      <c r="M435" s="1570">
        <f>+M436+M441</f>
        <v>129348</v>
      </c>
      <c r="N435" s="3638"/>
    </row>
    <row r="436" spans="1:15" ht="12.75" customHeight="1">
      <c r="A436" s="3744"/>
      <c r="B436" s="453" t="s">
        <v>22</v>
      </c>
      <c r="C436" s="3682" t="s">
        <v>359</v>
      </c>
      <c r="D436" s="1571">
        <f>+D437</f>
        <v>70277</v>
      </c>
      <c r="E436" s="1571">
        <f t="shared" ref="E436" si="255">+E437</f>
        <v>27311</v>
      </c>
      <c r="F436" s="1571">
        <f>+F437</f>
        <v>22246</v>
      </c>
      <c r="G436" s="1571">
        <f>+G437</f>
        <v>20720</v>
      </c>
      <c r="H436" s="1572">
        <v>0</v>
      </c>
      <c r="I436" s="1572">
        <v>0</v>
      </c>
      <c r="J436" s="1572">
        <v>0</v>
      </c>
      <c r="K436" s="1572">
        <v>0</v>
      </c>
      <c r="L436" s="1571">
        <f>+L437</f>
        <v>0</v>
      </c>
      <c r="M436" s="459">
        <f>M437</f>
        <v>20720</v>
      </c>
      <c r="N436" s="3638"/>
    </row>
    <row r="437" spans="1:15" ht="12.75" customHeight="1">
      <c r="A437" s="3744"/>
      <c r="B437" s="713" t="s">
        <v>11</v>
      </c>
      <c r="C437" s="3695"/>
      <c r="D437" s="698">
        <f>E437+L437+F437+G437+H437+I437+J437+K437</f>
        <v>70277</v>
      </c>
      <c r="E437" s="706">
        <f>+E439+E440</f>
        <v>27311</v>
      </c>
      <c r="F437" s="1578">
        <f>+F439+F440</f>
        <v>22246</v>
      </c>
      <c r="G437" s="1578">
        <f>+G439+G440</f>
        <v>20720</v>
      </c>
      <c r="H437" s="1573">
        <v>0</v>
      </c>
      <c r="I437" s="1573">
        <v>0</v>
      </c>
      <c r="J437" s="1573">
        <v>0</v>
      </c>
      <c r="K437" s="1573">
        <v>0</v>
      </c>
      <c r="L437" s="1578">
        <f>+L439+L440</f>
        <v>0</v>
      </c>
      <c r="M437" s="2446">
        <f>SUM(G437:K437)</f>
        <v>20720</v>
      </c>
      <c r="N437" s="3638"/>
    </row>
    <row r="438" spans="1:15" ht="12.75" hidden="1" customHeight="1">
      <c r="A438" s="3744"/>
      <c r="B438" s="713" t="s">
        <v>139</v>
      </c>
      <c r="C438" s="3695"/>
      <c r="D438" s="698"/>
      <c r="E438" s="487"/>
      <c r="F438" s="1578"/>
      <c r="G438" s="1578"/>
      <c r="H438" s="1573"/>
      <c r="I438" s="1573"/>
      <c r="J438" s="1573"/>
      <c r="K438" s="1573"/>
      <c r="L438" s="1578"/>
      <c r="M438" s="2446"/>
      <c r="N438" s="3638"/>
    </row>
    <row r="439" spans="1:15" ht="18" hidden="1" customHeight="1">
      <c r="A439" s="3744"/>
      <c r="B439" s="713" t="s">
        <v>605</v>
      </c>
      <c r="C439" s="3695"/>
      <c r="D439" s="698">
        <f>SUM(E439:G439)</f>
        <v>54138</v>
      </c>
      <c r="E439" s="1578">
        <f>3466+15069</f>
        <v>18535</v>
      </c>
      <c r="F439" s="1578">
        <f>12993+600-951+20219-12550-3117</f>
        <v>17194</v>
      </c>
      <c r="G439" s="1578">
        <f>2242+500+12550+3117</f>
        <v>18409</v>
      </c>
      <c r="H439" s="1573"/>
      <c r="I439" s="1573"/>
      <c r="J439" s="1573"/>
      <c r="K439" s="1573"/>
      <c r="L439" s="1578">
        <v>0</v>
      </c>
      <c r="M439" s="2446">
        <f>SUM(F439:G439)</f>
        <v>35603</v>
      </c>
      <c r="N439" s="3638"/>
    </row>
    <row r="440" spans="1:15" ht="18" hidden="1" customHeight="1">
      <c r="A440" s="3744"/>
      <c r="B440" s="713" t="s">
        <v>269</v>
      </c>
      <c r="C440" s="3695"/>
      <c r="D440" s="698">
        <f>SUM(E440:G440)</f>
        <v>16139</v>
      </c>
      <c r="E440" s="1578">
        <f>3291+791+4694</f>
        <v>8776</v>
      </c>
      <c r="F440" s="1578">
        <f>4315+951+178-392</f>
        <v>5052</v>
      </c>
      <c r="G440" s="1578">
        <f>995+924+392</f>
        <v>2311</v>
      </c>
      <c r="H440" s="1573"/>
      <c r="I440" s="1573"/>
      <c r="J440" s="1573"/>
      <c r="K440" s="1573"/>
      <c r="L440" s="1578">
        <v>0</v>
      </c>
      <c r="M440" s="2446">
        <f>SUM(F440:G440)</f>
        <v>7363</v>
      </c>
      <c r="N440" s="3638"/>
    </row>
    <row r="441" spans="1:15" ht="12.75" customHeight="1">
      <c r="A441" s="3744"/>
      <c r="B441" s="709" t="s">
        <v>17</v>
      </c>
      <c r="C441" s="3695"/>
      <c r="D441" s="460">
        <f>+D442</f>
        <v>384389</v>
      </c>
      <c r="E441" s="460">
        <f t="shared" ref="E441" si="256">+E442</f>
        <v>152039</v>
      </c>
      <c r="F441" s="460">
        <f>+F442</f>
        <v>123722</v>
      </c>
      <c r="G441" s="460">
        <f>+G442</f>
        <v>108628</v>
      </c>
      <c r="H441" s="710">
        <v>0</v>
      </c>
      <c r="I441" s="710">
        <v>0</v>
      </c>
      <c r="J441" s="710">
        <v>0</v>
      </c>
      <c r="K441" s="710">
        <v>0</v>
      </c>
      <c r="L441" s="460">
        <f>+L442</f>
        <v>0</v>
      </c>
      <c r="M441" s="459">
        <f>+M442</f>
        <v>108628</v>
      </c>
      <c r="N441" s="3638"/>
    </row>
    <row r="442" spans="1:15" ht="12.75" customHeight="1">
      <c r="A442" s="3744"/>
      <c r="B442" s="1744" t="s">
        <v>19</v>
      </c>
      <c r="C442" s="3697"/>
      <c r="D442" s="698">
        <f>E442+L442+F442+G442+H442+I442+J442+K442</f>
        <v>384389</v>
      </c>
      <c r="E442" s="706">
        <f>+E444+E445</f>
        <v>152039</v>
      </c>
      <c r="F442" s="1578">
        <f>+F444+F445</f>
        <v>123722</v>
      </c>
      <c r="G442" s="1578">
        <f>+G444+G445</f>
        <v>108628</v>
      </c>
      <c r="H442" s="1573">
        <v>0</v>
      </c>
      <c r="I442" s="1573">
        <v>0</v>
      </c>
      <c r="J442" s="1573">
        <v>0</v>
      </c>
      <c r="K442" s="1573">
        <v>0</v>
      </c>
      <c r="L442" s="1578">
        <f>+L444+L445</f>
        <v>0</v>
      </c>
      <c r="M442" s="2446">
        <f>SUM(G442:K442)</f>
        <v>108628</v>
      </c>
      <c r="N442" s="3652"/>
    </row>
    <row r="443" spans="1:15" ht="12.75" hidden="1" customHeight="1">
      <c r="A443" s="3744"/>
      <c r="B443" s="1585" t="s">
        <v>139</v>
      </c>
      <c r="C443" s="3027"/>
      <c r="D443" s="698"/>
      <c r="E443" s="487"/>
      <c r="F443" s="1578"/>
      <c r="G443" s="1578"/>
      <c r="H443" s="1573"/>
      <c r="I443" s="1573"/>
      <c r="J443" s="1573"/>
      <c r="K443" s="1573"/>
      <c r="L443" s="1578"/>
      <c r="M443" s="3082"/>
      <c r="N443" s="3083"/>
    </row>
    <row r="444" spans="1:15" ht="21" hidden="1" customHeight="1">
      <c r="A444" s="3744"/>
      <c r="B444" s="713" t="s">
        <v>605</v>
      </c>
      <c r="C444" s="3084"/>
      <c r="D444" s="698">
        <f>+L444+F444+G444+E444</f>
        <v>292933</v>
      </c>
      <c r="E444" s="1578">
        <f>17695+84613</f>
        <v>102308</v>
      </c>
      <c r="F444" s="1578">
        <f>73627-5379+109673-66586-16245</f>
        <v>95090</v>
      </c>
      <c r="G444" s="1578">
        <f>12704+66586+16245</f>
        <v>95535</v>
      </c>
      <c r="H444" s="1573"/>
      <c r="I444" s="1573"/>
      <c r="J444" s="1573"/>
      <c r="K444" s="1573"/>
      <c r="L444" s="1578">
        <v>0</v>
      </c>
      <c r="M444" s="2446">
        <f>SUM(F444:G444)</f>
        <v>190625</v>
      </c>
      <c r="N444" s="3083"/>
    </row>
    <row r="445" spans="1:15" ht="14.25" hidden="1" customHeight="1">
      <c r="A445" s="3744"/>
      <c r="B445" s="713" t="s">
        <v>269</v>
      </c>
      <c r="C445" s="3084"/>
      <c r="D445" s="698">
        <f>+L445+F445+G445+E445</f>
        <v>91456</v>
      </c>
      <c r="E445" s="1578">
        <f>18646+4485+26600</f>
        <v>49731</v>
      </c>
      <c r="F445" s="1578">
        <f>24450+5379+1017-2214</f>
        <v>28632</v>
      </c>
      <c r="G445" s="1578">
        <f>5644+5235+2214</f>
        <v>13093</v>
      </c>
      <c r="H445" s="1573"/>
      <c r="I445" s="1573"/>
      <c r="J445" s="1573"/>
      <c r="K445" s="1573"/>
      <c r="L445" s="1578"/>
      <c r="M445" s="2446">
        <f>SUM(F445:G445)</f>
        <v>41725</v>
      </c>
      <c r="N445" s="3083"/>
    </row>
    <row r="446" spans="1:15" ht="15.75" customHeight="1">
      <c r="A446" s="3744"/>
      <c r="B446" s="475" t="s">
        <v>20</v>
      </c>
      <c r="C446" s="381"/>
      <c r="D446" s="519">
        <f>SUM(E446:K446)</f>
        <v>384389</v>
      </c>
      <c r="E446" s="519">
        <f t="shared" ref="E446:H447" si="257">+E447</f>
        <v>45734</v>
      </c>
      <c r="F446" s="519">
        <f t="shared" si="257"/>
        <v>129265</v>
      </c>
      <c r="G446" s="519">
        <f t="shared" si="257"/>
        <v>209390</v>
      </c>
      <c r="H446" s="544">
        <f t="shared" si="257"/>
        <v>0</v>
      </c>
      <c r="I446" s="544">
        <v>0</v>
      </c>
      <c r="J446" s="544">
        <v>0</v>
      </c>
      <c r="K446" s="544">
        <v>0</v>
      </c>
      <c r="L446" s="519">
        <f>+L447</f>
        <v>0</v>
      </c>
      <c r="M446" s="3737" t="s">
        <v>21</v>
      </c>
      <c r="N446" s="3638" t="s">
        <v>618</v>
      </c>
    </row>
    <row r="447" spans="1:15" ht="12.75" customHeight="1">
      <c r="A447" s="3744"/>
      <c r="B447" s="709" t="s">
        <v>17</v>
      </c>
      <c r="C447" s="3682" t="s">
        <v>101</v>
      </c>
      <c r="D447" s="646">
        <f>+D448</f>
        <v>384389</v>
      </c>
      <c r="E447" s="1584">
        <f t="shared" si="257"/>
        <v>45734</v>
      </c>
      <c r="F447" s="1584">
        <f t="shared" si="257"/>
        <v>129265</v>
      </c>
      <c r="G447" s="1584">
        <f t="shared" si="257"/>
        <v>209390</v>
      </c>
      <c r="H447" s="2972">
        <f t="shared" si="257"/>
        <v>0</v>
      </c>
      <c r="I447" s="493">
        <v>0</v>
      </c>
      <c r="J447" s="493">
        <v>0</v>
      </c>
      <c r="K447" s="493">
        <v>0</v>
      </c>
      <c r="L447" s="1584">
        <f>+L448</f>
        <v>0</v>
      </c>
      <c r="M447" s="3693"/>
      <c r="N447" s="3638"/>
    </row>
    <row r="448" spans="1:15" ht="12" customHeight="1" thickBot="1">
      <c r="A448" s="3745"/>
      <c r="B448" s="603" t="s">
        <v>19</v>
      </c>
      <c r="C448" s="3666"/>
      <c r="D448" s="1506">
        <f>E448+L448+F448+G448+H448+I448+J448+K448</f>
        <v>384389</v>
      </c>
      <c r="E448" s="1433">
        <f>20632+7848+17417-163</f>
        <v>45734</v>
      </c>
      <c r="F448" s="1433">
        <f>133982+66898+38178-74283-35030-480</f>
        <v>129265</v>
      </c>
      <c r="G448" s="1433">
        <f>229775-109440-20901+74446+35030+480</f>
        <v>209390</v>
      </c>
      <c r="H448" s="1434">
        <f>34694-34694</f>
        <v>0</v>
      </c>
      <c r="I448" s="1434">
        <v>0</v>
      </c>
      <c r="J448" s="1434">
        <v>0</v>
      </c>
      <c r="K448" s="1434">
        <v>0</v>
      </c>
      <c r="L448" s="1433">
        <v>0</v>
      </c>
      <c r="M448" s="3694"/>
      <c r="N448" s="3641"/>
      <c r="O448" s="354">
        <f>D448-D442</f>
        <v>0</v>
      </c>
    </row>
    <row r="449" spans="1:15" ht="27.75" customHeight="1">
      <c r="A449" s="3743" t="s">
        <v>87</v>
      </c>
      <c r="B449" s="232" t="s">
        <v>456</v>
      </c>
      <c r="C449" s="48" t="s">
        <v>99</v>
      </c>
      <c r="D449" s="2099"/>
      <c r="E449" s="2099"/>
      <c r="F449" s="2099"/>
      <c r="G449" s="2099"/>
      <c r="H449" s="2099"/>
      <c r="I449" s="2098"/>
      <c r="J449" s="2098"/>
      <c r="K449" s="34"/>
      <c r="L449" s="2098"/>
      <c r="M449" s="2452"/>
      <c r="N449" s="3637" t="s">
        <v>619</v>
      </c>
    </row>
    <row r="450" spans="1:15" ht="15.75" customHeight="1">
      <c r="A450" s="3744"/>
      <c r="B450" s="475" t="s">
        <v>9</v>
      </c>
      <c r="C450" s="543"/>
      <c r="D450" s="1568">
        <f>+D451+D456</f>
        <v>489921</v>
      </c>
      <c r="E450" s="1568">
        <f>+E451+E456</f>
        <v>19734</v>
      </c>
      <c r="F450" s="1568">
        <f t="shared" ref="F450:H450" si="258">+F451+F456</f>
        <v>118516</v>
      </c>
      <c r="G450" s="1568">
        <f t="shared" si="258"/>
        <v>269499</v>
      </c>
      <c r="H450" s="1568">
        <f t="shared" si="258"/>
        <v>82172</v>
      </c>
      <c r="I450" s="1569">
        <v>0</v>
      </c>
      <c r="J450" s="1569">
        <v>0</v>
      </c>
      <c r="K450" s="1569">
        <v>0</v>
      </c>
      <c r="L450" s="1568">
        <f>+L451+L456</f>
        <v>0</v>
      </c>
      <c r="M450" s="1124">
        <f>+M451+M456</f>
        <v>351671</v>
      </c>
      <c r="N450" s="3638"/>
    </row>
    <row r="451" spans="1:15" ht="12.75" customHeight="1">
      <c r="A451" s="3744"/>
      <c r="B451" s="453" t="s">
        <v>22</v>
      </c>
      <c r="C451" s="3664" t="s">
        <v>359</v>
      </c>
      <c r="D451" s="1201">
        <f>D452</f>
        <v>75188</v>
      </c>
      <c r="E451" s="1201">
        <f>+E452</f>
        <v>2988</v>
      </c>
      <c r="F451" s="1201">
        <f t="shared" ref="F451:H451" si="259">+F452</f>
        <v>17935</v>
      </c>
      <c r="G451" s="1201">
        <f t="shared" si="259"/>
        <v>41599</v>
      </c>
      <c r="H451" s="1201">
        <f t="shared" si="259"/>
        <v>12666</v>
      </c>
      <c r="I451" s="1203">
        <v>0</v>
      </c>
      <c r="J451" s="1203">
        <v>0</v>
      </c>
      <c r="K451" s="1203">
        <v>0</v>
      </c>
      <c r="L451" s="1201">
        <f>+L452</f>
        <v>0</v>
      </c>
      <c r="M451" s="1182">
        <f>+M452</f>
        <v>54265</v>
      </c>
      <c r="N451" s="3638"/>
    </row>
    <row r="452" spans="1:15" ht="12.75" customHeight="1">
      <c r="A452" s="3744"/>
      <c r="B452" s="713" t="s">
        <v>11</v>
      </c>
      <c r="C452" s="3695"/>
      <c r="D452" s="698">
        <f>E452+L452+F452+G452+H452+I452+J452+K452</f>
        <v>75188</v>
      </c>
      <c r="E452" s="1193">
        <f>+E453</f>
        <v>2988</v>
      </c>
      <c r="F452" s="1193">
        <f t="shared" ref="F452:H452" si="260">+F453</f>
        <v>17935</v>
      </c>
      <c r="G452" s="1193">
        <f t="shared" si="260"/>
        <v>41599</v>
      </c>
      <c r="H452" s="1193">
        <f t="shared" si="260"/>
        <v>12666</v>
      </c>
      <c r="I452" s="1138">
        <v>0</v>
      </c>
      <c r="J452" s="1138">
        <v>0</v>
      </c>
      <c r="K452" s="1138">
        <v>0</v>
      </c>
      <c r="L452" s="1193">
        <f>+L453</f>
        <v>0</v>
      </c>
      <c r="M452" s="2446">
        <f>SUM(G452:K452)</f>
        <v>54265</v>
      </c>
      <c r="N452" s="3638"/>
    </row>
    <row r="453" spans="1:15" ht="12.75" hidden="1" customHeight="1">
      <c r="A453" s="3744"/>
      <c r="B453" s="713" t="s">
        <v>139</v>
      </c>
      <c r="C453" s="3695"/>
      <c r="D453" s="1193">
        <f>+L453+F453+G453+H453+E453</f>
        <v>75188</v>
      </c>
      <c r="E453" s="1193">
        <f>+E454+E455</f>
        <v>2988</v>
      </c>
      <c r="F453" s="1193">
        <f t="shared" ref="F453:H453" si="261">+F454+F455</f>
        <v>17935</v>
      </c>
      <c r="G453" s="1193">
        <f t="shared" si="261"/>
        <v>41599</v>
      </c>
      <c r="H453" s="1193">
        <f t="shared" si="261"/>
        <v>12666</v>
      </c>
      <c r="I453" s="1138">
        <v>0</v>
      </c>
      <c r="J453" s="1138">
        <v>0</v>
      </c>
      <c r="K453" s="1138">
        <v>0</v>
      </c>
      <c r="L453" s="1193">
        <f>+L454+L455</f>
        <v>0</v>
      </c>
      <c r="M453" s="1195">
        <f>+G453+H453</f>
        <v>54265</v>
      </c>
      <c r="N453" s="3638"/>
    </row>
    <row r="454" spans="1:15" ht="12.75" hidden="1" customHeight="1">
      <c r="A454" s="3744"/>
      <c r="B454" s="713" t="s">
        <v>605</v>
      </c>
      <c r="C454" s="3695"/>
      <c r="D454" s="698">
        <f>E454+L454+F454+G454+H454+I454+J454+K454</f>
        <v>61857</v>
      </c>
      <c r="E454" s="1193">
        <f>10714-1427-8380</f>
        <v>907</v>
      </c>
      <c r="F454" s="1193">
        <f>21623-548+8380-15727</f>
        <v>13728</v>
      </c>
      <c r="G454" s="1193">
        <f>21679-604+15727</f>
        <v>36802</v>
      </c>
      <c r="H454" s="1193">
        <f>10713-293</f>
        <v>10420</v>
      </c>
      <c r="I454" s="1138">
        <v>0</v>
      </c>
      <c r="J454" s="1138">
        <v>0</v>
      </c>
      <c r="K454" s="1138">
        <v>0</v>
      </c>
      <c r="L454" s="1193"/>
      <c r="M454" s="1195">
        <f>+G454+H454</f>
        <v>47222</v>
      </c>
      <c r="N454" s="3638"/>
    </row>
    <row r="455" spans="1:15" ht="12.75" hidden="1" customHeight="1">
      <c r="A455" s="3744"/>
      <c r="B455" s="713" t="s">
        <v>269</v>
      </c>
      <c r="C455" s="3695"/>
      <c r="D455" s="698">
        <f>E455+L455+F455+G455+H455+I455+J455+K455</f>
        <v>13331</v>
      </c>
      <c r="E455" s="1193">
        <f>1959+294-172</f>
        <v>2081</v>
      </c>
      <c r="F455" s="1193">
        <f>3650+548+172-163</f>
        <v>4207</v>
      </c>
      <c r="G455" s="1193">
        <f>4030+604+163</f>
        <v>4797</v>
      </c>
      <c r="H455" s="1193">
        <f>1953+293</f>
        <v>2246</v>
      </c>
      <c r="I455" s="1138">
        <v>0</v>
      </c>
      <c r="J455" s="1138">
        <v>0</v>
      </c>
      <c r="K455" s="1138">
        <v>0</v>
      </c>
      <c r="L455" s="1193"/>
      <c r="M455" s="1195">
        <f>+G455+H455</f>
        <v>7043</v>
      </c>
      <c r="N455" s="3638"/>
    </row>
    <row r="456" spans="1:15" ht="12.75" customHeight="1">
      <c r="A456" s="3744"/>
      <c r="B456" s="709" t="s">
        <v>17</v>
      </c>
      <c r="C456" s="3695"/>
      <c r="D456" s="1181">
        <f>+E456+L456+F456+G456+H456+I456+J456+K456</f>
        <v>414733</v>
      </c>
      <c r="E456" s="1181">
        <f>+E457</f>
        <v>16746</v>
      </c>
      <c r="F456" s="1181">
        <f t="shared" ref="F456:H456" si="262">+F457</f>
        <v>100581</v>
      </c>
      <c r="G456" s="1181">
        <f t="shared" si="262"/>
        <v>227900</v>
      </c>
      <c r="H456" s="1181">
        <f t="shared" si="262"/>
        <v>69506</v>
      </c>
      <c r="I456" s="1419">
        <v>0</v>
      </c>
      <c r="J456" s="1419">
        <v>0</v>
      </c>
      <c r="K456" s="1419">
        <v>0</v>
      </c>
      <c r="L456" s="1181">
        <f>+L457</f>
        <v>0</v>
      </c>
      <c r="M456" s="1182">
        <f>+M457</f>
        <v>297406</v>
      </c>
      <c r="N456" s="3638"/>
    </row>
    <row r="457" spans="1:15" ht="12.75" customHeight="1">
      <c r="A457" s="3744"/>
      <c r="B457" s="1744" t="s">
        <v>19</v>
      </c>
      <c r="C457" s="3697"/>
      <c r="D457" s="698">
        <f>E457+L457+F457+G457+H457+I457+J457+K457</f>
        <v>414733</v>
      </c>
      <c r="E457" s="1193">
        <f>+E458</f>
        <v>16746</v>
      </c>
      <c r="F457" s="1193">
        <f t="shared" ref="F457:H457" si="263">+F458</f>
        <v>100581</v>
      </c>
      <c r="G457" s="1193">
        <f t="shared" si="263"/>
        <v>227900</v>
      </c>
      <c r="H457" s="1193">
        <f t="shared" si="263"/>
        <v>69506</v>
      </c>
      <c r="I457" s="1138">
        <v>0</v>
      </c>
      <c r="J457" s="1138">
        <v>0</v>
      </c>
      <c r="K457" s="1138">
        <v>0</v>
      </c>
      <c r="L457" s="1193">
        <f>+L458</f>
        <v>0</v>
      </c>
      <c r="M457" s="2446">
        <f>SUM(G457:K457)</f>
        <v>297406</v>
      </c>
      <c r="N457" s="3638"/>
      <c r="O457" s="354">
        <f>+L454+L459</f>
        <v>0</v>
      </c>
    </row>
    <row r="458" spans="1:15" ht="12.75" hidden="1" customHeight="1">
      <c r="A458" s="3744"/>
      <c r="B458" s="1585" t="s">
        <v>139</v>
      </c>
      <c r="C458" s="3027"/>
      <c r="D458" s="698">
        <f>E458+L458+F458+G458+H458+I458+J458+K458</f>
        <v>414733</v>
      </c>
      <c r="E458" s="1193">
        <f>+E459+E460</f>
        <v>16746</v>
      </c>
      <c r="F458" s="1193">
        <f>+F459+F460</f>
        <v>100581</v>
      </c>
      <c r="G458" s="1193">
        <f>+G459+G460</f>
        <v>227900</v>
      </c>
      <c r="H458" s="1193">
        <f>+H459+H460</f>
        <v>69506</v>
      </c>
      <c r="I458" s="1138">
        <v>0</v>
      </c>
      <c r="J458" s="1138">
        <v>0</v>
      </c>
      <c r="K458" s="1138">
        <v>0</v>
      </c>
      <c r="L458" s="1193">
        <f>+L459+L460</f>
        <v>0</v>
      </c>
      <c r="M458" s="1195">
        <f>+H458+G458+L458</f>
        <v>297406</v>
      </c>
      <c r="N458" s="3638"/>
    </row>
    <row r="459" spans="1:15" ht="12.75" hidden="1" customHeight="1">
      <c r="A459" s="3744"/>
      <c r="B459" s="713" t="s">
        <v>605</v>
      </c>
      <c r="C459" s="3084"/>
      <c r="D459" s="698">
        <f>E459+L459+F459+G459+H459+I459+J459+K459</f>
        <v>339192</v>
      </c>
      <c r="E459" s="1193">
        <f>58446-8085-45409</f>
        <v>4952</v>
      </c>
      <c r="F459" s="1193">
        <f>119128-3103+45409-84693</f>
        <v>76741</v>
      </c>
      <c r="G459" s="1193">
        <f>119450-3425+84693</f>
        <v>200718</v>
      </c>
      <c r="H459" s="1193">
        <f>58441-1660</f>
        <v>56781</v>
      </c>
      <c r="I459" s="1138">
        <v>0</v>
      </c>
      <c r="J459" s="1138">
        <v>0</v>
      </c>
      <c r="K459" s="1138">
        <v>0</v>
      </c>
      <c r="L459" s="1193"/>
      <c r="M459" s="1195">
        <f t="shared" ref="M459:M460" si="264">+H459+G459+L459</f>
        <v>257499</v>
      </c>
      <c r="N459" s="3638"/>
    </row>
    <row r="460" spans="1:15" ht="12" hidden="1" customHeight="1">
      <c r="A460" s="3744"/>
      <c r="B460" s="713" t="s">
        <v>269</v>
      </c>
      <c r="C460" s="3084"/>
      <c r="D460" s="698">
        <f>E460+L460+F460+G460+H460+I460+J460+K460</f>
        <v>75541</v>
      </c>
      <c r="E460" s="1193">
        <f>11101+1665-972</f>
        <v>11794</v>
      </c>
      <c r="F460" s="1193">
        <f>20690+3103+972-925</f>
        <v>23840</v>
      </c>
      <c r="G460" s="1193">
        <f>22832+3425+925</f>
        <v>27182</v>
      </c>
      <c r="H460" s="1193">
        <f>11065+1660</f>
        <v>12725</v>
      </c>
      <c r="I460" s="1138">
        <v>0</v>
      </c>
      <c r="J460" s="1138">
        <v>0</v>
      </c>
      <c r="K460" s="1138">
        <v>0</v>
      </c>
      <c r="L460" s="1193"/>
      <c r="M460" s="1195">
        <f t="shared" si="264"/>
        <v>39907</v>
      </c>
      <c r="N460" s="3652"/>
    </row>
    <row r="461" spans="1:15" ht="15.75" customHeight="1">
      <c r="A461" s="3744"/>
      <c r="B461" s="475" t="s">
        <v>20</v>
      </c>
      <c r="C461" s="1177"/>
      <c r="D461" s="1178">
        <f t="shared" ref="D461:F462" si="265">+D462</f>
        <v>414733</v>
      </c>
      <c r="E461" s="1178">
        <f t="shared" si="265"/>
        <v>0</v>
      </c>
      <c r="F461" s="1178">
        <f t="shared" si="265"/>
        <v>0</v>
      </c>
      <c r="G461" s="1178">
        <f t="shared" ref="G461:H461" si="266">+G462</f>
        <v>212285</v>
      </c>
      <c r="H461" s="1178">
        <f t="shared" si="266"/>
        <v>202448</v>
      </c>
      <c r="I461" s="1421">
        <v>0</v>
      </c>
      <c r="J461" s="1421">
        <v>0</v>
      </c>
      <c r="K461" s="1421">
        <v>0</v>
      </c>
      <c r="L461" s="1421">
        <v>0</v>
      </c>
      <c r="M461" s="3692" t="s">
        <v>21</v>
      </c>
      <c r="N461" s="3651" t="s">
        <v>618</v>
      </c>
    </row>
    <row r="462" spans="1:15" ht="12.75" customHeight="1">
      <c r="A462" s="3744"/>
      <c r="B462" s="709" t="s">
        <v>17</v>
      </c>
      <c r="C462" s="3664" t="s">
        <v>358</v>
      </c>
      <c r="D462" s="1198">
        <f t="shared" si="265"/>
        <v>414733</v>
      </c>
      <c r="E462" s="1204">
        <f t="shared" si="265"/>
        <v>0</v>
      </c>
      <c r="F462" s="1204">
        <f t="shared" si="265"/>
        <v>0</v>
      </c>
      <c r="G462" s="1204">
        <f t="shared" ref="G462:H462" si="267">+G463</f>
        <v>212285</v>
      </c>
      <c r="H462" s="1204">
        <f t="shared" si="267"/>
        <v>202448</v>
      </c>
      <c r="I462" s="1422">
        <v>0</v>
      </c>
      <c r="J462" s="1422">
        <v>0</v>
      </c>
      <c r="K462" s="1422">
        <v>0</v>
      </c>
      <c r="L462" s="2474">
        <v>0</v>
      </c>
      <c r="M462" s="3693"/>
      <c r="N462" s="3638"/>
    </row>
    <row r="463" spans="1:15" ht="12.75" customHeight="1" thickBot="1">
      <c r="A463" s="3745"/>
      <c r="B463" s="603" t="s">
        <v>19</v>
      </c>
      <c r="C463" s="3666"/>
      <c r="D463" s="1410">
        <f>E463+L463+F463+G463+H463+I463+J463+K463</f>
        <v>414733</v>
      </c>
      <c r="E463" s="1410">
        <v>0</v>
      </c>
      <c r="F463" s="3085">
        <f>127804-6420-27055-94329</f>
        <v>0</v>
      </c>
      <c r="G463" s="3085">
        <f>140845+27055+44385</f>
        <v>212285</v>
      </c>
      <c r="H463" s="3086">
        <f>152504+49944</f>
        <v>202448</v>
      </c>
      <c r="I463" s="1434">
        <v>0</v>
      </c>
      <c r="J463" s="1434">
        <v>0</v>
      </c>
      <c r="K463" s="1434">
        <v>0</v>
      </c>
      <c r="L463" s="1434">
        <v>0</v>
      </c>
      <c r="M463" s="3694"/>
      <c r="N463" s="3641"/>
    </row>
    <row r="464" spans="1:15" ht="26.25" hidden="1" customHeight="1">
      <c r="A464" s="3836" t="s">
        <v>246</v>
      </c>
      <c r="B464" s="105" t="s">
        <v>93</v>
      </c>
      <c r="C464" s="647"/>
      <c r="D464" s="648"/>
      <c r="E464" s="650"/>
      <c r="F464" s="650"/>
      <c r="G464" s="650"/>
      <c r="H464" s="650"/>
      <c r="I464" s="650"/>
      <c r="J464" s="650"/>
      <c r="K464" s="650"/>
      <c r="L464" s="650"/>
      <c r="M464" s="2485"/>
      <c r="N464" s="3720"/>
    </row>
    <row r="465" spans="1:16" ht="12" hidden="1" customHeight="1">
      <c r="A465" s="3837"/>
      <c r="B465" s="17" t="s">
        <v>9</v>
      </c>
      <c r="C465" s="18"/>
      <c r="D465" s="106">
        <f>+D466+D470</f>
        <v>0</v>
      </c>
      <c r="E465" s="106">
        <f>+E466+E470</f>
        <v>0</v>
      </c>
      <c r="F465" s="106">
        <f t="shared" ref="F465" si="268">+F466+F470</f>
        <v>0</v>
      </c>
      <c r="G465" s="106">
        <f t="shared" ref="G465:M465" si="269">+G466+G470</f>
        <v>0</v>
      </c>
      <c r="H465" s="106">
        <f t="shared" si="269"/>
        <v>0</v>
      </c>
      <c r="I465" s="106">
        <f t="shared" si="269"/>
        <v>0</v>
      </c>
      <c r="J465" s="106">
        <f t="shared" si="269"/>
        <v>0</v>
      </c>
      <c r="K465" s="106">
        <f t="shared" si="269"/>
        <v>0</v>
      </c>
      <c r="L465" s="106">
        <f>+L466+L470</f>
        <v>0</v>
      </c>
      <c r="M465" s="2486">
        <f t="shared" si="269"/>
        <v>0</v>
      </c>
      <c r="N465" s="3721"/>
      <c r="O465" s="354" t="e">
        <f>+#REF!+#REF!</f>
        <v>#REF!</v>
      </c>
      <c r="P465" s="354"/>
    </row>
    <row r="466" spans="1:16" s="619" customFormat="1" ht="12" hidden="1" customHeight="1">
      <c r="A466" s="3837"/>
      <c r="B466" s="651" t="s">
        <v>10</v>
      </c>
      <c r="C466" s="652"/>
      <c r="D466" s="98">
        <f>+D467+D468+D469</f>
        <v>0</v>
      </c>
      <c r="E466" s="98">
        <f>+E467+E468+E469</f>
        <v>0</v>
      </c>
      <c r="F466" s="98">
        <f t="shared" ref="F466" si="270">+F467+F468+F469</f>
        <v>0</v>
      </c>
      <c r="G466" s="98">
        <f t="shared" ref="G466:M466" si="271">+G467+G468+G469</f>
        <v>0</v>
      </c>
      <c r="H466" s="98">
        <f t="shared" si="271"/>
        <v>0</v>
      </c>
      <c r="I466" s="98">
        <f t="shared" si="271"/>
        <v>0</v>
      </c>
      <c r="J466" s="98">
        <f t="shared" si="271"/>
        <v>0</v>
      </c>
      <c r="K466" s="98">
        <f t="shared" si="271"/>
        <v>0</v>
      </c>
      <c r="L466" s="98">
        <f>+L467+L468+L469</f>
        <v>0</v>
      </c>
      <c r="M466" s="2487">
        <f t="shared" si="271"/>
        <v>0</v>
      </c>
      <c r="N466" s="3721"/>
      <c r="P466" s="354"/>
    </row>
    <row r="467" spans="1:16" ht="12" hidden="1" customHeight="1">
      <c r="A467" s="3837"/>
      <c r="B467" s="653" t="s">
        <v>11</v>
      </c>
      <c r="C467" s="654"/>
      <c r="D467" s="27">
        <f>+D483+D501</f>
        <v>0</v>
      </c>
      <c r="E467" s="27">
        <f>+E483+E501</f>
        <v>0</v>
      </c>
      <c r="F467" s="27">
        <f t="shared" ref="F467" si="272">+F483+F501</f>
        <v>0</v>
      </c>
      <c r="G467" s="27">
        <f t="shared" ref="G467:L467" si="273">+G483+G501</f>
        <v>0</v>
      </c>
      <c r="H467" s="27">
        <f t="shared" si="273"/>
        <v>0</v>
      </c>
      <c r="I467" s="27">
        <f t="shared" si="273"/>
        <v>0</v>
      </c>
      <c r="J467" s="27">
        <f t="shared" si="273"/>
        <v>0</v>
      </c>
      <c r="K467" s="27">
        <f t="shared" si="273"/>
        <v>0</v>
      </c>
      <c r="L467" s="27">
        <f t="shared" si="273"/>
        <v>0</v>
      </c>
      <c r="M467" s="2488">
        <f>SUM(F467:H467)</f>
        <v>0</v>
      </c>
      <c r="N467" s="3721"/>
      <c r="O467" s="354"/>
      <c r="P467" s="354"/>
    </row>
    <row r="468" spans="1:16" ht="12" hidden="1" customHeight="1">
      <c r="A468" s="3837"/>
      <c r="B468" s="628" t="s">
        <v>69</v>
      </c>
      <c r="C468" s="629"/>
      <c r="D468" s="27">
        <f>+D484</f>
        <v>0</v>
      </c>
      <c r="E468" s="27">
        <f>+E484</f>
        <v>0</v>
      </c>
      <c r="F468" s="27">
        <f t="shared" ref="F468:F469" si="274">+F484</f>
        <v>0</v>
      </c>
      <c r="G468" s="27">
        <f t="shared" ref="G468:K469" si="275">+G484</f>
        <v>0</v>
      </c>
      <c r="H468" s="27">
        <f t="shared" si="275"/>
        <v>0</v>
      </c>
      <c r="I468" s="27">
        <f t="shared" si="275"/>
        <v>0</v>
      </c>
      <c r="J468" s="27">
        <f t="shared" si="275"/>
        <v>0</v>
      </c>
      <c r="K468" s="27">
        <f t="shared" si="275"/>
        <v>0</v>
      </c>
      <c r="L468" s="27">
        <f>+L484</f>
        <v>0</v>
      </c>
      <c r="M468" s="2488">
        <f>SUM(F468:H468)</f>
        <v>0</v>
      </c>
      <c r="N468" s="3721"/>
      <c r="P468" s="354"/>
    </row>
    <row r="469" spans="1:16" ht="12" hidden="1" customHeight="1">
      <c r="A469" s="3837"/>
      <c r="B469" s="655" t="s">
        <v>49</v>
      </c>
      <c r="C469" s="656"/>
      <c r="D469" s="27">
        <f>+D485</f>
        <v>0</v>
      </c>
      <c r="E469" s="27">
        <f>+E485</f>
        <v>0</v>
      </c>
      <c r="F469" s="27">
        <f t="shared" si="274"/>
        <v>0</v>
      </c>
      <c r="G469" s="27">
        <f t="shared" si="275"/>
        <v>0</v>
      </c>
      <c r="H469" s="27">
        <f t="shared" si="275"/>
        <v>0</v>
      </c>
      <c r="I469" s="27">
        <f t="shared" si="275"/>
        <v>0</v>
      </c>
      <c r="J469" s="27">
        <f t="shared" si="275"/>
        <v>0</v>
      </c>
      <c r="K469" s="27">
        <f t="shared" si="275"/>
        <v>0</v>
      </c>
      <c r="L469" s="27">
        <f>+L485</f>
        <v>0</v>
      </c>
      <c r="M469" s="2488">
        <f>SUM(F469:H469)</f>
        <v>0</v>
      </c>
      <c r="N469" s="3721"/>
      <c r="O469" s="354"/>
      <c r="P469" s="354"/>
    </row>
    <row r="470" spans="1:16" s="658" customFormat="1" ht="12" hidden="1" customHeight="1">
      <c r="A470" s="3837"/>
      <c r="B470" s="631" t="s">
        <v>17</v>
      </c>
      <c r="C470" s="657"/>
      <c r="D470" s="26">
        <f>+D471+D472</f>
        <v>0</v>
      </c>
      <c r="E470" s="26">
        <f>+E471+E472</f>
        <v>0</v>
      </c>
      <c r="F470" s="26">
        <f t="shared" ref="F470" si="276">+F471+F472</f>
        <v>0</v>
      </c>
      <c r="G470" s="26">
        <f t="shared" ref="G470:M470" si="277">+G471+G472</f>
        <v>0</v>
      </c>
      <c r="H470" s="26">
        <f t="shared" si="277"/>
        <v>0</v>
      </c>
      <c r="I470" s="26">
        <f t="shared" si="277"/>
        <v>0</v>
      </c>
      <c r="J470" s="26">
        <f t="shared" si="277"/>
        <v>0</v>
      </c>
      <c r="K470" s="26">
        <f t="shared" si="277"/>
        <v>0</v>
      </c>
      <c r="L470" s="26">
        <f>+L471+L472</f>
        <v>0</v>
      </c>
      <c r="M470" s="2489">
        <f t="shared" si="277"/>
        <v>0</v>
      </c>
      <c r="N470" s="3721"/>
      <c r="O470" s="618"/>
      <c r="P470" s="618"/>
    </row>
    <row r="471" spans="1:16" ht="12" hidden="1" customHeight="1">
      <c r="A471" s="3837"/>
      <c r="B471" s="632" t="s">
        <v>19</v>
      </c>
      <c r="C471" s="656"/>
      <c r="D471" s="27">
        <f>+D487+D503</f>
        <v>0</v>
      </c>
      <c r="E471" s="27">
        <f>+E487+E503</f>
        <v>0</v>
      </c>
      <c r="F471" s="27">
        <f t="shared" ref="F471" si="278">+F487+F503</f>
        <v>0</v>
      </c>
      <c r="G471" s="27">
        <f t="shared" ref="G471:L471" si="279">+G487+G503</f>
        <v>0</v>
      </c>
      <c r="H471" s="27">
        <f t="shared" si="279"/>
        <v>0</v>
      </c>
      <c r="I471" s="27">
        <f t="shared" si="279"/>
        <v>0</v>
      </c>
      <c r="J471" s="27">
        <f t="shared" si="279"/>
        <v>0</v>
      </c>
      <c r="K471" s="27">
        <f t="shared" si="279"/>
        <v>0</v>
      </c>
      <c r="L471" s="27">
        <f t="shared" si="279"/>
        <v>0</v>
      </c>
      <c r="M471" s="2488">
        <f>SUM(F471:H471)</f>
        <v>0</v>
      </c>
      <c r="N471" s="3721"/>
      <c r="O471" s="354"/>
      <c r="P471" s="354"/>
    </row>
    <row r="472" spans="1:16" ht="12" hidden="1" customHeight="1">
      <c r="A472" s="3837"/>
      <c r="B472" s="632" t="s">
        <v>70</v>
      </c>
      <c r="C472" s="656"/>
      <c r="D472" s="27">
        <f>+D488</f>
        <v>0</v>
      </c>
      <c r="E472" s="27">
        <f>+E488</f>
        <v>0</v>
      </c>
      <c r="F472" s="27">
        <f t="shared" ref="F472" si="280">+F488</f>
        <v>0</v>
      </c>
      <c r="G472" s="27">
        <f t="shared" ref="G472:L472" si="281">+G488</f>
        <v>0</v>
      </c>
      <c r="H472" s="27">
        <f t="shared" si="281"/>
        <v>0</v>
      </c>
      <c r="I472" s="27">
        <f t="shared" si="281"/>
        <v>0</v>
      </c>
      <c r="J472" s="27">
        <f t="shared" si="281"/>
        <v>0</v>
      </c>
      <c r="K472" s="27">
        <f t="shared" si="281"/>
        <v>0</v>
      </c>
      <c r="L472" s="27">
        <f t="shared" si="281"/>
        <v>0</v>
      </c>
      <c r="M472" s="2488">
        <f>SUM(F472:H472)</f>
        <v>0</v>
      </c>
      <c r="N472" s="3721"/>
      <c r="O472" s="354"/>
      <c r="P472" s="354"/>
    </row>
    <row r="473" spans="1:16" ht="12" hidden="1" customHeight="1">
      <c r="A473" s="3837"/>
      <c r="B473" s="17" t="s">
        <v>20</v>
      </c>
      <c r="C473" s="18"/>
      <c r="D473" s="170">
        <f>+D474+D477</f>
        <v>0</v>
      </c>
      <c r="E473" s="170">
        <f>+E474+E477</f>
        <v>0</v>
      </c>
      <c r="F473" s="170">
        <f t="shared" ref="F473" si="282">+F474+F477</f>
        <v>0</v>
      </c>
      <c r="G473" s="170">
        <f t="shared" ref="G473:L473" si="283">+G474+G477</f>
        <v>0</v>
      </c>
      <c r="H473" s="170">
        <f t="shared" si="283"/>
        <v>0</v>
      </c>
      <c r="I473" s="170">
        <f t="shared" si="283"/>
        <v>0</v>
      </c>
      <c r="J473" s="170">
        <f t="shared" si="283"/>
        <v>0</v>
      </c>
      <c r="K473" s="170">
        <f t="shared" si="283"/>
        <v>0</v>
      </c>
      <c r="L473" s="170">
        <f t="shared" si="283"/>
        <v>0</v>
      </c>
      <c r="M473" s="3719" t="s">
        <v>21</v>
      </c>
      <c r="N473" s="3721"/>
    </row>
    <row r="474" spans="1:16" ht="12" hidden="1" customHeight="1">
      <c r="A474" s="3837"/>
      <c r="B474" s="659" t="s">
        <v>22</v>
      </c>
      <c r="C474" s="660"/>
      <c r="D474" s="98">
        <f>+D475+D476</f>
        <v>0</v>
      </c>
      <c r="E474" s="98">
        <f>+E475+E476</f>
        <v>0</v>
      </c>
      <c r="F474" s="98">
        <f t="shared" ref="F474" si="284">+F475+F476</f>
        <v>0</v>
      </c>
      <c r="G474" s="98">
        <f t="shared" ref="G474:L474" si="285">+G475+G476</f>
        <v>0</v>
      </c>
      <c r="H474" s="98">
        <f t="shared" si="285"/>
        <v>0</v>
      </c>
      <c r="I474" s="98">
        <f t="shared" si="285"/>
        <v>0</v>
      </c>
      <c r="J474" s="98">
        <f t="shared" si="285"/>
        <v>0</v>
      </c>
      <c r="K474" s="98">
        <f t="shared" si="285"/>
        <v>0</v>
      </c>
      <c r="L474" s="98">
        <f t="shared" si="285"/>
        <v>0</v>
      </c>
      <c r="M474" s="3693"/>
      <c r="N474" s="3721"/>
      <c r="O474" s="354"/>
    </row>
    <row r="475" spans="1:16" ht="12" hidden="1" customHeight="1">
      <c r="A475" s="3837"/>
      <c r="B475" s="218" t="s">
        <v>69</v>
      </c>
      <c r="C475" s="656"/>
      <c r="D475" s="27">
        <f>+D491</f>
        <v>0</v>
      </c>
      <c r="E475" s="27">
        <f>+E491</f>
        <v>0</v>
      </c>
      <c r="F475" s="27">
        <f t="shared" ref="F475:K475" si="286">+F491</f>
        <v>0</v>
      </c>
      <c r="G475" s="27">
        <f t="shared" si="286"/>
        <v>0</v>
      </c>
      <c r="H475" s="27">
        <f t="shared" si="286"/>
        <v>0</v>
      </c>
      <c r="I475" s="27">
        <f t="shared" si="286"/>
        <v>0</v>
      </c>
      <c r="J475" s="27">
        <f t="shared" si="286"/>
        <v>0</v>
      </c>
      <c r="K475" s="27">
        <f t="shared" si="286"/>
        <v>0</v>
      </c>
      <c r="L475" s="27">
        <f>+L491</f>
        <v>0</v>
      </c>
      <c r="M475" s="3693"/>
      <c r="N475" s="3721"/>
    </row>
    <row r="476" spans="1:16" ht="12" hidden="1" customHeight="1">
      <c r="A476" s="3837"/>
      <c r="B476" s="661" t="s">
        <v>49</v>
      </c>
      <c r="C476" s="107"/>
      <c r="D476" s="27">
        <f>+D493</f>
        <v>0</v>
      </c>
      <c r="E476" s="27">
        <f>+E493</f>
        <v>0</v>
      </c>
      <c r="F476" s="27">
        <f t="shared" ref="F476:K476" si="287">+F493</f>
        <v>0</v>
      </c>
      <c r="G476" s="27">
        <f t="shared" si="287"/>
        <v>0</v>
      </c>
      <c r="H476" s="27">
        <f t="shared" si="287"/>
        <v>0</v>
      </c>
      <c r="I476" s="27">
        <f t="shared" si="287"/>
        <v>0</v>
      </c>
      <c r="J476" s="27">
        <f t="shared" si="287"/>
        <v>0</v>
      </c>
      <c r="K476" s="27">
        <f t="shared" si="287"/>
        <v>0</v>
      </c>
      <c r="L476" s="27">
        <f>+L493</f>
        <v>0</v>
      </c>
      <c r="M476" s="3693"/>
      <c r="N476" s="3721"/>
    </row>
    <row r="477" spans="1:16" s="658" customFormat="1" ht="12" hidden="1" customHeight="1">
      <c r="A477" s="3837"/>
      <c r="B477" s="662" t="s">
        <v>17</v>
      </c>
      <c r="C477" s="657"/>
      <c r="D477" s="108">
        <f>+D478+D479</f>
        <v>0</v>
      </c>
      <c r="E477" s="108">
        <f>+E478+E479</f>
        <v>0</v>
      </c>
      <c r="F477" s="108">
        <f t="shared" ref="F477" si="288">+F478+F479</f>
        <v>0</v>
      </c>
      <c r="G477" s="108">
        <f t="shared" ref="G477:L477" si="289">+G478+G479</f>
        <v>0</v>
      </c>
      <c r="H477" s="108">
        <f t="shared" si="289"/>
        <v>0</v>
      </c>
      <c r="I477" s="108">
        <f t="shared" si="289"/>
        <v>0</v>
      </c>
      <c r="J477" s="108">
        <f t="shared" si="289"/>
        <v>0</v>
      </c>
      <c r="K477" s="108">
        <f t="shared" si="289"/>
        <v>0</v>
      </c>
      <c r="L477" s="108">
        <f t="shared" si="289"/>
        <v>0</v>
      </c>
      <c r="M477" s="3693"/>
      <c r="N477" s="3721"/>
    </row>
    <row r="478" spans="1:16" ht="12" hidden="1" customHeight="1">
      <c r="A478" s="3837"/>
      <c r="B478" s="663" t="s">
        <v>19</v>
      </c>
      <c r="C478" s="656"/>
      <c r="D478" s="27">
        <f>+D496+D506</f>
        <v>0</v>
      </c>
      <c r="E478" s="27">
        <f>+E496+E506</f>
        <v>0</v>
      </c>
      <c r="F478" s="27">
        <f t="shared" ref="F478" si="290">+F496+F506</f>
        <v>0</v>
      </c>
      <c r="G478" s="27">
        <f t="shared" ref="G478:L478" si="291">+G496+G506</f>
        <v>0</v>
      </c>
      <c r="H478" s="27">
        <f t="shared" si="291"/>
        <v>0</v>
      </c>
      <c r="I478" s="27">
        <f t="shared" si="291"/>
        <v>0</v>
      </c>
      <c r="J478" s="27">
        <f t="shared" si="291"/>
        <v>0</v>
      </c>
      <c r="K478" s="27">
        <f t="shared" si="291"/>
        <v>0</v>
      </c>
      <c r="L478" s="27">
        <f t="shared" si="291"/>
        <v>0</v>
      </c>
      <c r="M478" s="3693"/>
      <c r="N478" s="3721"/>
    </row>
    <row r="479" spans="1:16" ht="12" hidden="1" customHeight="1" thickBot="1">
      <c r="A479" s="3838"/>
      <c r="B479" s="664" t="s">
        <v>70</v>
      </c>
      <c r="C479" s="644"/>
      <c r="D479" s="100">
        <f>+D497</f>
        <v>0</v>
      </c>
      <c r="E479" s="100">
        <f>+E497</f>
        <v>0</v>
      </c>
      <c r="F479" s="100">
        <f t="shared" ref="F479" si="292">+F497</f>
        <v>0</v>
      </c>
      <c r="G479" s="208">
        <f t="shared" ref="G479:L479" si="293">+G497</f>
        <v>0</v>
      </c>
      <c r="H479" s="209">
        <f t="shared" si="293"/>
        <v>0</v>
      </c>
      <c r="I479" s="209">
        <f t="shared" si="293"/>
        <v>0</v>
      </c>
      <c r="J479" s="209">
        <f t="shared" si="293"/>
        <v>0</v>
      </c>
      <c r="K479" s="209">
        <f t="shared" si="293"/>
        <v>0</v>
      </c>
      <c r="L479" s="100">
        <f t="shared" si="293"/>
        <v>0</v>
      </c>
      <c r="M479" s="3694"/>
      <c r="N479" s="665"/>
    </row>
    <row r="480" spans="1:16" hidden="1">
      <c r="A480" s="3669"/>
      <c r="B480" s="461"/>
      <c r="C480" s="48" t="s">
        <v>72</v>
      </c>
      <c r="D480" s="83"/>
      <c r="E480" s="2490"/>
      <c r="F480" s="462"/>
      <c r="G480" s="462"/>
      <c r="H480" s="462"/>
      <c r="I480" s="462"/>
      <c r="J480" s="462"/>
      <c r="K480" s="462"/>
      <c r="L480" s="2491"/>
      <c r="M480" s="36"/>
      <c r="N480" s="3637" t="s">
        <v>95</v>
      </c>
    </row>
    <row r="481" spans="1:15" ht="15" hidden="1" customHeight="1">
      <c r="A481" s="3670"/>
      <c r="B481" s="17" t="s">
        <v>9</v>
      </c>
      <c r="C481" s="18"/>
      <c r="D481" s="84">
        <f t="shared" ref="D481:H481" si="294">+D482+D486</f>
        <v>0</v>
      </c>
      <c r="E481" s="84">
        <f t="shared" si="294"/>
        <v>0</v>
      </c>
      <c r="F481" s="84">
        <f t="shared" si="294"/>
        <v>0</v>
      </c>
      <c r="G481" s="84">
        <f t="shared" si="294"/>
        <v>0</v>
      </c>
      <c r="H481" s="84">
        <f t="shared" si="294"/>
        <v>0</v>
      </c>
      <c r="I481" s="84"/>
      <c r="J481" s="84"/>
      <c r="K481" s="84"/>
      <c r="L481" s="84">
        <f>+L482+L486</f>
        <v>0</v>
      </c>
      <c r="M481" s="2486">
        <f>+M482+M486</f>
        <v>0</v>
      </c>
      <c r="N481" s="3638"/>
      <c r="O481" s="354" t="e">
        <f>+#REF!+#REF!</f>
        <v>#REF!</v>
      </c>
    </row>
    <row r="482" spans="1:15" hidden="1">
      <c r="A482" s="3670"/>
      <c r="B482" s="144" t="s">
        <v>22</v>
      </c>
      <c r="C482" s="3712" t="s">
        <v>89</v>
      </c>
      <c r="D482" s="85">
        <f t="shared" ref="D482:H482" si="295">+D483+D484+D485</f>
        <v>0</v>
      </c>
      <c r="E482" s="86">
        <f t="shared" si="295"/>
        <v>0</v>
      </c>
      <c r="F482" s="85">
        <f t="shared" si="295"/>
        <v>0</v>
      </c>
      <c r="G482" s="85">
        <f t="shared" si="295"/>
        <v>0</v>
      </c>
      <c r="H482" s="85">
        <f t="shared" si="295"/>
        <v>0</v>
      </c>
      <c r="I482" s="87"/>
      <c r="J482" s="87"/>
      <c r="K482" s="87"/>
      <c r="L482" s="85">
        <f>+L483+L484+L485</f>
        <v>0</v>
      </c>
      <c r="M482" s="65">
        <f>+M483+M484+M485</f>
        <v>0</v>
      </c>
      <c r="N482" s="3638"/>
    </row>
    <row r="483" spans="1:15" ht="11.25" hidden="1" customHeight="1">
      <c r="A483" s="3670"/>
      <c r="B483" s="344" t="s">
        <v>11</v>
      </c>
      <c r="C483" s="3722"/>
      <c r="D483" s="206">
        <f>E483+L483+F483+G483+H483+I483+J483+K483</f>
        <v>0</v>
      </c>
      <c r="E483" s="234"/>
      <c r="F483" s="463">
        <v>0</v>
      </c>
      <c r="G483" s="463">
        <v>0</v>
      </c>
      <c r="H483" s="463">
        <v>0</v>
      </c>
      <c r="I483" s="464"/>
      <c r="J483" s="464"/>
      <c r="K483" s="464"/>
      <c r="L483" s="463">
        <v>0</v>
      </c>
      <c r="M483" s="2488">
        <f>SUM(F483:H483)</f>
        <v>0</v>
      </c>
      <c r="N483" s="3638"/>
      <c r="O483" s="354"/>
    </row>
    <row r="484" spans="1:15" hidden="1">
      <c r="A484" s="3670"/>
      <c r="B484" s="109" t="s">
        <v>69</v>
      </c>
      <c r="C484" s="3722"/>
      <c r="D484" s="206">
        <f>E484+L484+F484+G484+H484+I484+J484+K484</f>
        <v>0</v>
      </c>
      <c r="E484" s="234"/>
      <c r="F484" s="110">
        <v>0</v>
      </c>
      <c r="G484" s="110">
        <v>0</v>
      </c>
      <c r="H484" s="110">
        <v>0</v>
      </c>
      <c r="I484" s="90"/>
      <c r="J484" s="90"/>
      <c r="K484" s="90"/>
      <c r="L484" s="110">
        <v>0</v>
      </c>
      <c r="M484" s="2488">
        <f>SUM(F484:H484)</f>
        <v>0</v>
      </c>
      <c r="N484" s="3638"/>
    </row>
    <row r="485" spans="1:15" ht="12" hidden="1" customHeight="1">
      <c r="A485" s="3670"/>
      <c r="B485" s="429" t="s">
        <v>96</v>
      </c>
      <c r="C485" s="3695"/>
      <c r="D485" s="206">
        <f>E485+L485+F485+G485+H485+I485+J485+K485</f>
        <v>0</v>
      </c>
      <c r="E485" s="234"/>
      <c r="F485" s="463">
        <v>0</v>
      </c>
      <c r="G485" s="463">
        <v>0</v>
      </c>
      <c r="H485" s="463">
        <v>0</v>
      </c>
      <c r="I485" s="464"/>
      <c r="J485" s="464"/>
      <c r="K485" s="464"/>
      <c r="L485" s="463">
        <v>0</v>
      </c>
      <c r="M485" s="2488">
        <f>SUM(F485:H485)</f>
        <v>0</v>
      </c>
      <c r="N485" s="3638"/>
    </row>
    <row r="486" spans="1:15" s="658" customFormat="1" hidden="1">
      <c r="A486" s="3670"/>
      <c r="B486" s="357" t="s">
        <v>17</v>
      </c>
      <c r="C486" s="465"/>
      <c r="D486" s="40">
        <f>+D487+D488</f>
        <v>0</v>
      </c>
      <c r="E486" s="466">
        <f t="shared" ref="E486:M486" si="296">+E487+E488</f>
        <v>0</v>
      </c>
      <c r="F486" s="466">
        <f t="shared" si="296"/>
        <v>0</v>
      </c>
      <c r="G486" s="466">
        <f t="shared" si="296"/>
        <v>0</v>
      </c>
      <c r="H486" s="466">
        <f t="shared" si="296"/>
        <v>0</v>
      </c>
      <c r="I486" s="466"/>
      <c r="J486" s="466"/>
      <c r="K486" s="466"/>
      <c r="L486" s="466">
        <f>+L487+L488</f>
        <v>0</v>
      </c>
      <c r="M486" s="65">
        <f t="shared" si="296"/>
        <v>0</v>
      </c>
      <c r="N486" s="3638"/>
    </row>
    <row r="487" spans="1:15" hidden="1">
      <c r="A487" s="3670"/>
      <c r="B487" s="636" t="s">
        <v>19</v>
      </c>
      <c r="C487" s="3023"/>
      <c r="D487" s="206">
        <f>E487+L487+F487+G487+H487+I487+J487+K487</f>
        <v>0</v>
      </c>
      <c r="E487" s="234"/>
      <c r="F487" s="464">
        <v>0</v>
      </c>
      <c r="G487" s="464">
        <v>0</v>
      </c>
      <c r="H487" s="464">
        <v>0</v>
      </c>
      <c r="I487" s="464"/>
      <c r="J487" s="464"/>
      <c r="K487" s="464"/>
      <c r="L487" s="464">
        <v>0</v>
      </c>
      <c r="M487" s="2488">
        <f>SUM(F487:H487)</f>
        <v>0</v>
      </c>
      <c r="N487" s="3638"/>
    </row>
    <row r="488" spans="1:15" ht="12" hidden="1" customHeight="1">
      <c r="A488" s="3670"/>
      <c r="B488" s="636" t="s">
        <v>70</v>
      </c>
      <c r="C488" s="3023"/>
      <c r="D488" s="206">
        <f>E488+L488+F488+G488+H488+I488+J488+K488</f>
        <v>0</v>
      </c>
      <c r="E488" s="234"/>
      <c r="F488" s="464">
        <v>0</v>
      </c>
      <c r="G488" s="464">
        <v>0</v>
      </c>
      <c r="H488" s="464">
        <v>0</v>
      </c>
      <c r="I488" s="464"/>
      <c r="J488" s="464"/>
      <c r="K488" s="464"/>
      <c r="L488" s="464">
        <v>0</v>
      </c>
      <c r="M488" s="2488">
        <f>SUM(F488:H488)</f>
        <v>0</v>
      </c>
      <c r="N488" s="3638"/>
    </row>
    <row r="489" spans="1:15" ht="14.25" hidden="1" customHeight="1">
      <c r="A489" s="3670"/>
      <c r="B489" s="17" t="s">
        <v>20</v>
      </c>
      <c r="C489" s="18"/>
      <c r="D489" s="170">
        <f t="shared" ref="D489:H489" si="297">+D490+D494</f>
        <v>0</v>
      </c>
      <c r="E489" s="170">
        <f t="shared" si="297"/>
        <v>0</v>
      </c>
      <c r="F489" s="170">
        <f t="shared" si="297"/>
        <v>0</v>
      </c>
      <c r="G489" s="170">
        <f t="shared" si="297"/>
        <v>0</v>
      </c>
      <c r="H489" s="170">
        <f t="shared" si="297"/>
        <v>0</v>
      </c>
      <c r="I489" s="170"/>
      <c r="J489" s="170"/>
      <c r="K489" s="170"/>
      <c r="L489" s="170">
        <f>+L490+L494</f>
        <v>0</v>
      </c>
      <c r="M489" s="3719" t="s">
        <v>21</v>
      </c>
      <c r="N489" s="3638"/>
      <c r="O489" s="354"/>
    </row>
    <row r="490" spans="1:15" s="666" customFormat="1" ht="12.75" hidden="1" customHeight="1">
      <c r="A490" s="3670"/>
      <c r="B490" s="144" t="s">
        <v>22</v>
      </c>
      <c r="C490" s="3712" t="s">
        <v>89</v>
      </c>
      <c r="D490" s="557">
        <f>+D491+D492+D493</f>
        <v>0</v>
      </c>
      <c r="E490" s="557">
        <f>SUM(E491:E493)</f>
        <v>0</v>
      </c>
      <c r="F490" s="557">
        <f>+F491+F493</f>
        <v>0</v>
      </c>
      <c r="G490" s="557">
        <f>+G491+G493</f>
        <v>0</v>
      </c>
      <c r="H490" s="557">
        <f>+H491+H493</f>
        <v>0</v>
      </c>
      <c r="I490" s="557"/>
      <c r="J490" s="557"/>
      <c r="K490" s="557"/>
      <c r="L490" s="557">
        <f>+L491+L493</f>
        <v>0</v>
      </c>
      <c r="M490" s="3693"/>
      <c r="N490" s="3638"/>
    </row>
    <row r="491" spans="1:15" s="2450" customFormat="1" ht="12.75" hidden="1" customHeight="1">
      <c r="A491" s="3670"/>
      <c r="B491" s="109" t="s">
        <v>97</v>
      </c>
      <c r="C491" s="3722"/>
      <c r="D491" s="206">
        <f>E491+L491+F491+G491+H491+I491+J491+K491</f>
        <v>0</v>
      </c>
      <c r="E491" s="234"/>
      <c r="F491" s="667">
        <v>0</v>
      </c>
      <c r="G491" s="667">
        <v>0</v>
      </c>
      <c r="H491" s="667">
        <v>0</v>
      </c>
      <c r="I491" s="667"/>
      <c r="J491" s="667"/>
      <c r="K491" s="667"/>
      <c r="L491" s="667">
        <v>0</v>
      </c>
      <c r="M491" s="3693"/>
      <c r="N491" s="3638"/>
      <c r="O491" s="2463">
        <v>-14575000</v>
      </c>
    </row>
    <row r="492" spans="1:15" s="2450" customFormat="1" ht="10.5" hidden="1" customHeight="1">
      <c r="A492" s="3670"/>
      <c r="B492" s="668" t="s">
        <v>98</v>
      </c>
      <c r="C492" s="3722"/>
      <c r="D492" s="206">
        <f>E492+L492+F492+G492+H492+I492+J492+K492</f>
        <v>0</v>
      </c>
      <c r="E492" s="234"/>
      <c r="F492" s="667"/>
      <c r="G492" s="667"/>
      <c r="H492" s="667"/>
      <c r="I492" s="667"/>
      <c r="J492" s="667"/>
      <c r="K492" s="667"/>
      <c r="L492" s="667"/>
      <c r="M492" s="3693"/>
      <c r="N492" s="3638"/>
    </row>
    <row r="493" spans="1:15" s="2450" customFormat="1" ht="12.75" hidden="1" customHeight="1">
      <c r="A493" s="3670"/>
      <c r="B493" s="429" t="s">
        <v>96</v>
      </c>
      <c r="C493" s="3722"/>
      <c r="D493" s="206">
        <f>E493+L493+F493+G493+H493+I493+J493+K493</f>
        <v>0</v>
      </c>
      <c r="E493" s="234"/>
      <c r="F493" s="463">
        <v>0</v>
      </c>
      <c r="G493" s="463">
        <v>0</v>
      </c>
      <c r="H493" s="463">
        <v>0</v>
      </c>
      <c r="I493" s="463"/>
      <c r="J493" s="463"/>
      <c r="K493" s="463"/>
      <c r="L493" s="463">
        <v>0</v>
      </c>
      <c r="M493" s="3693"/>
      <c r="N493" s="3638"/>
      <c r="O493" s="2463"/>
    </row>
    <row r="494" spans="1:15" s="666" customFormat="1" ht="12.75" hidden="1" customHeight="1">
      <c r="A494" s="3670"/>
      <c r="B494" s="669" t="s">
        <v>17</v>
      </c>
      <c r="C494" s="3722"/>
      <c r="D494" s="43">
        <f>+D495+D496+D497</f>
        <v>0</v>
      </c>
      <c r="E494" s="558"/>
      <c r="F494" s="558">
        <f>+F496</f>
        <v>0</v>
      </c>
      <c r="G494" s="558">
        <f>+G496</f>
        <v>0</v>
      </c>
      <c r="H494" s="558">
        <f>+H496</f>
        <v>0</v>
      </c>
      <c r="I494" s="558"/>
      <c r="J494" s="558"/>
      <c r="K494" s="558"/>
      <c r="L494" s="558">
        <f>+L496</f>
        <v>0</v>
      </c>
      <c r="M494" s="3693"/>
      <c r="N494" s="3638"/>
    </row>
    <row r="495" spans="1:15" s="666" customFormat="1" ht="10.5" hidden="1" customHeight="1">
      <c r="A495" s="3670"/>
      <c r="B495" s="668" t="s">
        <v>98</v>
      </c>
      <c r="C495" s="3722"/>
      <c r="D495" s="206">
        <f>E495+L495+F495+G495+H495+I495+J495+K495</f>
        <v>0</v>
      </c>
      <c r="E495" s="2492"/>
      <c r="F495" s="670"/>
      <c r="G495" s="670"/>
      <c r="H495" s="670"/>
      <c r="I495" s="670"/>
      <c r="J495" s="670"/>
      <c r="K495" s="670"/>
      <c r="L495" s="670"/>
      <c r="M495" s="3693"/>
      <c r="N495" s="3638"/>
    </row>
    <row r="496" spans="1:15" s="2450" customFormat="1" ht="12.75" hidden="1" customHeight="1">
      <c r="A496" s="3670"/>
      <c r="B496" s="344" t="s">
        <v>19</v>
      </c>
      <c r="C496" s="3722"/>
      <c r="D496" s="206">
        <f>E496+L496+F496+G496+H496+I496+J496+K496</f>
        <v>0</v>
      </c>
      <c r="E496" s="234"/>
      <c r="F496" s="467">
        <v>0</v>
      </c>
      <c r="G496" s="467">
        <v>0</v>
      </c>
      <c r="H496" s="467">
        <v>0</v>
      </c>
      <c r="I496" s="467"/>
      <c r="J496" s="467"/>
      <c r="K496" s="467"/>
      <c r="L496" s="467">
        <v>0</v>
      </c>
      <c r="M496" s="3693"/>
      <c r="N496" s="3638"/>
      <c r="O496" s="2463"/>
    </row>
    <row r="497" spans="1:18" s="2450" customFormat="1" ht="11.25" hidden="1" customHeight="1" thickBot="1">
      <c r="A497" s="3738"/>
      <c r="B497" s="63" t="s">
        <v>70</v>
      </c>
      <c r="C497" s="3723"/>
      <c r="D497" s="206">
        <f>E497+L497+F497+G497+H497+I497+J497+K497</f>
        <v>0</v>
      </c>
      <c r="E497" s="46"/>
      <c r="F497" s="468">
        <v>0</v>
      </c>
      <c r="G497" s="469">
        <v>0</v>
      </c>
      <c r="H497" s="150">
        <v>0</v>
      </c>
      <c r="I497" s="150"/>
      <c r="J497" s="150"/>
      <c r="K497" s="150"/>
      <c r="L497" s="468">
        <v>0</v>
      </c>
      <c r="M497" s="3694"/>
      <c r="N497" s="3022"/>
    </row>
    <row r="498" spans="1:18" hidden="1">
      <c r="A498" s="3669"/>
      <c r="B498" s="232"/>
      <c r="C498" s="48" t="s">
        <v>99</v>
      </c>
      <c r="D498" s="637"/>
      <c r="E498" s="2455"/>
      <c r="F498" s="78"/>
      <c r="G498" s="78"/>
      <c r="H498" s="78"/>
      <c r="I498" s="78"/>
      <c r="J498" s="78"/>
      <c r="K498" s="78"/>
      <c r="L498" s="78"/>
      <c r="M498" s="36"/>
      <c r="N498" s="3724" t="s">
        <v>92</v>
      </c>
      <c r="R498" s="2453"/>
    </row>
    <row r="499" spans="1:18" ht="14.25" hidden="1" customHeight="1">
      <c r="A499" s="3670"/>
      <c r="B499" s="17" t="s">
        <v>9</v>
      </c>
      <c r="C499" s="18"/>
      <c r="D499" s="52">
        <f t="shared" ref="D499" si="298">+D500+D502</f>
        <v>0</v>
      </c>
      <c r="E499" s="52">
        <f>+E500+E502</f>
        <v>0</v>
      </c>
      <c r="F499" s="52"/>
      <c r="G499" s="53"/>
      <c r="H499" s="52"/>
      <c r="I499" s="52"/>
      <c r="J499" s="52"/>
      <c r="K499" s="52"/>
      <c r="L499" s="52"/>
      <c r="M499" s="54">
        <f>+M500+M502</f>
        <v>0</v>
      </c>
      <c r="N499" s="3728"/>
      <c r="O499" s="354" t="e">
        <f>+#REF!+#REF!+L499+F499</f>
        <v>#REF!</v>
      </c>
      <c r="P499" s="354"/>
      <c r="Q499" s="354"/>
      <c r="R499" s="354"/>
    </row>
    <row r="500" spans="1:18" ht="14.25" hidden="1" customHeight="1">
      <c r="A500" s="3670"/>
      <c r="B500" s="144" t="s">
        <v>22</v>
      </c>
      <c r="C500" s="3712" t="s">
        <v>89</v>
      </c>
      <c r="D500" s="55">
        <f>+D501</f>
        <v>0</v>
      </c>
      <c r="E500" s="55">
        <f t="shared" ref="E500" si="299">+E501</f>
        <v>0</v>
      </c>
      <c r="F500" s="55"/>
      <c r="G500" s="79"/>
      <c r="H500" s="55"/>
      <c r="I500" s="55"/>
      <c r="J500" s="55"/>
      <c r="K500" s="55"/>
      <c r="L500" s="55"/>
      <c r="M500" s="65">
        <f>+M501</f>
        <v>0</v>
      </c>
      <c r="N500" s="3728"/>
      <c r="O500" s="354"/>
    </row>
    <row r="501" spans="1:18" hidden="1">
      <c r="A501" s="3670"/>
      <c r="B501" s="339" t="s">
        <v>11</v>
      </c>
      <c r="C501" s="3665"/>
      <c r="D501" s="206">
        <f>E501+L501+F501+G501+H501+I501+J501+K501</f>
        <v>0</v>
      </c>
      <c r="E501" s="234"/>
      <c r="F501" s="39"/>
      <c r="G501" s="38"/>
      <c r="H501" s="39"/>
      <c r="I501" s="39"/>
      <c r="J501" s="39"/>
      <c r="K501" s="39"/>
      <c r="L501" s="39"/>
      <c r="M501" s="2488">
        <f>SUM(F501:H501)</f>
        <v>0</v>
      </c>
      <c r="N501" s="3728"/>
    </row>
    <row r="502" spans="1:18" ht="14.25" hidden="1" customHeight="1">
      <c r="A502" s="3670"/>
      <c r="B502" s="357" t="s">
        <v>17</v>
      </c>
      <c r="C502" s="3665"/>
      <c r="D502" s="40">
        <f>+D503</f>
        <v>0</v>
      </c>
      <c r="E502" s="40">
        <f t="shared" ref="E502" si="300">+E503</f>
        <v>0</v>
      </c>
      <c r="F502" s="40"/>
      <c r="G502" s="41"/>
      <c r="H502" s="40"/>
      <c r="I502" s="40"/>
      <c r="J502" s="40"/>
      <c r="K502" s="40"/>
      <c r="L502" s="40"/>
      <c r="M502" s="65">
        <f>+M503</f>
        <v>0</v>
      </c>
      <c r="N502" s="3728"/>
    </row>
    <row r="503" spans="1:18" hidden="1">
      <c r="A503" s="3670"/>
      <c r="B503" s="638" t="s">
        <v>19</v>
      </c>
      <c r="C503" s="3665"/>
      <c r="D503" s="206">
        <f>E503+L503+F503+G503+H503+I503+J503+K503</f>
        <v>0</v>
      </c>
      <c r="E503" s="234"/>
      <c r="F503" s="39"/>
      <c r="G503" s="38"/>
      <c r="H503" s="39"/>
      <c r="I503" s="39"/>
      <c r="J503" s="39"/>
      <c r="K503" s="39"/>
      <c r="L503" s="39"/>
      <c r="M503" s="2488">
        <f>SUM(F503:H503)</f>
        <v>0</v>
      </c>
      <c r="N503" s="3728"/>
    </row>
    <row r="504" spans="1:18" ht="14.25" hidden="1" customHeight="1">
      <c r="A504" s="3671"/>
      <c r="B504" s="17" t="s">
        <v>20</v>
      </c>
      <c r="C504" s="18"/>
      <c r="D504" s="170">
        <f>+D505</f>
        <v>0</v>
      </c>
      <c r="E504" s="170">
        <f t="shared" ref="E504" si="301">+E505</f>
        <v>0</v>
      </c>
      <c r="F504" s="170"/>
      <c r="G504" s="171"/>
      <c r="H504" s="170"/>
      <c r="I504" s="170"/>
      <c r="J504" s="170"/>
      <c r="K504" s="170"/>
      <c r="L504" s="170"/>
      <c r="M504" s="3716" t="s">
        <v>21</v>
      </c>
      <c r="N504" s="3729"/>
      <c r="O504" s="354"/>
    </row>
    <row r="505" spans="1:18" s="2450" customFormat="1" ht="14.25" hidden="1" customHeight="1">
      <c r="A505" s="3671"/>
      <c r="B505" s="357" t="s">
        <v>17</v>
      </c>
      <c r="C505" s="3712" t="s">
        <v>89</v>
      </c>
      <c r="D505" s="557">
        <f>+D506</f>
        <v>0</v>
      </c>
      <c r="E505" s="557"/>
      <c r="F505" s="557"/>
      <c r="G505" s="558"/>
      <c r="H505" s="557"/>
      <c r="I505" s="557"/>
      <c r="J505" s="557"/>
      <c r="K505" s="557"/>
      <c r="L505" s="557"/>
      <c r="M505" s="3717"/>
      <c r="N505" s="3729"/>
    </row>
    <row r="506" spans="1:18" s="2450" customFormat="1" ht="14.25" hidden="1" customHeight="1" thickBot="1">
      <c r="A506" s="3672"/>
      <c r="B506" s="45" t="s">
        <v>19</v>
      </c>
      <c r="C506" s="3666"/>
      <c r="D506" s="206">
        <f>E506+L506+F506+G506+H506+I506+J506+K506</f>
        <v>0</v>
      </c>
      <c r="E506" s="2493"/>
      <c r="F506" s="364"/>
      <c r="G506" s="364"/>
      <c r="H506" s="364"/>
      <c r="I506" s="364"/>
      <c r="J506" s="364"/>
      <c r="K506" s="364"/>
      <c r="L506" s="364"/>
      <c r="M506" s="3718"/>
      <c r="N506" s="3730"/>
    </row>
    <row r="507" spans="1:18" ht="27.75" hidden="1" customHeight="1">
      <c r="A507" s="3734" t="s">
        <v>247</v>
      </c>
      <c r="B507" s="177" t="s">
        <v>215</v>
      </c>
      <c r="C507" s="671"/>
      <c r="D507" s="649"/>
      <c r="E507" s="650"/>
      <c r="F507" s="650"/>
      <c r="G507" s="650"/>
      <c r="H507" s="650"/>
      <c r="I507" s="650"/>
      <c r="J507" s="650"/>
      <c r="K507" s="650"/>
      <c r="L507" s="650"/>
      <c r="M507" s="2494"/>
      <c r="N507" s="3839"/>
    </row>
    <row r="508" spans="1:18" ht="14.25" hidden="1" customHeight="1">
      <c r="A508" s="3735"/>
      <c r="B508" s="17" t="s">
        <v>9</v>
      </c>
      <c r="C508" s="112"/>
      <c r="D508" s="106">
        <f>+D509+D511</f>
        <v>0</v>
      </c>
      <c r="E508" s="106">
        <f t="shared" ref="E508:M508" si="302">+E509+E511</f>
        <v>0</v>
      </c>
      <c r="F508" s="106">
        <f t="shared" si="302"/>
        <v>0</v>
      </c>
      <c r="G508" s="106">
        <f t="shared" si="302"/>
        <v>0</v>
      </c>
      <c r="H508" s="106">
        <f t="shared" si="302"/>
        <v>0</v>
      </c>
      <c r="I508" s="106">
        <f t="shared" si="302"/>
        <v>0</v>
      </c>
      <c r="J508" s="106">
        <f t="shared" si="302"/>
        <v>0</v>
      </c>
      <c r="K508" s="106">
        <f t="shared" si="302"/>
        <v>0</v>
      </c>
      <c r="L508" s="106">
        <f>+L509+L511</f>
        <v>0</v>
      </c>
      <c r="M508" s="54">
        <f t="shared" si="302"/>
        <v>0</v>
      </c>
      <c r="N508" s="3840"/>
      <c r="O508" s="354" t="e">
        <f>+#REF!+#REF!+L508+F508</f>
        <v>#REF!</v>
      </c>
    </row>
    <row r="509" spans="1:18" ht="13.5" hidden="1" customHeight="1">
      <c r="A509" s="3735"/>
      <c r="B509" s="672" t="s">
        <v>22</v>
      </c>
      <c r="C509" s="113"/>
      <c r="D509" s="98">
        <f>+D510</f>
        <v>0</v>
      </c>
      <c r="E509" s="98">
        <f t="shared" ref="E509:M509" si="303">+E510</f>
        <v>0</v>
      </c>
      <c r="F509" s="98">
        <f t="shared" si="303"/>
        <v>0</v>
      </c>
      <c r="G509" s="98">
        <f t="shared" si="303"/>
        <v>0</v>
      </c>
      <c r="H509" s="98">
        <f t="shared" si="303"/>
        <v>0</v>
      </c>
      <c r="I509" s="98">
        <f t="shared" si="303"/>
        <v>0</v>
      </c>
      <c r="J509" s="98">
        <f t="shared" si="303"/>
        <v>0</v>
      </c>
      <c r="K509" s="98">
        <f t="shared" si="303"/>
        <v>0</v>
      </c>
      <c r="L509" s="98">
        <f>+L510</f>
        <v>0</v>
      </c>
      <c r="M509" s="2454">
        <f t="shared" si="303"/>
        <v>0</v>
      </c>
      <c r="N509" s="3840"/>
    </row>
    <row r="510" spans="1:18" hidden="1">
      <c r="A510" s="3735"/>
      <c r="B510" s="217" t="s">
        <v>11</v>
      </c>
      <c r="C510" s="114"/>
      <c r="D510" s="27">
        <f>+D519</f>
        <v>0</v>
      </c>
      <c r="E510" s="27">
        <f>+E519</f>
        <v>0</v>
      </c>
      <c r="F510" s="27">
        <f t="shared" ref="F510:H510" si="304">+F519</f>
        <v>0</v>
      </c>
      <c r="G510" s="27">
        <f t="shared" si="304"/>
        <v>0</v>
      </c>
      <c r="H510" s="27">
        <f t="shared" si="304"/>
        <v>0</v>
      </c>
      <c r="I510" s="27">
        <f>+I519</f>
        <v>0</v>
      </c>
      <c r="J510" s="27">
        <f>+J519</f>
        <v>0</v>
      </c>
      <c r="K510" s="27">
        <f>+K519</f>
        <v>0</v>
      </c>
      <c r="L510" s="27">
        <f>+L519</f>
        <v>0</v>
      </c>
      <c r="M510" s="2488">
        <f>SUM(F510:H510)</f>
        <v>0</v>
      </c>
      <c r="N510" s="3840"/>
    </row>
    <row r="511" spans="1:18" ht="14.25" hidden="1" customHeight="1">
      <c r="A511" s="3735"/>
      <c r="B511" s="673" t="s">
        <v>17</v>
      </c>
      <c r="C511" s="115"/>
      <c r="D511" s="26">
        <f>+D512</f>
        <v>0</v>
      </c>
      <c r="E511" s="26">
        <f t="shared" ref="E511:M511" si="305">+E512</f>
        <v>0</v>
      </c>
      <c r="F511" s="26">
        <f t="shared" si="305"/>
        <v>0</v>
      </c>
      <c r="G511" s="26">
        <f t="shared" si="305"/>
        <v>0</v>
      </c>
      <c r="H511" s="26">
        <f t="shared" si="305"/>
        <v>0</v>
      </c>
      <c r="I511" s="26">
        <f t="shared" si="305"/>
        <v>0</v>
      </c>
      <c r="J511" s="26">
        <f t="shared" si="305"/>
        <v>0</v>
      </c>
      <c r="K511" s="26">
        <f t="shared" si="305"/>
        <v>0</v>
      </c>
      <c r="L511" s="26">
        <f>+L512</f>
        <v>0</v>
      </c>
      <c r="M511" s="2454">
        <f t="shared" si="305"/>
        <v>0</v>
      </c>
      <c r="N511" s="3840"/>
    </row>
    <row r="512" spans="1:18" ht="11.25" hidden="1" customHeight="1">
      <c r="A512" s="3735"/>
      <c r="B512" s="218" t="s">
        <v>18</v>
      </c>
      <c r="C512" s="114"/>
      <c r="D512" s="27">
        <f>+D521</f>
        <v>0</v>
      </c>
      <c r="E512" s="27">
        <f t="shared" ref="E512:H512" si="306">+E521</f>
        <v>0</v>
      </c>
      <c r="F512" s="27">
        <f t="shared" si="306"/>
        <v>0</v>
      </c>
      <c r="G512" s="27">
        <f t="shared" si="306"/>
        <v>0</v>
      </c>
      <c r="H512" s="27">
        <f t="shared" si="306"/>
        <v>0</v>
      </c>
      <c r="I512" s="27">
        <f>+I521</f>
        <v>0</v>
      </c>
      <c r="J512" s="27">
        <f>+J521</f>
        <v>0</v>
      </c>
      <c r="K512" s="27">
        <f>+K521</f>
        <v>0</v>
      </c>
      <c r="L512" s="27">
        <f>+L521</f>
        <v>0</v>
      </c>
      <c r="M512" s="2488">
        <f>SUM(F512:H512)</f>
        <v>0</v>
      </c>
      <c r="N512" s="3840"/>
    </row>
    <row r="513" spans="1:18" ht="13.5" hidden="1" customHeight="1">
      <c r="A513" s="3735"/>
      <c r="B513" s="17" t="s">
        <v>20</v>
      </c>
      <c r="C513" s="112"/>
      <c r="D513" s="106">
        <f>+D514</f>
        <v>0</v>
      </c>
      <c r="E513" s="106">
        <f>+E514</f>
        <v>0</v>
      </c>
      <c r="F513" s="106">
        <f t="shared" ref="F513:K514" si="307">+F514</f>
        <v>0</v>
      </c>
      <c r="G513" s="106">
        <f t="shared" si="307"/>
        <v>0</v>
      </c>
      <c r="H513" s="106">
        <f t="shared" si="307"/>
        <v>0</v>
      </c>
      <c r="I513" s="106">
        <f t="shared" si="307"/>
        <v>0</v>
      </c>
      <c r="J513" s="106">
        <f t="shared" si="307"/>
        <v>0</v>
      </c>
      <c r="K513" s="106">
        <f t="shared" si="307"/>
        <v>0</v>
      </c>
      <c r="L513" s="106">
        <f>+L514</f>
        <v>0</v>
      </c>
      <c r="M513" s="3716" t="s">
        <v>21</v>
      </c>
      <c r="N513" s="3840"/>
    </row>
    <row r="514" spans="1:18" ht="12" hidden="1" customHeight="1">
      <c r="A514" s="3735"/>
      <c r="B514" s="674" t="s">
        <v>17</v>
      </c>
      <c r="C514" s="113"/>
      <c r="D514" s="98">
        <f>+D515</f>
        <v>0</v>
      </c>
      <c r="E514" s="98">
        <f>+E515</f>
        <v>0</v>
      </c>
      <c r="F514" s="98">
        <f t="shared" si="307"/>
        <v>0</v>
      </c>
      <c r="G514" s="98">
        <f t="shared" si="307"/>
        <v>0</v>
      </c>
      <c r="H514" s="98">
        <f t="shared" si="307"/>
        <v>0</v>
      </c>
      <c r="I514" s="98">
        <f t="shared" si="307"/>
        <v>0</v>
      </c>
      <c r="J514" s="98">
        <f t="shared" si="307"/>
        <v>0</v>
      </c>
      <c r="K514" s="98">
        <f t="shared" si="307"/>
        <v>0</v>
      </c>
      <c r="L514" s="98">
        <f>+L515</f>
        <v>0</v>
      </c>
      <c r="M514" s="3717"/>
      <c r="N514" s="3840"/>
    </row>
    <row r="515" spans="1:18" ht="13.5" hidden="1" customHeight="1" thickBot="1">
      <c r="A515" s="3736"/>
      <c r="B515" s="218" t="s">
        <v>18</v>
      </c>
      <c r="C515" s="114"/>
      <c r="D515" s="27">
        <f>+D524</f>
        <v>0</v>
      </c>
      <c r="E515" s="27">
        <f t="shared" ref="E515:H515" si="308">+E524</f>
        <v>0</v>
      </c>
      <c r="F515" s="27">
        <f t="shared" si="308"/>
        <v>0</v>
      </c>
      <c r="G515" s="208">
        <f t="shared" si="308"/>
        <v>0</v>
      </c>
      <c r="H515" s="209">
        <f t="shared" si="308"/>
        <v>0</v>
      </c>
      <c r="I515" s="209">
        <f>+I524</f>
        <v>0</v>
      </c>
      <c r="J515" s="209">
        <f>+J524</f>
        <v>0</v>
      </c>
      <c r="K515" s="209">
        <f>+K524</f>
        <v>0</v>
      </c>
      <c r="L515" s="27">
        <f>+L524</f>
        <v>0</v>
      </c>
      <c r="M515" s="3718"/>
      <c r="N515" s="3841"/>
    </row>
    <row r="516" spans="1:18" hidden="1">
      <c r="A516" s="3669" t="s">
        <v>261</v>
      </c>
      <c r="B516" s="232"/>
      <c r="C516" s="48" t="s">
        <v>99</v>
      </c>
      <c r="D516" s="637"/>
      <c r="E516" s="2455"/>
      <c r="F516" s="78"/>
      <c r="G516" s="78"/>
      <c r="H516" s="78"/>
      <c r="I516" s="78"/>
      <c r="J516" s="78"/>
      <c r="K516" s="78"/>
      <c r="L516" s="78"/>
      <c r="M516" s="36"/>
      <c r="N516" s="3724" t="s">
        <v>100</v>
      </c>
      <c r="R516" s="2453"/>
    </row>
    <row r="517" spans="1:18" ht="14.25" hidden="1" customHeight="1">
      <c r="A517" s="3670"/>
      <c r="B517" s="475" t="s">
        <v>9</v>
      </c>
      <c r="C517" s="1177"/>
      <c r="D517" s="1191">
        <f>+D518+D520</f>
        <v>0</v>
      </c>
      <c r="E517" s="1191">
        <f t="shared" ref="E517:M517" si="309">+E518+E520</f>
        <v>0</v>
      </c>
      <c r="F517" s="1417">
        <f t="shared" si="309"/>
        <v>0</v>
      </c>
      <c r="G517" s="1417">
        <f t="shared" si="309"/>
        <v>0</v>
      </c>
      <c r="H517" s="1417">
        <f t="shared" si="309"/>
        <v>0</v>
      </c>
      <c r="I517" s="1417">
        <f t="shared" si="309"/>
        <v>0</v>
      </c>
      <c r="J517" s="1417">
        <f t="shared" si="309"/>
        <v>0</v>
      </c>
      <c r="K517" s="1417">
        <f t="shared" si="309"/>
        <v>0</v>
      </c>
      <c r="L517" s="1417">
        <f>+L518+L520</f>
        <v>0</v>
      </c>
      <c r="M517" s="1179">
        <f t="shared" si="309"/>
        <v>0</v>
      </c>
      <c r="N517" s="3728"/>
      <c r="O517" s="354" t="e">
        <f>+#REF!+#REF!+L517+F517</f>
        <v>#REF!</v>
      </c>
      <c r="P517" s="354"/>
      <c r="Q517" s="354"/>
      <c r="R517" s="354"/>
    </row>
    <row r="518" spans="1:18" ht="14.25" hidden="1" customHeight="1">
      <c r="A518" s="3670"/>
      <c r="B518" s="453" t="s">
        <v>22</v>
      </c>
      <c r="C518" s="3664" t="s">
        <v>101</v>
      </c>
      <c r="D518" s="1192">
        <f>+D519</f>
        <v>0</v>
      </c>
      <c r="E518" s="1192">
        <f t="shared" ref="E518:M518" si="310">+E519</f>
        <v>0</v>
      </c>
      <c r="F518" s="1418">
        <f t="shared" si="310"/>
        <v>0</v>
      </c>
      <c r="G518" s="1418">
        <f t="shared" si="310"/>
        <v>0</v>
      </c>
      <c r="H518" s="1418">
        <f t="shared" si="310"/>
        <v>0</v>
      </c>
      <c r="I518" s="1418">
        <f t="shared" si="310"/>
        <v>0</v>
      </c>
      <c r="J518" s="1418">
        <f t="shared" si="310"/>
        <v>0</v>
      </c>
      <c r="K518" s="1418">
        <f t="shared" si="310"/>
        <v>0</v>
      </c>
      <c r="L518" s="1418">
        <f>+L519</f>
        <v>0</v>
      </c>
      <c r="M518" s="1182">
        <f t="shared" si="310"/>
        <v>0</v>
      </c>
      <c r="N518" s="3728"/>
      <c r="O518" s="354"/>
    </row>
    <row r="519" spans="1:18" ht="14.25" hidden="1" customHeight="1">
      <c r="A519" s="3670"/>
      <c r="B519" s="713" t="s">
        <v>11</v>
      </c>
      <c r="C519" s="3665"/>
      <c r="D519" s="1115">
        <f>E519+L519+F519+G519+H519+I519+J519+K519</f>
        <v>0</v>
      </c>
      <c r="E519" s="1155"/>
      <c r="F519" s="1215">
        <v>0</v>
      </c>
      <c r="G519" s="1215">
        <v>0</v>
      </c>
      <c r="H519" s="1215">
        <v>0</v>
      </c>
      <c r="I519" s="1215">
        <v>0</v>
      </c>
      <c r="J519" s="1215">
        <v>0</v>
      </c>
      <c r="K519" s="1215">
        <v>0</v>
      </c>
      <c r="L519" s="1215">
        <v>0</v>
      </c>
      <c r="M519" s="1195">
        <f>SUM(F519:H519)</f>
        <v>0</v>
      </c>
      <c r="N519" s="3728"/>
    </row>
    <row r="520" spans="1:18" ht="14.25" hidden="1" customHeight="1">
      <c r="A520" s="3670"/>
      <c r="B520" s="709" t="s">
        <v>17</v>
      </c>
      <c r="C520" s="3665"/>
      <c r="D520" s="1181">
        <f t="shared" ref="D520:M520" si="311">+D521</f>
        <v>0</v>
      </c>
      <c r="E520" s="1181">
        <f t="shared" si="311"/>
        <v>0</v>
      </c>
      <c r="F520" s="1419">
        <f t="shared" si="311"/>
        <v>0</v>
      </c>
      <c r="G520" s="1419">
        <f t="shared" si="311"/>
        <v>0</v>
      </c>
      <c r="H520" s="1419">
        <f t="shared" si="311"/>
        <v>0</v>
      </c>
      <c r="I520" s="1419">
        <f t="shared" si="311"/>
        <v>0</v>
      </c>
      <c r="J520" s="1419">
        <f t="shared" si="311"/>
        <v>0</v>
      </c>
      <c r="K520" s="1419">
        <f t="shared" si="311"/>
        <v>0</v>
      </c>
      <c r="L520" s="1419">
        <f>+L521</f>
        <v>0</v>
      </c>
      <c r="M520" s="1182">
        <f t="shared" si="311"/>
        <v>0</v>
      </c>
      <c r="N520" s="3728"/>
    </row>
    <row r="521" spans="1:18" ht="14.25" hidden="1" customHeight="1">
      <c r="A521" s="3670"/>
      <c r="B521" s="1420" t="s">
        <v>18</v>
      </c>
      <c r="C521" s="3665"/>
      <c r="D521" s="1115">
        <f>E521+L521+F521+G521+H521+I521+J521+K521</f>
        <v>0</v>
      </c>
      <c r="E521" s="1155">
        <v>0</v>
      </c>
      <c r="F521" s="1215">
        <v>0</v>
      </c>
      <c r="G521" s="1215">
        <v>0</v>
      </c>
      <c r="H521" s="1215">
        <v>0</v>
      </c>
      <c r="I521" s="1215">
        <v>0</v>
      </c>
      <c r="J521" s="1215">
        <v>0</v>
      </c>
      <c r="K521" s="1215">
        <v>0</v>
      </c>
      <c r="L521" s="1215">
        <v>0</v>
      </c>
      <c r="M521" s="1195">
        <f>SUM(F521:H521)</f>
        <v>0</v>
      </c>
      <c r="N521" s="3728"/>
    </row>
    <row r="522" spans="1:18" ht="14.25" hidden="1" customHeight="1">
      <c r="A522" s="3671"/>
      <c r="B522" s="475" t="s">
        <v>20</v>
      </c>
      <c r="C522" s="1177"/>
      <c r="D522" s="1178">
        <f>+D523</f>
        <v>0</v>
      </c>
      <c r="E522" s="1178">
        <f t="shared" ref="E522:K523" si="312">+E523</f>
        <v>0</v>
      </c>
      <c r="F522" s="1421">
        <f t="shared" si="312"/>
        <v>0</v>
      </c>
      <c r="G522" s="1421">
        <f t="shared" si="312"/>
        <v>0</v>
      </c>
      <c r="H522" s="1421">
        <f t="shared" si="312"/>
        <v>0</v>
      </c>
      <c r="I522" s="1421">
        <f t="shared" si="312"/>
        <v>0</v>
      </c>
      <c r="J522" s="1421">
        <f t="shared" si="312"/>
        <v>0</v>
      </c>
      <c r="K522" s="1421">
        <f t="shared" si="312"/>
        <v>0</v>
      </c>
      <c r="L522" s="1421">
        <f>+L523</f>
        <v>0</v>
      </c>
      <c r="M522" s="3757" t="s">
        <v>21</v>
      </c>
      <c r="N522" s="3729"/>
    </row>
    <row r="523" spans="1:18" s="2450" customFormat="1" ht="14.25" hidden="1" customHeight="1">
      <c r="A523" s="3671"/>
      <c r="B523" s="709" t="s">
        <v>17</v>
      </c>
      <c r="C523" s="3664" t="s">
        <v>102</v>
      </c>
      <c r="D523" s="1198">
        <f>+D524</f>
        <v>0</v>
      </c>
      <c r="E523" s="1204">
        <f t="shared" si="312"/>
        <v>0</v>
      </c>
      <c r="F523" s="1422">
        <f t="shared" si="312"/>
        <v>0</v>
      </c>
      <c r="G523" s="1422">
        <f t="shared" si="312"/>
        <v>0</v>
      </c>
      <c r="H523" s="1422">
        <f t="shared" si="312"/>
        <v>0</v>
      </c>
      <c r="I523" s="1422">
        <f t="shared" si="312"/>
        <v>0</v>
      </c>
      <c r="J523" s="1422">
        <f t="shared" si="312"/>
        <v>0</v>
      </c>
      <c r="K523" s="1422">
        <f t="shared" si="312"/>
        <v>0</v>
      </c>
      <c r="L523" s="1422">
        <f>+L524</f>
        <v>0</v>
      </c>
      <c r="M523" s="3717"/>
      <c r="N523" s="3729"/>
    </row>
    <row r="524" spans="1:18" s="2450" customFormat="1" ht="14.25" hidden="1" customHeight="1" thickBot="1">
      <c r="A524" s="3672"/>
      <c r="B524" s="603" t="s">
        <v>18</v>
      </c>
      <c r="C524" s="3666"/>
      <c r="D524" s="1262">
        <f>E524+L524+F524+G524+H524+I524+J524+K524</f>
        <v>0</v>
      </c>
      <c r="E524" s="1410">
        <v>0</v>
      </c>
      <c r="F524" s="675">
        <v>0</v>
      </c>
      <c r="G524" s="675">
        <v>0</v>
      </c>
      <c r="H524" s="675">
        <v>0</v>
      </c>
      <c r="I524" s="675">
        <v>0</v>
      </c>
      <c r="J524" s="675">
        <v>0</v>
      </c>
      <c r="K524" s="675">
        <v>0</v>
      </c>
      <c r="L524" s="675">
        <v>0</v>
      </c>
      <c r="M524" s="3718"/>
      <c r="N524" s="3730"/>
      <c r="O524" s="2463">
        <f>D524-D521</f>
        <v>0</v>
      </c>
    </row>
    <row r="525" spans="1:18" ht="21" customHeight="1" thickBot="1">
      <c r="A525" s="116" t="s">
        <v>103</v>
      </c>
      <c r="B525" s="117"/>
      <c r="C525" s="118"/>
      <c r="D525" s="119"/>
      <c r="E525" s="119"/>
      <c r="F525" s="118"/>
      <c r="G525" s="118"/>
      <c r="H525" s="118"/>
      <c r="I525" s="118"/>
      <c r="J525" s="118"/>
      <c r="K525" s="118"/>
      <c r="L525" s="118"/>
      <c r="M525" s="118"/>
      <c r="N525" s="120"/>
    </row>
    <row r="526" spans="1:18" s="678" customFormat="1" ht="15.75" customHeight="1">
      <c r="A526" s="3660"/>
      <c r="B526" s="178" t="s">
        <v>67</v>
      </c>
      <c r="C526" s="2401"/>
      <c r="D526" s="180">
        <f>+D527+D528</f>
        <v>1177212317</v>
      </c>
      <c r="E526" s="180">
        <f t="shared" ref="E526" si="313">+E527+E528</f>
        <v>528359806</v>
      </c>
      <c r="F526" s="180">
        <f t="shared" ref="F526:K526" si="314">+F527+F528</f>
        <v>191426810</v>
      </c>
      <c r="G526" s="180">
        <f t="shared" si="314"/>
        <v>205016056</v>
      </c>
      <c r="H526" s="180">
        <f t="shared" si="314"/>
        <v>179727493</v>
      </c>
      <c r="I526" s="180">
        <f t="shared" si="314"/>
        <v>54883210</v>
      </c>
      <c r="J526" s="180">
        <f t="shared" si="314"/>
        <v>17798942</v>
      </c>
      <c r="K526" s="180">
        <f t="shared" si="314"/>
        <v>0</v>
      </c>
      <c r="L526" s="180">
        <f t="shared" ref="L526" si="315">+L527+L528</f>
        <v>0</v>
      </c>
      <c r="M526" s="12">
        <f>+M527+M528</f>
        <v>457425701</v>
      </c>
      <c r="N526" s="3568"/>
      <c r="O526" s="677"/>
    </row>
    <row r="527" spans="1:18" s="678" customFormat="1" ht="11.25" customHeight="1">
      <c r="A527" s="3661"/>
      <c r="B527" s="181" t="s">
        <v>68</v>
      </c>
      <c r="C527" s="2402"/>
      <c r="D527" s="183">
        <f t="shared" ref="D527:K527" si="316">D542+D601+D605+D618+D626+D638+D642+D650</f>
        <v>968098670</v>
      </c>
      <c r="E527" s="183">
        <f t="shared" ref="E527" si="317">E542+E601+E605+E618+E626+E638+E642+E650</f>
        <v>454065276</v>
      </c>
      <c r="F527" s="183">
        <f t="shared" si="316"/>
        <v>141168222</v>
      </c>
      <c r="G527" s="183">
        <f t="shared" si="316"/>
        <v>157563254</v>
      </c>
      <c r="H527" s="183">
        <f t="shared" si="316"/>
        <v>144689766</v>
      </c>
      <c r="I527" s="183">
        <f t="shared" si="316"/>
        <v>52813210</v>
      </c>
      <c r="J527" s="183">
        <f t="shared" si="316"/>
        <v>17798942</v>
      </c>
      <c r="K527" s="183">
        <f t="shared" si="316"/>
        <v>0</v>
      </c>
      <c r="L527" s="183">
        <f>L542+L601+L605+L618+L626+L638+L642+L650</f>
        <v>0</v>
      </c>
      <c r="M527" s="14">
        <f>M542+M601+M605+M618+M626+M638+M642+M650</f>
        <v>372865172</v>
      </c>
      <c r="N527" s="676"/>
      <c r="O527" s="677"/>
    </row>
    <row r="528" spans="1:18" s="678" customFormat="1" ht="13.5" customHeight="1">
      <c r="A528" s="3661"/>
      <c r="B528" s="604" t="s">
        <v>8</v>
      </c>
      <c r="C528" s="679"/>
      <c r="D528" s="680">
        <f t="shared" ref="D528:K528" si="318">D555+D563+D567+D579+D594+D634+D646+D658+D666+D673+D677</f>
        <v>209113647</v>
      </c>
      <c r="E528" s="680">
        <f t="shared" si="318"/>
        <v>74294530</v>
      </c>
      <c r="F528" s="680">
        <f t="shared" si="318"/>
        <v>50258588</v>
      </c>
      <c r="G528" s="680">
        <f t="shared" si="318"/>
        <v>47452802</v>
      </c>
      <c r="H528" s="680">
        <f t="shared" si="318"/>
        <v>35037727</v>
      </c>
      <c r="I528" s="680">
        <f t="shared" si="318"/>
        <v>2070000</v>
      </c>
      <c r="J528" s="680">
        <f t="shared" si="318"/>
        <v>0</v>
      </c>
      <c r="K528" s="680">
        <f t="shared" si="318"/>
        <v>0</v>
      </c>
      <c r="L528" s="680">
        <f>L555+L563+L567+L579+L594+L634+L646+L658+L666+L673</f>
        <v>0</v>
      </c>
      <c r="M528" s="14">
        <f>M555+M563+M567+M579+M594+M634+M646+M658+M666+M673+M677</f>
        <v>84560529</v>
      </c>
      <c r="N528" s="676"/>
      <c r="O528" s="677"/>
    </row>
    <row r="529" spans="1:16" s="678" customFormat="1" ht="14.25" customHeight="1">
      <c r="A529" s="3661"/>
      <c r="B529" s="1176" t="s">
        <v>9</v>
      </c>
      <c r="C529" s="1999"/>
      <c r="D529" s="1213">
        <f>+D530</f>
        <v>1177212317</v>
      </c>
      <c r="E529" s="1213">
        <f t="shared" ref="E529:K530" si="319">+E530</f>
        <v>528359806</v>
      </c>
      <c r="F529" s="1213">
        <f t="shared" si="319"/>
        <v>191426810</v>
      </c>
      <c r="G529" s="1213">
        <f t="shared" si="319"/>
        <v>205016056</v>
      </c>
      <c r="H529" s="1213">
        <f t="shared" si="319"/>
        <v>179727493</v>
      </c>
      <c r="I529" s="1213">
        <f t="shared" si="319"/>
        <v>54883210</v>
      </c>
      <c r="J529" s="1213">
        <f t="shared" si="319"/>
        <v>17798942</v>
      </c>
      <c r="K529" s="1213">
        <f t="shared" si="319"/>
        <v>0</v>
      </c>
      <c r="L529" s="1213">
        <f>+L530</f>
        <v>0</v>
      </c>
      <c r="M529" s="1223">
        <f>+M530</f>
        <v>457425701</v>
      </c>
      <c r="N529" s="681"/>
      <c r="O529" s="677">
        <f>M529-M526</f>
        <v>0</v>
      </c>
    </row>
    <row r="530" spans="1:16" s="683" customFormat="1" ht="12">
      <c r="A530" s="3661"/>
      <c r="B530" s="3569" t="s">
        <v>22</v>
      </c>
      <c r="C530" s="3570"/>
      <c r="D530" s="2772">
        <f>SUM(D531:D534)</f>
        <v>1177212317</v>
      </c>
      <c r="E530" s="2772">
        <f t="shared" ref="E530" si="320">SUM(E531:E534)</f>
        <v>528359806</v>
      </c>
      <c r="F530" s="2772">
        <f t="shared" ref="F530:H530" si="321">SUM(F531:F534)</f>
        <v>191426810</v>
      </c>
      <c r="G530" s="2772">
        <f t="shared" si="321"/>
        <v>205016056</v>
      </c>
      <c r="H530" s="2772">
        <f t="shared" si="321"/>
        <v>179727493</v>
      </c>
      <c r="I530" s="2772">
        <f t="shared" si="319"/>
        <v>54883210</v>
      </c>
      <c r="J530" s="2772">
        <f t="shared" si="319"/>
        <v>17798942</v>
      </c>
      <c r="K530" s="2772">
        <f t="shared" si="319"/>
        <v>0</v>
      </c>
      <c r="L530" s="2772">
        <f>SUM(L531:L534)</f>
        <v>0</v>
      </c>
      <c r="M530" s="1182">
        <f>SUM(M531:M534)</f>
        <v>457425701</v>
      </c>
      <c r="N530" s="1815"/>
      <c r="O530" s="682"/>
    </row>
    <row r="531" spans="1:16" s="678" customFormat="1" thickBot="1">
      <c r="A531" s="3661"/>
      <c r="B531" s="2818" t="s">
        <v>11</v>
      </c>
      <c r="C531" s="2243"/>
      <c r="D531" s="3571">
        <f t="shared" ref="D531:K531" si="322">+D544+D553+D557+D565+D569+D675+D573+D581+D588+D603+D607+D616+D620+D628+D636+D644+D596+D640+D648+D652+D660+D668+D679</f>
        <v>1049997050</v>
      </c>
      <c r="E531" s="3571">
        <f t="shared" si="322"/>
        <v>486236306</v>
      </c>
      <c r="F531" s="3571">
        <f t="shared" si="322"/>
        <v>144394872</v>
      </c>
      <c r="G531" s="3571">
        <f>+G544+G553+G557+G565+G569+G675+G573+G581+G588+G603+G607+G616+G620+G628+G636+G644+G596+G640+G648+G652+G660+G668+G679</f>
        <v>176196903</v>
      </c>
      <c r="H531" s="3571">
        <f t="shared" si="322"/>
        <v>170486817</v>
      </c>
      <c r="I531" s="3571">
        <f t="shared" si="322"/>
        <v>54883210</v>
      </c>
      <c r="J531" s="3571">
        <f t="shared" si="322"/>
        <v>17798942</v>
      </c>
      <c r="K531" s="3571">
        <f t="shared" si="322"/>
        <v>0</v>
      </c>
      <c r="L531" s="3571">
        <f>+L544+L553+L557+L565+L569+L675+L573+L581+L588+L603+L607+L616+L620+L628+L636+L644+L596+L640+L648+L652+L660+L668</f>
        <v>0</v>
      </c>
      <c r="M531" s="1195">
        <f>SUM(G531:K531)</f>
        <v>419365872</v>
      </c>
      <c r="N531" s="3662"/>
      <c r="O531" s="677"/>
    </row>
    <row r="532" spans="1:16" s="678" customFormat="1" thickBot="1">
      <c r="A532" s="3661"/>
      <c r="B532" s="2818" t="s">
        <v>69</v>
      </c>
      <c r="C532" s="2243"/>
      <c r="D532" s="3571">
        <f>D621+D629+D653</f>
        <v>49043728</v>
      </c>
      <c r="E532" s="3571">
        <f t="shared" ref="E532" si="323">E621+E629+E653</f>
        <v>23425991</v>
      </c>
      <c r="F532" s="3571">
        <f t="shared" ref="F532:K532" si="324">F621+F629+F653</f>
        <v>25617737</v>
      </c>
      <c r="G532" s="3571">
        <f t="shared" si="324"/>
        <v>0</v>
      </c>
      <c r="H532" s="3571">
        <f t="shared" si="324"/>
        <v>0</v>
      </c>
      <c r="I532" s="3571">
        <f t="shared" si="324"/>
        <v>0</v>
      </c>
      <c r="J532" s="3571">
        <f t="shared" si="324"/>
        <v>0</v>
      </c>
      <c r="K532" s="3571">
        <f t="shared" si="324"/>
        <v>0</v>
      </c>
      <c r="L532" s="3571">
        <f>L621+L629+L653</f>
        <v>0</v>
      </c>
      <c r="M532" s="1195">
        <f>SUM(G532:K532)</f>
        <v>0</v>
      </c>
      <c r="N532" s="3663"/>
      <c r="O532" s="677"/>
    </row>
    <row r="533" spans="1:16" s="678" customFormat="1" thickBot="1">
      <c r="A533" s="3661"/>
      <c r="B533" s="2818" t="s">
        <v>14</v>
      </c>
      <c r="C533" s="2243"/>
      <c r="D533" s="3571">
        <f t="shared" ref="D533:K533" si="325">+D558+D574+D589+D608+D661</f>
        <v>15722338</v>
      </c>
      <c r="E533" s="3571">
        <f t="shared" ref="E533" si="326">+E558+E574+E589+E608+E661</f>
        <v>8693931</v>
      </c>
      <c r="F533" s="3571">
        <f t="shared" si="325"/>
        <v>4926954</v>
      </c>
      <c r="G533" s="3571">
        <f t="shared" si="325"/>
        <v>2101453</v>
      </c>
      <c r="H533" s="3571">
        <f t="shared" si="325"/>
        <v>0</v>
      </c>
      <c r="I533" s="3571">
        <f t="shared" si="325"/>
        <v>0</v>
      </c>
      <c r="J533" s="3571">
        <f t="shared" si="325"/>
        <v>0</v>
      </c>
      <c r="K533" s="3571">
        <f t="shared" si="325"/>
        <v>0</v>
      </c>
      <c r="L533" s="3571">
        <f>+L558+L574+L589+L608+L661</f>
        <v>0</v>
      </c>
      <c r="M533" s="1195">
        <f>SUM(G533:K533)</f>
        <v>2101453</v>
      </c>
      <c r="N533" s="3663"/>
      <c r="O533" s="677">
        <f>D533-D539</f>
        <v>0</v>
      </c>
    </row>
    <row r="534" spans="1:16" s="678" customFormat="1" ht="13.5" customHeight="1" thickBot="1">
      <c r="A534" s="3661"/>
      <c r="B534" s="2818" t="s">
        <v>96</v>
      </c>
      <c r="C534" s="2243"/>
      <c r="D534" s="3571">
        <f>D545</f>
        <v>62449201</v>
      </c>
      <c r="E534" s="3571">
        <f t="shared" ref="E534" si="327">E545</f>
        <v>10003578</v>
      </c>
      <c r="F534" s="3571">
        <f t="shared" ref="F534:K534" si="328">F545</f>
        <v>16487247</v>
      </c>
      <c r="G534" s="3571">
        <f t="shared" si="328"/>
        <v>26717700</v>
      </c>
      <c r="H534" s="3571">
        <f t="shared" si="328"/>
        <v>9240676</v>
      </c>
      <c r="I534" s="3571">
        <f t="shared" si="328"/>
        <v>0</v>
      </c>
      <c r="J534" s="3571">
        <f t="shared" si="328"/>
        <v>0</v>
      </c>
      <c r="K534" s="3571">
        <f t="shared" si="328"/>
        <v>0</v>
      </c>
      <c r="L534" s="3571">
        <f>L545</f>
        <v>0</v>
      </c>
      <c r="M534" s="1195">
        <f>SUM(G534:K534)</f>
        <v>35958376</v>
      </c>
      <c r="N534" s="3663"/>
      <c r="O534" s="677"/>
    </row>
    <row r="535" spans="1:16" s="678" customFormat="1" ht="13.5" customHeight="1" thickBot="1">
      <c r="A535" s="3661"/>
      <c r="B535" s="68" t="s">
        <v>20</v>
      </c>
      <c r="C535" s="1999"/>
      <c r="D535" s="1213">
        <f>+D536</f>
        <v>229143962</v>
      </c>
      <c r="E535" s="1213">
        <f t="shared" ref="E535:K535" si="329">+E536</f>
        <v>106100059</v>
      </c>
      <c r="F535" s="1213">
        <f t="shared" si="329"/>
        <v>59461280</v>
      </c>
      <c r="G535" s="1213">
        <f t="shared" si="329"/>
        <v>33527038</v>
      </c>
      <c r="H535" s="1213">
        <f t="shared" si="329"/>
        <v>30055585</v>
      </c>
      <c r="I535" s="1213">
        <f t="shared" si="329"/>
        <v>0</v>
      </c>
      <c r="J535" s="1213">
        <f t="shared" si="329"/>
        <v>0</v>
      </c>
      <c r="K535" s="1213">
        <f t="shared" si="329"/>
        <v>0</v>
      </c>
      <c r="L535" s="1213">
        <f>+L536</f>
        <v>0</v>
      </c>
      <c r="M535" s="3701" t="s">
        <v>21</v>
      </c>
      <c r="N535" s="3663"/>
    </row>
    <row r="536" spans="1:16" s="678" customFormat="1" ht="12" customHeight="1" thickBot="1">
      <c r="A536" s="3661"/>
      <c r="B536" s="3569" t="s">
        <v>22</v>
      </c>
      <c r="C536" s="2824"/>
      <c r="D536" s="2366">
        <f>+D537+D539+D538+D540</f>
        <v>229143962</v>
      </c>
      <c r="E536" s="2366">
        <f t="shared" ref="E536" si="330">+E537+E539+E538+E540</f>
        <v>106100059</v>
      </c>
      <c r="F536" s="2366">
        <f t="shared" ref="F536:K536" si="331">+F537+F539+F538+F540</f>
        <v>59461280</v>
      </c>
      <c r="G536" s="2366">
        <f t="shared" si="331"/>
        <v>33527038</v>
      </c>
      <c r="H536" s="2366">
        <f t="shared" si="331"/>
        <v>30055585</v>
      </c>
      <c r="I536" s="2366">
        <f t="shared" si="331"/>
        <v>0</v>
      </c>
      <c r="J536" s="2366">
        <f t="shared" si="331"/>
        <v>0</v>
      </c>
      <c r="K536" s="2366">
        <f t="shared" si="331"/>
        <v>0</v>
      </c>
      <c r="L536" s="2366">
        <f>+L537+L539+L538+L540</f>
        <v>0</v>
      </c>
      <c r="M536" s="3702"/>
      <c r="N536" s="3663"/>
    </row>
    <row r="537" spans="1:16" s="678" customFormat="1" ht="12" customHeight="1" thickBot="1">
      <c r="A537" s="3661"/>
      <c r="B537" s="2818" t="s">
        <v>199</v>
      </c>
      <c r="C537" s="3572"/>
      <c r="D537" s="1484">
        <f>+D611+D599+D584+D671+D549</f>
        <v>101928695</v>
      </c>
      <c r="E537" s="1484">
        <f t="shared" ref="E537:K537" si="332">+E611+E599+E584+E671+E549</f>
        <v>36788791</v>
      </c>
      <c r="F537" s="1484">
        <f>+F611+F599+F584+F671+F549</f>
        <v>20497304</v>
      </c>
      <c r="G537" s="1484">
        <f>+G611+G599+G584+G671+G549</f>
        <v>23006300</v>
      </c>
      <c r="H537" s="1484">
        <f t="shared" si="332"/>
        <v>21636300</v>
      </c>
      <c r="I537" s="1484">
        <f t="shared" si="332"/>
        <v>0</v>
      </c>
      <c r="J537" s="1484">
        <f t="shared" si="332"/>
        <v>0</v>
      </c>
      <c r="K537" s="1484">
        <f t="shared" si="332"/>
        <v>0</v>
      </c>
      <c r="L537" s="1484">
        <f>+L611+L599+L584+L671+L549</f>
        <v>0</v>
      </c>
      <c r="M537" s="3702"/>
      <c r="N537" s="3663"/>
      <c r="P537" s="677">
        <v>28500000</v>
      </c>
    </row>
    <row r="538" spans="1:16" s="678" customFormat="1" ht="12" customHeight="1" thickBot="1">
      <c r="A538" s="3522"/>
      <c r="B538" s="2818" t="s">
        <v>69</v>
      </c>
      <c r="C538" s="3572"/>
      <c r="D538" s="3571">
        <f>D624+D632+D656</f>
        <v>49043728</v>
      </c>
      <c r="E538" s="3571">
        <f t="shared" ref="E538" si="333">E624+E632+E656</f>
        <v>23425991</v>
      </c>
      <c r="F538" s="3571">
        <f t="shared" ref="F538:K538" si="334">F624+F632+F656</f>
        <v>25617737</v>
      </c>
      <c r="G538" s="3571">
        <f t="shared" si="334"/>
        <v>0</v>
      </c>
      <c r="H538" s="3571">
        <f t="shared" si="334"/>
        <v>0</v>
      </c>
      <c r="I538" s="3571">
        <f t="shared" si="334"/>
        <v>0</v>
      </c>
      <c r="J538" s="3571">
        <f t="shared" si="334"/>
        <v>0</v>
      </c>
      <c r="K538" s="3571">
        <f t="shared" si="334"/>
        <v>0</v>
      </c>
      <c r="L538" s="3571">
        <f>L624+L632+L656</f>
        <v>0</v>
      </c>
      <c r="M538" s="3702"/>
      <c r="N538" s="3663"/>
      <c r="O538" s="677">
        <f>D538-D532</f>
        <v>0</v>
      </c>
      <c r="P538" s="677">
        <v>4072498</v>
      </c>
    </row>
    <row r="539" spans="1:16" s="678" customFormat="1" ht="12" customHeight="1" thickBot="1">
      <c r="A539" s="3522"/>
      <c r="B539" s="2818" t="s">
        <v>14</v>
      </c>
      <c r="C539" s="3572"/>
      <c r="D539" s="1484">
        <f t="shared" ref="D539:K539" si="335">+D561+D577+D592+D612+D664</f>
        <v>15722338</v>
      </c>
      <c r="E539" s="1484">
        <f t="shared" ref="E539" si="336">+E561+E577+E592+E612+E664</f>
        <v>8693931</v>
      </c>
      <c r="F539" s="1484">
        <f t="shared" si="335"/>
        <v>4926954</v>
      </c>
      <c r="G539" s="1484">
        <f t="shared" si="335"/>
        <v>2101453</v>
      </c>
      <c r="H539" s="1484">
        <f t="shared" si="335"/>
        <v>0</v>
      </c>
      <c r="I539" s="1484">
        <f t="shared" si="335"/>
        <v>0</v>
      </c>
      <c r="J539" s="1484">
        <f t="shared" si="335"/>
        <v>0</v>
      </c>
      <c r="K539" s="1484">
        <f t="shared" si="335"/>
        <v>0</v>
      </c>
      <c r="L539" s="1484">
        <f>+L561+L577+L592+L612+L664</f>
        <v>0</v>
      </c>
      <c r="M539" s="3702"/>
      <c r="N539" s="3663"/>
      <c r="P539" s="677">
        <v>1570791</v>
      </c>
    </row>
    <row r="540" spans="1:16" s="678" customFormat="1" ht="12" customHeight="1" thickBot="1">
      <c r="A540" s="3523"/>
      <c r="B540" s="1905" t="s">
        <v>96</v>
      </c>
      <c r="C540" s="1838"/>
      <c r="D540" s="1906">
        <f>D548</f>
        <v>62449201</v>
      </c>
      <c r="E540" s="1906">
        <f t="shared" ref="E540" si="337">E548</f>
        <v>37191346</v>
      </c>
      <c r="F540" s="1906">
        <f t="shared" ref="F540:K540" si="338">F548</f>
        <v>8419285</v>
      </c>
      <c r="G540" s="1906">
        <f t="shared" si="338"/>
        <v>8419285</v>
      </c>
      <c r="H540" s="1906">
        <f t="shared" si="338"/>
        <v>8419285</v>
      </c>
      <c r="I540" s="1906">
        <f t="shared" si="338"/>
        <v>0</v>
      </c>
      <c r="J540" s="1906">
        <f t="shared" si="338"/>
        <v>0</v>
      </c>
      <c r="K540" s="1906">
        <f t="shared" si="338"/>
        <v>0</v>
      </c>
      <c r="L540" s="1906">
        <f>L548</f>
        <v>0</v>
      </c>
      <c r="M540" s="3702"/>
      <c r="N540" s="3663"/>
    </row>
    <row r="541" spans="1:16" s="678" customFormat="1" ht="20.25" customHeight="1">
      <c r="A541" s="3660" t="s">
        <v>54</v>
      </c>
      <c r="B541" s="335" t="s">
        <v>507</v>
      </c>
      <c r="C541" s="48" t="s">
        <v>99</v>
      </c>
      <c r="D541" s="2100"/>
      <c r="E541" s="2101"/>
      <c r="F541" s="2101"/>
      <c r="G541" s="2101"/>
      <c r="H541" s="2101"/>
      <c r="I541" s="2101"/>
      <c r="J541" s="2101"/>
      <c r="K541" s="2102"/>
      <c r="L541" s="2101"/>
      <c r="M541" s="2495"/>
      <c r="N541" s="3657" t="s">
        <v>92</v>
      </c>
    </row>
    <row r="542" spans="1:16" s="678" customFormat="1" ht="13.5" customHeight="1">
      <c r="A542" s="3661"/>
      <c r="B542" s="1705" t="s">
        <v>9</v>
      </c>
      <c r="C542" s="2643"/>
      <c r="D542" s="1435">
        <f>+D543</f>
        <v>127547685</v>
      </c>
      <c r="E542" s="1435">
        <f t="shared" ref="E542:J542" si="339">+E543</f>
        <v>14488619</v>
      </c>
      <c r="F542" s="1435">
        <f t="shared" si="339"/>
        <v>20559573</v>
      </c>
      <c r="G542" s="1435">
        <f t="shared" si="339"/>
        <v>32862771</v>
      </c>
      <c r="H542" s="1435">
        <f t="shared" si="339"/>
        <v>23829668</v>
      </c>
      <c r="I542" s="1435">
        <f t="shared" si="339"/>
        <v>21953112</v>
      </c>
      <c r="J542" s="1435">
        <f t="shared" si="339"/>
        <v>13853942</v>
      </c>
      <c r="K542" s="1205">
        <v>0</v>
      </c>
      <c r="L542" s="1435">
        <f>+L543</f>
        <v>0</v>
      </c>
      <c r="M542" s="1223">
        <f>+M543</f>
        <v>92499493</v>
      </c>
      <c r="N542" s="3658"/>
      <c r="O542" s="677"/>
    </row>
    <row r="543" spans="1:16" s="678" customFormat="1" ht="13.5" customHeight="1">
      <c r="A543" s="3661"/>
      <c r="B543" s="2159" t="s">
        <v>22</v>
      </c>
      <c r="C543" s="3653" t="s">
        <v>89</v>
      </c>
      <c r="D543" s="1436">
        <f>D544+D545</f>
        <v>127547685</v>
      </c>
      <c r="E543" s="1436">
        <f t="shared" ref="E543:F543" si="340">E544+E545</f>
        <v>14488619</v>
      </c>
      <c r="F543" s="1436">
        <f t="shared" si="340"/>
        <v>20559573</v>
      </c>
      <c r="G543" s="1436">
        <f t="shared" ref="G543" si="341">G544+G545</f>
        <v>32862771</v>
      </c>
      <c r="H543" s="1436">
        <f t="shared" ref="H543:J543" si="342">H544+H545</f>
        <v>23829668</v>
      </c>
      <c r="I543" s="1436">
        <f t="shared" si="342"/>
        <v>21953112</v>
      </c>
      <c r="J543" s="1436">
        <f t="shared" si="342"/>
        <v>13853942</v>
      </c>
      <c r="K543" s="1203">
        <v>0</v>
      </c>
      <c r="L543" s="1436">
        <f>L544+L545</f>
        <v>0</v>
      </c>
      <c r="M543" s="2461">
        <f>+M544+M545</f>
        <v>92499493</v>
      </c>
      <c r="N543" s="3658"/>
    </row>
    <row r="544" spans="1:16" s="678" customFormat="1" ht="13.5" customHeight="1">
      <c r="A544" s="3661"/>
      <c r="B544" s="2160" t="s">
        <v>11</v>
      </c>
      <c r="C544" s="3654"/>
      <c r="D544" s="3534">
        <f>E544+L544+F544+G544+H544+I544+J544+K544</f>
        <v>65098484</v>
      </c>
      <c r="E544" s="2975">
        <f>2184218+2300823</f>
        <v>4485041</v>
      </c>
      <c r="F544" s="1437">
        <f>5009055-1164582+227853</f>
        <v>4072326</v>
      </c>
      <c r="G544" s="1437">
        <f>3791381+2248070+105620</f>
        <v>6145071</v>
      </c>
      <c r="H544" s="1437">
        <f>7563540+5436570+1588882</f>
        <v>14588992</v>
      </c>
      <c r="I544" s="1437">
        <f>21200000+753112</f>
        <v>21953112</v>
      </c>
      <c r="J544" s="1437">
        <v>13853942</v>
      </c>
      <c r="K544" s="1138">
        <v>0</v>
      </c>
      <c r="L544" s="1437"/>
      <c r="M544" s="2446">
        <f>SUM(G544:K544)</f>
        <v>56541117</v>
      </c>
      <c r="N544" s="3658"/>
      <c r="O544" s="677"/>
    </row>
    <row r="545" spans="1:15" s="678" customFormat="1" ht="13.5" customHeight="1">
      <c r="A545" s="3661"/>
      <c r="B545" s="3535" t="s">
        <v>96</v>
      </c>
      <c r="C545" s="3659"/>
      <c r="D545" s="2349">
        <f>E545+L545+F545+G545+H545+I545+J545+K545</f>
        <v>62449201</v>
      </c>
      <c r="E545" s="89">
        <f>12700000-2696422</f>
        <v>10003578</v>
      </c>
      <c r="F545" s="89">
        <f>21778500-5291253</f>
        <v>16487247</v>
      </c>
      <c r="G545" s="89">
        <f>16484263+9774223+459214</f>
        <v>26717700</v>
      </c>
      <c r="H545" s="89">
        <f>14182860-4482970-459214</f>
        <v>9240676</v>
      </c>
      <c r="I545" s="2693">
        <v>0</v>
      </c>
      <c r="J545" s="2693">
        <v>0</v>
      </c>
      <c r="K545" s="956">
        <v>0</v>
      </c>
      <c r="L545" s="89"/>
      <c r="M545" s="2446">
        <f>SUM(G545:K545)</f>
        <v>35958376</v>
      </c>
      <c r="N545" s="3658"/>
      <c r="O545" s="677"/>
    </row>
    <row r="546" spans="1:15" s="678" customFormat="1" ht="13.5" customHeight="1">
      <c r="A546" s="3661"/>
      <c r="B546" s="160" t="s">
        <v>20</v>
      </c>
      <c r="C546" s="2351"/>
      <c r="D546" s="971">
        <f>D547</f>
        <v>62677054</v>
      </c>
      <c r="E546" s="971">
        <f t="shared" ref="E546:K547" si="343">E547</f>
        <v>37191346</v>
      </c>
      <c r="F546" s="971">
        <f t="shared" si="343"/>
        <v>8647138</v>
      </c>
      <c r="G546" s="971">
        <f t="shared" si="343"/>
        <v>8419285</v>
      </c>
      <c r="H546" s="971">
        <f t="shared" si="343"/>
        <v>8419285</v>
      </c>
      <c r="I546" s="972">
        <f t="shared" si="343"/>
        <v>0</v>
      </c>
      <c r="J546" s="972">
        <f t="shared" si="343"/>
        <v>0</v>
      </c>
      <c r="K546" s="972">
        <f t="shared" si="343"/>
        <v>0</v>
      </c>
      <c r="L546" s="971">
        <f>L547</f>
        <v>0</v>
      </c>
      <c r="M546" s="3655" t="s">
        <v>21</v>
      </c>
      <c r="N546" s="3658"/>
      <c r="O546" s="677"/>
    </row>
    <row r="547" spans="1:15" s="678" customFormat="1" ht="14.25" customHeight="1">
      <c r="A547" s="3661"/>
      <c r="B547" s="3536" t="s">
        <v>22</v>
      </c>
      <c r="C547" s="3653" t="s">
        <v>89</v>
      </c>
      <c r="D547" s="3537">
        <f>D548+D549</f>
        <v>62677054</v>
      </c>
      <c r="E547" s="3537">
        <f t="shared" ref="E547:H547" si="344">E548+E549</f>
        <v>37191346</v>
      </c>
      <c r="F547" s="3537">
        <f t="shared" si="344"/>
        <v>8647138</v>
      </c>
      <c r="G547" s="3537">
        <f t="shared" si="344"/>
        <v>8419285</v>
      </c>
      <c r="H547" s="3537">
        <f t="shared" si="344"/>
        <v>8419285</v>
      </c>
      <c r="I547" s="2466">
        <f t="shared" si="343"/>
        <v>0</v>
      </c>
      <c r="J547" s="2466">
        <f t="shared" si="343"/>
        <v>0</v>
      </c>
      <c r="K547" s="1438">
        <f t="shared" si="343"/>
        <v>0</v>
      </c>
      <c r="L547" s="2272">
        <f>L548+L549</f>
        <v>0</v>
      </c>
      <c r="M547" s="3656"/>
      <c r="N547" s="3658"/>
      <c r="O547" s="677"/>
    </row>
    <row r="548" spans="1:15" s="678" customFormat="1" ht="13.5" customHeight="1">
      <c r="A548" s="3661"/>
      <c r="B548" s="3535" t="s">
        <v>96</v>
      </c>
      <c r="C548" s="3654"/>
      <c r="D548" s="2349">
        <f>E548+L548+F548+G548+H548+I548+J548+K548</f>
        <v>62449201</v>
      </c>
      <c r="E548" s="2349">
        <f>28772061+8419285</f>
        <v>37191346</v>
      </c>
      <c r="F548" s="2349">
        <v>8419285</v>
      </c>
      <c r="G548" s="2349">
        <v>8419285</v>
      </c>
      <c r="H548" s="2349">
        <v>8419285</v>
      </c>
      <c r="I548" s="2466">
        <v>0</v>
      </c>
      <c r="J548" s="2466">
        <v>0</v>
      </c>
      <c r="K548" s="1438">
        <v>0</v>
      </c>
      <c r="L548" s="1160"/>
      <c r="M548" s="3656"/>
      <c r="N548" s="3658"/>
      <c r="O548" s="677"/>
    </row>
    <row r="549" spans="1:15" s="678" customFormat="1" ht="15" customHeight="1" thickBot="1">
      <c r="A549" s="3661"/>
      <c r="B549" s="2160" t="s">
        <v>11</v>
      </c>
      <c r="C549" s="3654"/>
      <c r="D549" s="2349">
        <f>E549+L549+F549+G549+H549+I549+J549+K549</f>
        <v>227853</v>
      </c>
      <c r="E549" s="3538">
        <v>0</v>
      </c>
      <c r="F549" s="3539">
        <v>227853</v>
      </c>
      <c r="G549" s="3538">
        <v>0</v>
      </c>
      <c r="H549" s="3538">
        <v>0</v>
      </c>
      <c r="I549" s="3538">
        <v>0</v>
      </c>
      <c r="J549" s="3538">
        <v>0</v>
      </c>
      <c r="K549" s="2271">
        <v>0</v>
      </c>
      <c r="L549" s="2271">
        <v>0</v>
      </c>
      <c r="M549" s="3656"/>
      <c r="N549" s="3658"/>
      <c r="O549" s="677"/>
    </row>
    <row r="550" spans="1:15" s="678" customFormat="1" ht="14.25" hidden="1" customHeight="1">
      <c r="A550" s="3661"/>
      <c r="B550" s="346"/>
      <c r="C550" s="684"/>
      <c r="D550" s="70"/>
      <c r="E550" s="211"/>
      <c r="F550" s="211"/>
      <c r="G550" s="211"/>
      <c r="H550" s="211"/>
      <c r="I550" s="211"/>
      <c r="J550" s="211"/>
      <c r="K550" s="211"/>
      <c r="L550" s="211"/>
      <c r="M550" s="2496"/>
      <c r="N550" s="3713"/>
    </row>
    <row r="551" spans="1:15" s="678" customFormat="1" ht="13.5" hidden="1" customHeight="1">
      <c r="A551" s="3661"/>
      <c r="B551" s="24"/>
      <c r="C551" s="75"/>
      <c r="D551" s="176"/>
      <c r="E551" s="176"/>
      <c r="F551" s="176"/>
      <c r="G551" s="204"/>
      <c r="H551" s="204"/>
      <c r="I551" s="204"/>
      <c r="J551" s="204"/>
      <c r="K551" s="204"/>
      <c r="L551" s="176"/>
      <c r="M551" s="2497"/>
      <c r="N551" s="3714"/>
    </row>
    <row r="552" spans="1:15" s="678" customFormat="1" ht="13.5" hidden="1" customHeight="1">
      <c r="A552" s="3661"/>
      <c r="B552" s="457"/>
      <c r="C552" s="3712"/>
      <c r="D552" s="64"/>
      <c r="E552" s="64"/>
      <c r="F552" s="64"/>
      <c r="G552" s="202"/>
      <c r="H552" s="202"/>
      <c r="I552" s="202"/>
      <c r="J552" s="202"/>
      <c r="K552" s="202"/>
      <c r="L552" s="64"/>
      <c r="M552" s="2456"/>
      <c r="N552" s="3714"/>
    </row>
    <row r="553" spans="1:15" s="678" customFormat="1" ht="13.5" hidden="1" customHeight="1" thickBot="1">
      <c r="A553" s="3668"/>
      <c r="B553" s="58"/>
      <c r="C553" s="3666"/>
      <c r="D553" s="73"/>
      <c r="E553" s="60"/>
      <c r="F553" s="42"/>
      <c r="G553" s="205"/>
      <c r="H553" s="205"/>
      <c r="I553" s="205"/>
      <c r="J553" s="205"/>
      <c r="K553" s="205"/>
      <c r="L553" s="42"/>
      <c r="M553" s="2498"/>
      <c r="N553" s="3715"/>
      <c r="O553" s="677"/>
    </row>
    <row r="554" spans="1:15" s="678" customFormat="1" hidden="1" thickBot="1">
      <c r="A554" s="3642"/>
      <c r="B554" s="61"/>
      <c r="C554" s="48" t="s">
        <v>72</v>
      </c>
      <c r="D554" s="637"/>
      <c r="E554" s="78"/>
      <c r="F554" s="78"/>
      <c r="G554" s="78"/>
      <c r="H554" s="78"/>
      <c r="I554" s="78"/>
      <c r="J554" s="78"/>
      <c r="K554" s="78"/>
      <c r="L554" s="78"/>
      <c r="M554" s="36"/>
      <c r="N554" s="3724" t="s">
        <v>92</v>
      </c>
    </row>
    <row r="555" spans="1:15" s="678" customFormat="1" ht="15" hidden="1" customHeight="1">
      <c r="A555" s="3643"/>
      <c r="B555" s="367" t="s">
        <v>9</v>
      </c>
      <c r="C555" s="1199"/>
      <c r="D555" s="1123">
        <f>+D556</f>
        <v>0</v>
      </c>
      <c r="E555" s="1191">
        <f t="shared" ref="E555:M555" si="345">+E556</f>
        <v>0</v>
      </c>
      <c r="F555" s="1205">
        <v>0</v>
      </c>
      <c r="G555" s="1205">
        <v>0</v>
      </c>
      <c r="H555" s="1205">
        <v>0</v>
      </c>
      <c r="I555" s="1205">
        <v>0</v>
      </c>
      <c r="J555" s="1205">
        <v>0</v>
      </c>
      <c r="K555" s="1205">
        <v>0</v>
      </c>
      <c r="L555" s="1191">
        <f>+L556</f>
        <v>0</v>
      </c>
      <c r="M555" s="1124">
        <f t="shared" si="345"/>
        <v>0</v>
      </c>
      <c r="N555" s="3725"/>
      <c r="O555" s="677"/>
    </row>
    <row r="556" spans="1:15" s="678" customFormat="1" ht="13.5" hidden="1" customHeight="1">
      <c r="A556" s="3643"/>
      <c r="B556" s="481" t="s">
        <v>22</v>
      </c>
      <c r="C556" s="3664"/>
      <c r="D556" s="1125">
        <f>+D557+D558</f>
        <v>0</v>
      </c>
      <c r="E556" s="1192">
        <f t="shared" ref="E556" si="346">+E557+E558</f>
        <v>0</v>
      </c>
      <c r="F556" s="1203">
        <v>0</v>
      </c>
      <c r="G556" s="1203">
        <v>0</v>
      </c>
      <c r="H556" s="1203">
        <v>0</v>
      </c>
      <c r="I556" s="1203">
        <v>0</v>
      </c>
      <c r="J556" s="1203">
        <v>0</v>
      </c>
      <c r="K556" s="1203">
        <v>0</v>
      </c>
      <c r="L556" s="1192">
        <f>+L557+L558</f>
        <v>0</v>
      </c>
      <c r="M556" s="1182">
        <f>+M557+M558</f>
        <v>0</v>
      </c>
      <c r="N556" s="3725"/>
    </row>
    <row r="557" spans="1:15" s="678" customFormat="1" ht="13.5" hidden="1" customHeight="1">
      <c r="A557" s="3643"/>
      <c r="B557" s="1206" t="s">
        <v>11</v>
      </c>
      <c r="C557" s="3665"/>
      <c r="D557" s="1115">
        <f>E557+L557+F557+G557+H557+I557+J557+K557</f>
        <v>0</v>
      </c>
      <c r="E557" s="1155"/>
      <c r="F557" s="1202">
        <v>0</v>
      </c>
      <c r="G557" s="1202">
        <v>0</v>
      </c>
      <c r="H557" s="1202">
        <v>0</v>
      </c>
      <c r="I557" s="1202">
        <v>0</v>
      </c>
      <c r="J557" s="1202">
        <v>0</v>
      </c>
      <c r="K557" s="1202">
        <v>0</v>
      </c>
      <c r="L557" s="1126"/>
      <c r="M557" s="2446">
        <f>SUM(F557:K557)</f>
        <v>0</v>
      </c>
      <c r="N557" s="3725"/>
    </row>
    <row r="558" spans="1:15" s="678" customFormat="1" ht="13.5" hidden="1" customHeight="1">
      <c r="A558" s="3643"/>
      <c r="B558" s="532" t="s">
        <v>104</v>
      </c>
      <c r="C558" s="3696"/>
      <c r="D558" s="1115">
        <f>E558+L558+F558+G558+H558+I558+J558+K558</f>
        <v>0</v>
      </c>
      <c r="E558" s="1155"/>
      <c r="F558" s="1202">
        <v>0</v>
      </c>
      <c r="G558" s="1202">
        <v>0</v>
      </c>
      <c r="H558" s="1202">
        <v>0</v>
      </c>
      <c r="I558" s="1202">
        <v>0</v>
      </c>
      <c r="J558" s="1202">
        <v>0</v>
      </c>
      <c r="K558" s="1202">
        <v>0</v>
      </c>
      <c r="L558" s="1202">
        <v>0</v>
      </c>
      <c r="M558" s="2446">
        <f>SUM(F558:K558)</f>
        <v>0</v>
      </c>
      <c r="N558" s="3725"/>
    </row>
    <row r="559" spans="1:15" s="678" customFormat="1" ht="12.75" hidden="1" customHeight="1">
      <c r="A559" s="3644"/>
      <c r="B559" s="475" t="s">
        <v>20</v>
      </c>
      <c r="C559" s="1199"/>
      <c r="D559" s="1123">
        <f>+D560</f>
        <v>0</v>
      </c>
      <c r="E559" s="1123">
        <f t="shared" ref="E559:E560" si="347">+E560</f>
        <v>0</v>
      </c>
      <c r="F559" s="1205">
        <v>0</v>
      </c>
      <c r="G559" s="1205">
        <v>0</v>
      </c>
      <c r="H559" s="1205">
        <v>0</v>
      </c>
      <c r="I559" s="1205">
        <v>0</v>
      </c>
      <c r="J559" s="1205">
        <v>0</v>
      </c>
      <c r="K559" s="1205">
        <v>0</v>
      </c>
      <c r="L559" s="1205">
        <v>0</v>
      </c>
      <c r="M559" s="3688" t="s">
        <v>21</v>
      </c>
      <c r="N559" s="3725"/>
    </row>
    <row r="560" spans="1:15" s="678" customFormat="1" ht="13.5" hidden="1" customHeight="1">
      <c r="A560" s="3644"/>
      <c r="B560" s="453" t="s">
        <v>22</v>
      </c>
      <c r="C560" s="3664"/>
      <c r="D560" s="1192">
        <f>+D561</f>
        <v>0</v>
      </c>
      <c r="E560" s="1192">
        <f t="shared" si="347"/>
        <v>0</v>
      </c>
      <c r="F560" s="1203">
        <v>0</v>
      </c>
      <c r="G560" s="1203">
        <v>0</v>
      </c>
      <c r="H560" s="1203">
        <v>0</v>
      </c>
      <c r="I560" s="1203">
        <v>0</v>
      </c>
      <c r="J560" s="1203">
        <v>0</v>
      </c>
      <c r="K560" s="1203">
        <v>0</v>
      </c>
      <c r="L560" s="1203">
        <v>0</v>
      </c>
      <c r="M560" s="3675"/>
      <c r="N560" s="3725"/>
    </row>
    <row r="561" spans="1:130" s="678" customFormat="1" ht="13.5" hidden="1" customHeight="1" thickBot="1">
      <c r="A561" s="3645"/>
      <c r="B561" s="292" t="s">
        <v>104</v>
      </c>
      <c r="C561" s="3666"/>
      <c r="D561" s="1115">
        <f>E561+L561+F561+G561+H561+I561+J561+K561</f>
        <v>0</v>
      </c>
      <c r="E561" s="1155"/>
      <c r="F561" s="715">
        <v>0</v>
      </c>
      <c r="G561" s="715">
        <v>0</v>
      </c>
      <c r="H561" s="715">
        <v>0</v>
      </c>
      <c r="I561" s="715">
        <v>0</v>
      </c>
      <c r="J561" s="715">
        <v>0</v>
      </c>
      <c r="K561" s="715">
        <v>0</v>
      </c>
      <c r="L561" s="715">
        <v>0</v>
      </c>
      <c r="M561" s="3676"/>
      <c r="N561" s="3726"/>
    </row>
    <row r="562" spans="1:130" s="686" customFormat="1" ht="12" customHeight="1">
      <c r="A562" s="3646" t="s">
        <v>55</v>
      </c>
      <c r="B562" s="61" t="s">
        <v>593</v>
      </c>
      <c r="C562" s="48" t="s">
        <v>72</v>
      </c>
      <c r="D562" s="2353"/>
      <c r="E562" s="2103"/>
      <c r="F562" s="2103"/>
      <c r="G562" s="2103"/>
      <c r="H562" s="2103"/>
      <c r="I562" s="2103"/>
      <c r="J562" s="2103"/>
      <c r="K562" s="50"/>
      <c r="L562" s="2103"/>
      <c r="M562" s="36"/>
      <c r="N562" s="3637" t="s">
        <v>77</v>
      </c>
      <c r="O562" s="685"/>
      <c r="P562" s="685"/>
      <c r="Q562" s="685"/>
      <c r="R562" s="685"/>
      <c r="S562" s="685"/>
      <c r="T562" s="685"/>
      <c r="U562" s="685"/>
      <c r="V562" s="685"/>
      <c r="W562" s="685"/>
      <c r="X562" s="685"/>
      <c r="Y562" s="685"/>
      <c r="Z562" s="685"/>
      <c r="AA562" s="685"/>
      <c r="AB562" s="685"/>
      <c r="AC562" s="685"/>
      <c r="AD562" s="685"/>
      <c r="AE562" s="685"/>
      <c r="AF562" s="685"/>
      <c r="AG562" s="685"/>
      <c r="AH562" s="685"/>
      <c r="AI562" s="685"/>
      <c r="AJ562" s="685"/>
      <c r="AK562" s="685"/>
      <c r="AL562" s="685"/>
      <c r="AM562" s="685"/>
      <c r="AN562" s="685"/>
      <c r="AO562" s="685"/>
      <c r="AP562" s="685"/>
      <c r="AQ562" s="685"/>
      <c r="AR562" s="685"/>
      <c r="AS562" s="685"/>
      <c r="AT562" s="685"/>
      <c r="AU562" s="685"/>
      <c r="AV562" s="685"/>
      <c r="AW562" s="685"/>
      <c r="AX562" s="685"/>
      <c r="AY562" s="685"/>
      <c r="AZ562" s="685"/>
      <c r="BA562" s="685"/>
      <c r="BB562" s="685"/>
      <c r="BC562" s="685"/>
      <c r="BD562" s="685"/>
      <c r="BE562" s="685"/>
      <c r="BF562" s="685"/>
      <c r="BG562" s="685"/>
      <c r="BH562" s="685"/>
      <c r="BI562" s="685"/>
      <c r="BJ562" s="685"/>
      <c r="BK562" s="685"/>
      <c r="BL562" s="685"/>
      <c r="BM562" s="685"/>
      <c r="BN562" s="685"/>
      <c r="BO562" s="685"/>
      <c r="BP562" s="685"/>
      <c r="BQ562" s="685"/>
      <c r="BR562" s="685"/>
      <c r="BS562" s="685"/>
      <c r="BT562" s="685"/>
      <c r="BU562" s="685"/>
      <c r="BV562" s="685"/>
      <c r="BW562" s="685"/>
      <c r="BX562" s="685"/>
      <c r="BY562" s="685"/>
      <c r="BZ562" s="685"/>
      <c r="CA562" s="685"/>
      <c r="CB562" s="685"/>
      <c r="CC562" s="685"/>
      <c r="CD562" s="685"/>
      <c r="CE562" s="685"/>
      <c r="CF562" s="685"/>
      <c r="CG562" s="685"/>
      <c r="CH562" s="685"/>
      <c r="CI562" s="685"/>
      <c r="CJ562" s="685"/>
      <c r="CK562" s="685"/>
      <c r="CL562" s="685"/>
      <c r="CM562" s="685"/>
      <c r="CN562" s="685"/>
      <c r="CO562" s="685"/>
      <c r="CP562" s="685"/>
      <c r="CQ562" s="685"/>
      <c r="CR562" s="685"/>
      <c r="CS562" s="685"/>
      <c r="CT562" s="685"/>
      <c r="CU562" s="685"/>
      <c r="CV562" s="685"/>
      <c r="CW562" s="685"/>
      <c r="CX562" s="685"/>
      <c r="CY562" s="685"/>
      <c r="CZ562" s="685"/>
      <c r="DA562" s="685"/>
      <c r="DB562" s="685"/>
      <c r="DC562" s="685"/>
      <c r="DD562" s="685"/>
      <c r="DE562" s="685"/>
      <c r="DF562" s="685"/>
      <c r="DG562" s="685"/>
      <c r="DH562" s="685"/>
      <c r="DI562" s="685"/>
      <c r="DJ562" s="685"/>
      <c r="DK562" s="685"/>
      <c r="DL562" s="685"/>
      <c r="DM562" s="685"/>
      <c r="DN562" s="685"/>
      <c r="DO562" s="685"/>
      <c r="DP562" s="685"/>
      <c r="DQ562" s="685"/>
      <c r="DR562" s="685"/>
      <c r="DS562" s="685"/>
      <c r="DT562" s="685"/>
      <c r="DU562" s="685"/>
      <c r="DV562" s="685"/>
      <c r="DW562" s="685"/>
      <c r="DX562" s="685"/>
      <c r="DY562" s="685"/>
      <c r="DZ562" s="685"/>
    </row>
    <row r="563" spans="1:130" s="685" customFormat="1" ht="12">
      <c r="A563" s="3647"/>
      <c r="B563" s="367" t="s">
        <v>9</v>
      </c>
      <c r="C563" s="1199"/>
      <c r="D563" s="3087">
        <f>+D564</f>
        <v>10180567</v>
      </c>
      <c r="E563" s="1200">
        <f t="shared" ref="E563:I564" si="348">+E564</f>
        <v>3098300</v>
      </c>
      <c r="F563" s="1200">
        <f t="shared" si="348"/>
        <v>362048</v>
      </c>
      <c r="G563" s="1200">
        <f t="shared" si="348"/>
        <v>2392492</v>
      </c>
      <c r="H563" s="1200">
        <f t="shared" si="348"/>
        <v>2257727</v>
      </c>
      <c r="I563" s="1200">
        <f t="shared" si="348"/>
        <v>2070000</v>
      </c>
      <c r="J563" s="1205">
        <v>0</v>
      </c>
      <c r="K563" s="1205">
        <v>0</v>
      </c>
      <c r="L563" s="1200">
        <f>+L564</f>
        <v>0</v>
      </c>
      <c r="M563" s="1124">
        <f>+M564</f>
        <v>6720219</v>
      </c>
      <c r="N563" s="3638"/>
      <c r="O563" s="677"/>
    </row>
    <row r="564" spans="1:130" s="685" customFormat="1" ht="14.25" customHeight="1">
      <c r="A564" s="3647"/>
      <c r="B564" s="481" t="s">
        <v>22</v>
      </c>
      <c r="C564" s="3664" t="s">
        <v>75</v>
      </c>
      <c r="D564" s="3088">
        <f>+D565</f>
        <v>10180567</v>
      </c>
      <c r="E564" s="1201">
        <f t="shared" si="348"/>
        <v>3098300</v>
      </c>
      <c r="F564" s="1201">
        <f t="shared" si="348"/>
        <v>362048</v>
      </c>
      <c r="G564" s="1201">
        <f t="shared" si="348"/>
        <v>2392492</v>
      </c>
      <c r="H564" s="1201">
        <f t="shared" si="348"/>
        <v>2257727</v>
      </c>
      <c r="I564" s="1201">
        <f t="shared" si="348"/>
        <v>2070000</v>
      </c>
      <c r="J564" s="1203">
        <v>0</v>
      </c>
      <c r="K564" s="1203">
        <v>0</v>
      </c>
      <c r="L564" s="1201">
        <f>+L565</f>
        <v>0</v>
      </c>
      <c r="M564" s="1182">
        <f>+M565</f>
        <v>6720219</v>
      </c>
      <c r="N564" s="3638"/>
    </row>
    <row r="565" spans="1:130" s="685" customFormat="1" thickBot="1">
      <c r="A565" s="3648"/>
      <c r="B565" s="712" t="s">
        <v>11</v>
      </c>
      <c r="C565" s="3666"/>
      <c r="D565" s="3089">
        <f>E565+L565+F565+G565+H565+I565+J565+K565</f>
        <v>10180567</v>
      </c>
      <c r="E565" s="693">
        <f>3130167-129800+97933</f>
        <v>3098300</v>
      </c>
      <c r="F565" s="365">
        <f>1971200-850000-500000+67533+121235-57727-390193</f>
        <v>362048</v>
      </c>
      <c r="G565" s="365">
        <f>2020500+371992</f>
        <v>2392492</v>
      </c>
      <c r="H565" s="365">
        <f>2070000+130000+57727</f>
        <v>2257727</v>
      </c>
      <c r="I565" s="365">
        <v>2070000</v>
      </c>
      <c r="J565" s="715">
        <v>0</v>
      </c>
      <c r="K565" s="715">
        <v>0</v>
      </c>
      <c r="L565" s="365"/>
      <c r="M565" s="2446">
        <f>SUM(G565:K565)</f>
        <v>6720219</v>
      </c>
      <c r="N565" s="3641"/>
      <c r="O565" s="687"/>
    </row>
    <row r="566" spans="1:130" s="678" customFormat="1" ht="23.25" customHeight="1">
      <c r="A566" s="3698" t="s">
        <v>56</v>
      </c>
      <c r="B566" s="930" t="s">
        <v>197</v>
      </c>
      <c r="C566" s="48" t="s">
        <v>72</v>
      </c>
      <c r="D566" s="2100"/>
      <c r="E566" s="2101"/>
      <c r="F566" s="2101"/>
      <c r="G566" s="2101"/>
      <c r="H566" s="2101"/>
      <c r="I566" s="2101"/>
      <c r="J566" s="2101"/>
      <c r="K566" s="2102"/>
      <c r="L566" s="2101"/>
      <c r="M566" s="36"/>
      <c r="N566" s="3709" t="s">
        <v>606</v>
      </c>
    </row>
    <row r="567" spans="1:130" s="678" customFormat="1" ht="12">
      <c r="A567" s="3699"/>
      <c r="B567" s="66" t="s">
        <v>9</v>
      </c>
      <c r="C567" s="18"/>
      <c r="D567" s="106">
        <f>+D568</f>
        <v>45601289</v>
      </c>
      <c r="E567" s="84">
        <f t="shared" ref="E567:M568" si="349">+E568</f>
        <v>36401289</v>
      </c>
      <c r="F567" s="84">
        <f t="shared" si="349"/>
        <v>5000000</v>
      </c>
      <c r="G567" s="84">
        <f t="shared" si="349"/>
        <v>2700000</v>
      </c>
      <c r="H567" s="84">
        <f t="shared" si="349"/>
        <v>1500000</v>
      </c>
      <c r="I567" s="84"/>
      <c r="J567" s="84"/>
      <c r="K567" s="84"/>
      <c r="L567" s="84">
        <f>+L568</f>
        <v>0</v>
      </c>
      <c r="M567" s="2486">
        <f t="shared" si="349"/>
        <v>4200000</v>
      </c>
      <c r="N567" s="3710"/>
      <c r="O567" s="677"/>
    </row>
    <row r="568" spans="1:130" s="678" customFormat="1" ht="12">
      <c r="A568" s="3699"/>
      <c r="B568" s="194" t="s">
        <v>22</v>
      </c>
      <c r="C568" s="3712" t="s">
        <v>101</v>
      </c>
      <c r="D568" s="88">
        <f>+D569</f>
        <v>45601289</v>
      </c>
      <c r="E568" s="86">
        <f t="shared" si="349"/>
        <v>36401289</v>
      </c>
      <c r="F568" s="86">
        <f t="shared" si="349"/>
        <v>5000000</v>
      </c>
      <c r="G568" s="86">
        <f t="shared" si="349"/>
        <v>2700000</v>
      </c>
      <c r="H568" s="86">
        <f t="shared" si="349"/>
        <v>1500000</v>
      </c>
      <c r="I568" s="931"/>
      <c r="J568" s="931"/>
      <c r="K568" s="931"/>
      <c r="L568" s="86">
        <f>+L569</f>
        <v>0</v>
      </c>
      <c r="M568" s="2499">
        <f>+M569</f>
        <v>4200000</v>
      </c>
      <c r="N568" s="3710"/>
    </row>
    <row r="569" spans="1:130" s="678" customFormat="1" thickBot="1">
      <c r="A569" s="3700"/>
      <c r="B569" s="243" t="s">
        <v>11</v>
      </c>
      <c r="C569" s="3667"/>
      <c r="D569" s="1410">
        <f>E569+L569+F569+G569+H569+I569+J569+K569</f>
        <v>45601289</v>
      </c>
      <c r="E569" s="1636">
        <f>31401289+5000000</f>
        <v>36401289</v>
      </c>
      <c r="F569" s="2239">
        <v>5000000</v>
      </c>
      <c r="G569" s="932">
        <v>2700000</v>
      </c>
      <c r="H569" s="932">
        <v>1500000</v>
      </c>
      <c r="I569" s="3494"/>
      <c r="J569" s="2239"/>
      <c r="K569" s="2239"/>
      <c r="L569" s="932">
        <v>0</v>
      </c>
      <c r="M569" s="3104">
        <f>SUM(G569:K569)</f>
        <v>4200000</v>
      </c>
      <c r="N569" s="3711"/>
      <c r="O569" s="677"/>
    </row>
    <row r="570" spans="1:130" s="678" customFormat="1" ht="14.25" hidden="1" customHeight="1">
      <c r="A570" s="3646"/>
      <c r="B570" s="232"/>
      <c r="C570" s="48" t="s">
        <v>72</v>
      </c>
      <c r="D570" s="104"/>
      <c r="E570" s="35"/>
      <c r="F570" s="336"/>
      <c r="G570" s="336"/>
      <c r="H570" s="336"/>
      <c r="I570" s="35"/>
      <c r="J570" s="35"/>
      <c r="K570" s="35"/>
      <c r="L570" s="336"/>
      <c r="M570" s="3103"/>
      <c r="N570" s="3637" t="s">
        <v>77</v>
      </c>
    </row>
    <row r="571" spans="1:130" s="678" customFormat="1" ht="13.5" hidden="1" customHeight="1">
      <c r="A571" s="3647"/>
      <c r="B571" s="17" t="s">
        <v>9</v>
      </c>
      <c r="C571" s="18"/>
      <c r="D571" s="102">
        <f>+D572</f>
        <v>0</v>
      </c>
      <c r="E571" s="102">
        <v>0</v>
      </c>
      <c r="F571" s="236">
        <v>0</v>
      </c>
      <c r="G571" s="236">
        <v>0</v>
      </c>
      <c r="H571" s="236">
        <v>0</v>
      </c>
      <c r="I571" s="236">
        <v>0</v>
      </c>
      <c r="J571" s="236">
        <v>0</v>
      </c>
      <c r="K571" s="236">
        <v>0</v>
      </c>
      <c r="L571" s="236">
        <v>0</v>
      </c>
      <c r="M571" s="54">
        <f>+M572</f>
        <v>0</v>
      </c>
      <c r="N571" s="3638"/>
      <c r="O571" s="677" t="e">
        <f>+#REF!+#REF!+L571+F571</f>
        <v>#REF!</v>
      </c>
    </row>
    <row r="572" spans="1:130" s="678" customFormat="1" ht="12.75" hidden="1" customHeight="1">
      <c r="A572" s="3647"/>
      <c r="B572" s="144" t="s">
        <v>22</v>
      </c>
      <c r="C572" s="3712" t="s">
        <v>75</v>
      </c>
      <c r="D572" s="103">
        <f>+D573+D574</f>
        <v>0</v>
      </c>
      <c r="E572" s="103">
        <v>0</v>
      </c>
      <c r="F572" s="237">
        <v>0</v>
      </c>
      <c r="G572" s="237">
        <v>0</v>
      </c>
      <c r="H572" s="237">
        <v>0</v>
      </c>
      <c r="I572" s="237">
        <v>0</v>
      </c>
      <c r="J572" s="237">
        <v>0</v>
      </c>
      <c r="K572" s="237">
        <v>0</v>
      </c>
      <c r="L572" s="237">
        <v>0</v>
      </c>
      <c r="M572" s="65">
        <f>+M573+M574</f>
        <v>0</v>
      </c>
      <c r="N572" s="3638"/>
      <c r="O572" s="678" t="s">
        <v>223</v>
      </c>
    </row>
    <row r="573" spans="1:130" s="678" customFormat="1" ht="12" hidden="1">
      <c r="A573" s="3647"/>
      <c r="B573" s="348" t="s">
        <v>11</v>
      </c>
      <c r="C573" s="3722"/>
      <c r="D573" s="206">
        <f>E573+L573+F573+G573+H573+I573+J573+K573</f>
        <v>0</v>
      </c>
      <c r="E573" s="72">
        <v>0</v>
      </c>
      <c r="F573" s="238">
        <v>0</v>
      </c>
      <c r="G573" s="238">
        <v>0</v>
      </c>
      <c r="H573" s="238">
        <v>0</v>
      </c>
      <c r="I573" s="238">
        <v>0</v>
      </c>
      <c r="J573" s="238">
        <v>0</v>
      </c>
      <c r="K573" s="238">
        <v>0</v>
      </c>
      <c r="L573" s="238">
        <v>0</v>
      </c>
      <c r="M573" s="2488">
        <f>SUM(F573:H573)</f>
        <v>0</v>
      </c>
      <c r="N573" s="3638"/>
    </row>
    <row r="574" spans="1:130" s="678" customFormat="1" ht="12" hidden="1">
      <c r="A574" s="3647"/>
      <c r="B574" s="349" t="s">
        <v>14</v>
      </c>
      <c r="C574" s="3789"/>
      <c r="D574" s="206">
        <f>E574+L574+F574+G574+H574+I574+J574+K574</f>
        <v>0</v>
      </c>
      <c r="E574" s="72">
        <v>0</v>
      </c>
      <c r="F574" s="238">
        <v>0</v>
      </c>
      <c r="G574" s="238">
        <v>0</v>
      </c>
      <c r="H574" s="238">
        <v>0</v>
      </c>
      <c r="I574" s="238">
        <v>0</v>
      </c>
      <c r="J574" s="238">
        <v>0</v>
      </c>
      <c r="K574" s="238">
        <v>0</v>
      </c>
      <c r="L574" s="238">
        <v>0</v>
      </c>
      <c r="M574" s="2488">
        <f>SUM(F574:H574)</f>
        <v>0</v>
      </c>
      <c r="N574" s="3026"/>
    </row>
    <row r="575" spans="1:130" s="678" customFormat="1" ht="10.5" hidden="1" customHeight="1">
      <c r="A575" s="3647"/>
      <c r="B575" s="17" t="s">
        <v>20</v>
      </c>
      <c r="C575" s="18"/>
      <c r="D575" s="102">
        <f>+D576</f>
        <v>0</v>
      </c>
      <c r="E575" s="102">
        <v>0</v>
      </c>
      <c r="F575" s="236">
        <v>0</v>
      </c>
      <c r="G575" s="236">
        <v>0</v>
      </c>
      <c r="H575" s="236">
        <v>0</v>
      </c>
      <c r="I575" s="236">
        <v>0</v>
      </c>
      <c r="J575" s="236">
        <v>0</v>
      </c>
      <c r="K575" s="236">
        <v>0</v>
      </c>
      <c r="L575" s="236">
        <v>0</v>
      </c>
      <c r="M575" s="3727" t="s">
        <v>21</v>
      </c>
      <c r="N575" s="3820" t="s">
        <v>92</v>
      </c>
    </row>
    <row r="576" spans="1:130" s="678" customFormat="1" ht="12.75" hidden="1" customHeight="1">
      <c r="A576" s="3647"/>
      <c r="B576" s="144" t="s">
        <v>22</v>
      </c>
      <c r="C576" s="3677" t="s">
        <v>75</v>
      </c>
      <c r="D576" s="103">
        <f>+D577</f>
        <v>0</v>
      </c>
      <c r="E576" s="103">
        <v>0</v>
      </c>
      <c r="F576" s="237">
        <v>0</v>
      </c>
      <c r="G576" s="237">
        <v>0</v>
      </c>
      <c r="H576" s="237">
        <v>0</v>
      </c>
      <c r="I576" s="237">
        <v>0</v>
      </c>
      <c r="J576" s="237">
        <v>0</v>
      </c>
      <c r="K576" s="237">
        <v>0</v>
      </c>
      <c r="L576" s="237">
        <v>0</v>
      </c>
      <c r="M576" s="3690"/>
      <c r="N576" s="3638"/>
    </row>
    <row r="577" spans="1:15" s="678" customFormat="1" ht="13.5" hidden="1" customHeight="1" thickBot="1">
      <c r="A577" s="3647"/>
      <c r="B577" s="3099" t="s">
        <v>14</v>
      </c>
      <c r="C577" s="3640"/>
      <c r="D577" s="206">
        <f>E577+L577+F577+G577+H577+I577+J577+K577</f>
        <v>0</v>
      </c>
      <c r="E577" s="2978">
        <v>0</v>
      </c>
      <c r="F577" s="238">
        <v>0</v>
      </c>
      <c r="G577" s="238">
        <v>0</v>
      </c>
      <c r="H577" s="238">
        <v>0</v>
      </c>
      <c r="I577" s="238">
        <v>0</v>
      </c>
      <c r="J577" s="238">
        <v>0</v>
      </c>
      <c r="K577" s="238">
        <v>0</v>
      </c>
      <c r="L577" s="238">
        <v>0</v>
      </c>
      <c r="M577" s="3691"/>
      <c r="N577" s="3638"/>
    </row>
    <row r="578" spans="1:15" s="678" customFormat="1" ht="23.25" customHeight="1">
      <c r="A578" s="3683" t="s">
        <v>57</v>
      </c>
      <c r="B578" s="3100" t="s">
        <v>633</v>
      </c>
      <c r="C578" s="3093" t="s">
        <v>72</v>
      </c>
      <c r="D578" s="3101"/>
      <c r="E578" s="3096"/>
      <c r="F578" s="3096"/>
      <c r="G578" s="3096"/>
      <c r="H578" s="3096"/>
      <c r="I578" s="3096"/>
      <c r="J578" s="3096"/>
      <c r="K578" s="3102"/>
      <c r="L578" s="2098"/>
      <c r="M578" s="36"/>
      <c r="N578" s="3651" t="s">
        <v>77</v>
      </c>
    </row>
    <row r="579" spans="1:15" s="678" customFormat="1" ht="12">
      <c r="A579" s="3647"/>
      <c r="B579" s="1722" t="s">
        <v>9</v>
      </c>
      <c r="C579" s="1177"/>
      <c r="D579" s="1568">
        <f>+D580</f>
        <v>1824799</v>
      </c>
      <c r="E579" s="1568">
        <f t="shared" ref="E579:G580" si="350">+E580</f>
        <v>503620</v>
      </c>
      <c r="F579" s="1568">
        <f t="shared" si="350"/>
        <v>160869</v>
      </c>
      <c r="G579" s="1568">
        <f t="shared" si="350"/>
        <v>1160310</v>
      </c>
      <c r="H579" s="1569">
        <v>0</v>
      </c>
      <c r="I579" s="1569">
        <v>0</v>
      </c>
      <c r="J579" s="1569">
        <v>0</v>
      </c>
      <c r="K579" s="1569">
        <v>0</v>
      </c>
      <c r="L579" s="1569">
        <f>+L580</f>
        <v>0</v>
      </c>
      <c r="M579" s="1570">
        <f>+M580</f>
        <v>1160310</v>
      </c>
      <c r="N579" s="3638"/>
      <c r="O579" s="677"/>
    </row>
    <row r="580" spans="1:15" s="678" customFormat="1" ht="12.75" customHeight="1">
      <c r="A580" s="3647"/>
      <c r="B580" s="1743" t="s">
        <v>22</v>
      </c>
      <c r="C580" s="3682" t="s">
        <v>75</v>
      </c>
      <c r="D580" s="1571">
        <f>+D581</f>
        <v>1824799</v>
      </c>
      <c r="E580" s="1571">
        <f t="shared" si="350"/>
        <v>503620</v>
      </c>
      <c r="F580" s="1571">
        <f t="shared" si="350"/>
        <v>160869</v>
      </c>
      <c r="G580" s="1571">
        <f t="shared" si="350"/>
        <v>1160310</v>
      </c>
      <c r="H580" s="1572">
        <v>0</v>
      </c>
      <c r="I580" s="1572">
        <v>0</v>
      </c>
      <c r="J580" s="1572">
        <v>0</v>
      </c>
      <c r="K580" s="1572">
        <v>0</v>
      </c>
      <c r="L580" s="1572">
        <f>+L581</f>
        <v>0</v>
      </c>
      <c r="M580" s="459">
        <f>+M581</f>
        <v>1160310</v>
      </c>
      <c r="N580" s="3638"/>
    </row>
    <row r="581" spans="1:15" s="678" customFormat="1" ht="12">
      <c r="A581" s="3647"/>
      <c r="B581" s="2238" t="s">
        <v>11</v>
      </c>
      <c r="C581" s="3695"/>
      <c r="D581" s="698">
        <f>E581+L581+F581+G581+H581+I581+J581+K581</f>
        <v>1824799</v>
      </c>
      <c r="E581" s="706">
        <f>503620</f>
        <v>503620</v>
      </c>
      <c r="F581" s="3090">
        <f>1274686+46493-1160310</f>
        <v>160869</v>
      </c>
      <c r="G581" s="3090">
        <v>1160310</v>
      </c>
      <c r="H581" s="1226">
        <v>0</v>
      </c>
      <c r="I581" s="1226">
        <v>0</v>
      </c>
      <c r="J581" s="1226">
        <v>0</v>
      </c>
      <c r="K581" s="1226">
        <v>0</v>
      </c>
      <c r="L581" s="1573">
        <f>1239686+35000-1274686</f>
        <v>0</v>
      </c>
      <c r="M581" s="2446">
        <f>SUM(G581:K581)</f>
        <v>1160310</v>
      </c>
      <c r="N581" s="3652"/>
    </row>
    <row r="582" spans="1:15" s="678" customFormat="1" ht="12" customHeight="1">
      <c r="A582" s="3647"/>
      <c r="B582" s="68" t="s">
        <v>20</v>
      </c>
      <c r="C582" s="1177"/>
      <c r="D582" s="1568">
        <f>+D583</f>
        <v>160870</v>
      </c>
      <c r="E582" s="1568">
        <f t="shared" ref="E582:K583" si="351">+E583</f>
        <v>35000</v>
      </c>
      <c r="F582" s="1568">
        <f t="shared" si="351"/>
        <v>125870</v>
      </c>
      <c r="G582" s="1569">
        <f t="shared" si="351"/>
        <v>0</v>
      </c>
      <c r="H582" s="1569">
        <f t="shared" si="351"/>
        <v>0</v>
      </c>
      <c r="I582" s="1569">
        <f t="shared" si="351"/>
        <v>0</v>
      </c>
      <c r="J582" s="1569">
        <f t="shared" si="351"/>
        <v>0</v>
      </c>
      <c r="K582" s="1569">
        <f t="shared" si="351"/>
        <v>0</v>
      </c>
      <c r="L582" s="1568">
        <f>+L583</f>
        <v>0</v>
      </c>
      <c r="M582" s="3679" t="s">
        <v>21</v>
      </c>
      <c r="N582" s="3021"/>
    </row>
    <row r="583" spans="1:15" s="678" customFormat="1" ht="12.75" customHeight="1">
      <c r="A583" s="3647"/>
      <c r="B583" s="1743" t="s">
        <v>22</v>
      </c>
      <c r="C583" s="3682" t="s">
        <v>75</v>
      </c>
      <c r="D583" s="1571">
        <f>+D584</f>
        <v>160870</v>
      </c>
      <c r="E583" s="1571">
        <f t="shared" si="351"/>
        <v>35000</v>
      </c>
      <c r="F583" s="1571">
        <f t="shared" si="351"/>
        <v>125870</v>
      </c>
      <c r="G583" s="1572">
        <f t="shared" si="351"/>
        <v>0</v>
      </c>
      <c r="H583" s="1572">
        <f t="shared" si="351"/>
        <v>0</v>
      </c>
      <c r="I583" s="1572">
        <f t="shared" si="351"/>
        <v>0</v>
      </c>
      <c r="J583" s="1572">
        <f t="shared" si="351"/>
        <v>0</v>
      </c>
      <c r="K583" s="1572">
        <f t="shared" si="351"/>
        <v>0</v>
      </c>
      <c r="L583" s="1571">
        <f>+L584</f>
        <v>0</v>
      </c>
      <c r="M583" s="3680"/>
      <c r="N583" s="3021" t="s">
        <v>92</v>
      </c>
    </row>
    <row r="584" spans="1:15" s="678" customFormat="1" ht="13.5" customHeight="1" thickBot="1">
      <c r="A584" s="3648"/>
      <c r="B584" s="350" t="s">
        <v>11</v>
      </c>
      <c r="C584" s="3667"/>
      <c r="D584" s="1636">
        <f>E584+L584+F584+G584+H584+I584+J584+K584</f>
        <v>160870</v>
      </c>
      <c r="E584" s="2239">
        <f>35000</f>
        <v>35000</v>
      </c>
      <c r="F584" s="2239">
        <f>46493+79377</f>
        <v>125870</v>
      </c>
      <c r="G584" s="1746">
        <v>0</v>
      </c>
      <c r="H584" s="1746">
        <v>0</v>
      </c>
      <c r="I584" s="1746">
        <v>0</v>
      </c>
      <c r="J584" s="1746">
        <v>0</v>
      </c>
      <c r="K584" s="1746">
        <v>0</v>
      </c>
      <c r="L584" s="2239">
        <v>0</v>
      </c>
      <c r="M584" s="3681"/>
      <c r="N584" s="3022"/>
    </row>
    <row r="585" spans="1:15" s="678" customFormat="1" ht="22.5" hidden="1" customHeight="1">
      <c r="A585" s="3646"/>
      <c r="B585" s="232"/>
      <c r="C585" s="48" t="s">
        <v>72</v>
      </c>
      <c r="D585" s="104"/>
      <c r="E585" s="35"/>
      <c r="F585" s="35"/>
      <c r="G585" s="200"/>
      <c r="H585" s="80"/>
      <c r="I585" s="200"/>
      <c r="J585" s="200"/>
      <c r="K585" s="200"/>
      <c r="L585" s="35"/>
      <c r="M585" s="36"/>
      <c r="N585" s="3637" t="s">
        <v>77</v>
      </c>
    </row>
    <row r="586" spans="1:15" s="678" customFormat="1" ht="12.75" hidden="1" customHeight="1">
      <c r="A586" s="3647"/>
      <c r="B586" s="1722" t="s">
        <v>9</v>
      </c>
      <c r="C586" s="1177"/>
      <c r="D586" s="1568">
        <f>+D587</f>
        <v>0</v>
      </c>
      <c r="E586" s="1568">
        <v>0</v>
      </c>
      <c r="F586" s="1569">
        <v>0</v>
      </c>
      <c r="G586" s="1569">
        <v>0</v>
      </c>
      <c r="H586" s="1569">
        <v>0</v>
      </c>
      <c r="I586" s="1569">
        <v>0</v>
      </c>
      <c r="J586" s="1569">
        <v>0</v>
      </c>
      <c r="K586" s="1569">
        <v>0</v>
      </c>
      <c r="L586" s="1569">
        <v>0</v>
      </c>
      <c r="M586" s="2479">
        <f>+M587</f>
        <v>0</v>
      </c>
      <c r="N586" s="3638"/>
      <c r="O586" s="677" t="e">
        <f>+#REF!+#REF!+L586+F586</f>
        <v>#REF!</v>
      </c>
    </row>
    <row r="587" spans="1:15" s="678" customFormat="1" ht="12.75" hidden="1" customHeight="1">
      <c r="A587" s="3647"/>
      <c r="B587" s="1743" t="s">
        <v>22</v>
      </c>
      <c r="C587" s="3682" t="s">
        <v>75</v>
      </c>
      <c r="D587" s="1571">
        <f>+D588+D589</f>
        <v>0</v>
      </c>
      <c r="E587" s="1571">
        <v>0</v>
      </c>
      <c r="F587" s="1572">
        <v>0</v>
      </c>
      <c r="G587" s="1572">
        <v>0</v>
      </c>
      <c r="H587" s="1572">
        <v>0</v>
      </c>
      <c r="I587" s="1572">
        <v>0</v>
      </c>
      <c r="J587" s="1572">
        <v>0</v>
      </c>
      <c r="K587" s="1572">
        <v>0</v>
      </c>
      <c r="L587" s="1572">
        <v>0</v>
      </c>
      <c r="M587" s="459">
        <f>+M588</f>
        <v>0</v>
      </c>
      <c r="N587" s="3638"/>
    </row>
    <row r="588" spans="1:15" s="678" customFormat="1" ht="12.75" hidden="1" customHeight="1">
      <c r="A588" s="3647"/>
      <c r="B588" s="1747" t="s">
        <v>11</v>
      </c>
      <c r="C588" s="3722"/>
      <c r="D588" s="698">
        <f>E588+L588+F588+G588+H588+I588+J588+K588</f>
        <v>0</v>
      </c>
      <c r="E588" s="706">
        <v>0</v>
      </c>
      <c r="F588" s="1226">
        <v>0</v>
      </c>
      <c r="G588" s="1226">
        <v>0</v>
      </c>
      <c r="H588" s="1226">
        <v>0</v>
      </c>
      <c r="I588" s="1226">
        <v>0</v>
      </c>
      <c r="J588" s="1226">
        <v>0</v>
      </c>
      <c r="K588" s="1226">
        <v>0</v>
      </c>
      <c r="L588" s="1226">
        <v>0</v>
      </c>
      <c r="M588" s="2446">
        <f>SUM(F588:H588)</f>
        <v>0</v>
      </c>
      <c r="N588" s="3638"/>
    </row>
    <row r="589" spans="1:15" s="678" customFormat="1" ht="12.75" hidden="1" customHeight="1">
      <c r="A589" s="3647"/>
      <c r="B589" s="349" t="s">
        <v>14</v>
      </c>
      <c r="C589" s="3789"/>
      <c r="D589" s="698">
        <f>E589+L589+F589+G589+H589+I589+J589+K589</f>
        <v>0</v>
      </c>
      <c r="E589" s="706">
        <v>0</v>
      </c>
      <c r="F589" s="1226">
        <v>0</v>
      </c>
      <c r="G589" s="1226">
        <v>0</v>
      </c>
      <c r="H589" s="1226">
        <v>0</v>
      </c>
      <c r="I589" s="1226">
        <v>0</v>
      </c>
      <c r="J589" s="1226">
        <v>0</v>
      </c>
      <c r="K589" s="1226">
        <v>0</v>
      </c>
      <c r="L589" s="1226">
        <v>0</v>
      </c>
      <c r="M589" s="2446">
        <f>SUM(F589:H589)</f>
        <v>0</v>
      </c>
      <c r="N589" s="3026"/>
    </row>
    <row r="590" spans="1:15" s="678" customFormat="1" ht="12.75" hidden="1" customHeight="1">
      <c r="A590" s="3647"/>
      <c r="B590" s="1722" t="s">
        <v>20</v>
      </c>
      <c r="C590" s="1177"/>
      <c r="D590" s="1568">
        <f>+D591</f>
        <v>0</v>
      </c>
      <c r="E590" s="1568">
        <v>0</v>
      </c>
      <c r="F590" s="1569">
        <v>0</v>
      </c>
      <c r="G590" s="1569">
        <v>0</v>
      </c>
      <c r="H590" s="1569">
        <v>0</v>
      </c>
      <c r="I590" s="1569">
        <v>0</v>
      </c>
      <c r="J590" s="1569">
        <v>0</v>
      </c>
      <c r="K590" s="1569">
        <v>0</v>
      </c>
      <c r="L590" s="1569">
        <v>0</v>
      </c>
      <c r="M590" s="3679" t="s">
        <v>21</v>
      </c>
      <c r="N590" s="3673" t="s">
        <v>92</v>
      </c>
    </row>
    <row r="591" spans="1:15" s="678" customFormat="1" ht="12.75" hidden="1" customHeight="1">
      <c r="A591" s="3647"/>
      <c r="B591" s="1743" t="s">
        <v>22</v>
      </c>
      <c r="C591" s="3639" t="s">
        <v>75</v>
      </c>
      <c r="D591" s="1571">
        <f>+D592</f>
        <v>0</v>
      </c>
      <c r="E591" s="1571">
        <v>0</v>
      </c>
      <c r="F591" s="1572">
        <v>0</v>
      </c>
      <c r="G591" s="1572">
        <v>0</v>
      </c>
      <c r="H591" s="1572">
        <v>0</v>
      </c>
      <c r="I591" s="1572">
        <v>0</v>
      </c>
      <c r="J591" s="1572">
        <v>0</v>
      </c>
      <c r="K591" s="1572">
        <v>0</v>
      </c>
      <c r="L591" s="1572">
        <v>0</v>
      </c>
      <c r="M591" s="3680"/>
      <c r="N591" s="3638"/>
    </row>
    <row r="592" spans="1:15" s="678" customFormat="1" ht="13.5" hidden="1" customHeight="1" thickBot="1">
      <c r="A592" s="3648"/>
      <c r="B592" s="347" t="s">
        <v>14</v>
      </c>
      <c r="C592" s="3678"/>
      <c r="D592" s="698">
        <f>E592+L592+F592+G592+H592+I592+J592+K592</f>
        <v>0</v>
      </c>
      <c r="E592" s="706"/>
      <c r="F592" s="1226">
        <v>0</v>
      </c>
      <c r="G592" s="1226">
        <v>0</v>
      </c>
      <c r="H592" s="1226">
        <v>0</v>
      </c>
      <c r="I592" s="1226">
        <v>0</v>
      </c>
      <c r="J592" s="1226">
        <v>0</v>
      </c>
      <c r="K592" s="1226">
        <v>0</v>
      </c>
      <c r="L592" s="1226">
        <v>0</v>
      </c>
      <c r="M592" s="3681"/>
      <c r="N592" s="3641"/>
    </row>
    <row r="593" spans="1:15" s="678" customFormat="1" ht="26.25" hidden="1" customHeight="1">
      <c r="A593" s="3646"/>
      <c r="B593" s="232"/>
      <c r="C593" s="48"/>
      <c r="D593" s="104"/>
      <c r="E593" s="35"/>
      <c r="F593" s="35"/>
      <c r="G593" s="35"/>
      <c r="H593" s="81"/>
      <c r="I593" s="200"/>
      <c r="J593" s="200"/>
      <c r="K593" s="200"/>
      <c r="L593" s="35"/>
      <c r="M593" s="200"/>
      <c r="N593" s="3637" t="s">
        <v>77</v>
      </c>
    </row>
    <row r="594" spans="1:15" s="678" customFormat="1" hidden="1" thickBot="1">
      <c r="A594" s="3647"/>
      <c r="B594" s="1722" t="s">
        <v>9</v>
      </c>
      <c r="C594" s="1177"/>
      <c r="D594" s="1568"/>
      <c r="E594" s="1569"/>
      <c r="F594" s="1569"/>
      <c r="G594" s="1569"/>
      <c r="H594" s="1569"/>
      <c r="I594" s="1569"/>
      <c r="J594" s="1569"/>
      <c r="K594" s="1569"/>
      <c r="L594" s="1569"/>
      <c r="M594" s="2500">
        <f>+M595</f>
        <v>0</v>
      </c>
      <c r="N594" s="3638"/>
    </row>
    <row r="595" spans="1:15" s="678" customFormat="1" hidden="1" thickBot="1">
      <c r="A595" s="3647"/>
      <c r="B595" s="1743" t="s">
        <v>22</v>
      </c>
      <c r="C595" s="3639" t="s">
        <v>75</v>
      </c>
      <c r="D595" s="1571"/>
      <c r="E595" s="1572"/>
      <c r="F595" s="1572"/>
      <c r="G595" s="1572"/>
      <c r="H595" s="1572"/>
      <c r="I595" s="1572"/>
      <c r="J595" s="1572"/>
      <c r="K595" s="1572"/>
      <c r="L595" s="1572"/>
      <c r="M595" s="538">
        <f>+M596</f>
        <v>0</v>
      </c>
      <c r="N595" s="3638"/>
    </row>
    <row r="596" spans="1:15" s="678" customFormat="1" hidden="1" thickBot="1">
      <c r="A596" s="3647"/>
      <c r="B596" s="1748" t="s">
        <v>11</v>
      </c>
      <c r="C596" s="3640"/>
      <c r="D596" s="1576"/>
      <c r="E596" s="1576"/>
      <c r="F596" s="1226"/>
      <c r="G596" s="1226"/>
      <c r="H596" s="1226"/>
      <c r="I596" s="1226"/>
      <c r="J596" s="1226"/>
      <c r="K596" s="1226"/>
      <c r="L596" s="1226"/>
      <c r="M596" s="2446">
        <f>SUM(F596:K596)</f>
        <v>0</v>
      </c>
      <c r="N596" s="3638"/>
    </row>
    <row r="597" spans="1:15" s="678" customFormat="1" ht="12" hidden="1" customHeight="1">
      <c r="A597" s="3647"/>
      <c r="B597" s="1722" t="s">
        <v>20</v>
      </c>
      <c r="C597" s="1177"/>
      <c r="D597" s="1568"/>
      <c r="E597" s="1569"/>
      <c r="F597" s="1569"/>
      <c r="G597" s="1569"/>
      <c r="H597" s="1569"/>
      <c r="I597" s="1569"/>
      <c r="J597" s="1569"/>
      <c r="K597" s="1569"/>
      <c r="L597" s="1569"/>
      <c r="M597" s="3679" t="s">
        <v>21</v>
      </c>
      <c r="N597" s="3673" t="s">
        <v>92</v>
      </c>
    </row>
    <row r="598" spans="1:15" s="678" customFormat="1" ht="12" hidden="1" customHeight="1">
      <c r="A598" s="3647"/>
      <c r="B598" s="1743" t="s">
        <v>22</v>
      </c>
      <c r="C598" s="3639">
        <v>75802</v>
      </c>
      <c r="D598" s="1571"/>
      <c r="E598" s="1572"/>
      <c r="F598" s="1572"/>
      <c r="G598" s="1572"/>
      <c r="H598" s="1572"/>
      <c r="I598" s="1572"/>
      <c r="J598" s="1572"/>
      <c r="K598" s="1572"/>
      <c r="L598" s="1572"/>
      <c r="M598" s="3680"/>
      <c r="N598" s="3638"/>
    </row>
    <row r="599" spans="1:15" s="678" customFormat="1" ht="12.75" hidden="1" customHeight="1" thickBot="1">
      <c r="A599" s="3648"/>
      <c r="B599" s="347" t="s">
        <v>273</v>
      </c>
      <c r="C599" s="3678"/>
      <c r="D599" s="1576"/>
      <c r="E599" s="1576"/>
      <c r="F599" s="1746"/>
      <c r="G599" s="1746"/>
      <c r="H599" s="1746"/>
      <c r="I599" s="1746"/>
      <c r="J599" s="1746"/>
      <c r="K599" s="1746"/>
      <c r="L599" s="1746"/>
      <c r="M599" s="3681"/>
      <c r="N599" s="3641"/>
    </row>
    <row r="600" spans="1:15" s="678" customFormat="1" ht="13.5" customHeight="1">
      <c r="A600" s="3646" t="s">
        <v>58</v>
      </c>
      <c r="B600" s="232" t="s">
        <v>508</v>
      </c>
      <c r="C600" s="48" t="s">
        <v>99</v>
      </c>
      <c r="D600" s="2099"/>
      <c r="E600" s="2098"/>
      <c r="F600" s="2098"/>
      <c r="G600" s="2098"/>
      <c r="H600" s="2098"/>
      <c r="I600" s="2098"/>
      <c r="J600" s="2098"/>
      <c r="K600" s="34"/>
      <c r="L600" s="3508"/>
      <c r="M600" s="36"/>
      <c r="N600" s="3637" t="s">
        <v>92</v>
      </c>
    </row>
    <row r="601" spans="1:15" s="678" customFormat="1" ht="12">
      <c r="A601" s="3647"/>
      <c r="B601" s="1722" t="s">
        <v>9</v>
      </c>
      <c r="C601" s="1177"/>
      <c r="D601" s="1568">
        <f>+D602</f>
        <v>26920835</v>
      </c>
      <c r="E601" s="1568">
        <f t="shared" ref="E601:J602" si="352">+E602</f>
        <v>8931912</v>
      </c>
      <c r="F601" s="1568">
        <f t="shared" si="352"/>
        <v>3269893</v>
      </c>
      <c r="G601" s="1568">
        <f t="shared" si="352"/>
        <v>3319030</v>
      </c>
      <c r="H601" s="1568">
        <f t="shared" si="352"/>
        <v>3800000</v>
      </c>
      <c r="I601" s="1568">
        <f t="shared" si="352"/>
        <v>3800000</v>
      </c>
      <c r="J601" s="1568">
        <f t="shared" si="352"/>
        <v>3800000</v>
      </c>
      <c r="K601" s="1569">
        <v>0</v>
      </c>
      <c r="L601" s="3509">
        <f>+L602</f>
        <v>0</v>
      </c>
      <c r="M601" s="2500">
        <f>+M602</f>
        <v>14719030</v>
      </c>
      <c r="N601" s="3638"/>
      <c r="O601" s="677"/>
    </row>
    <row r="602" spans="1:15" s="678" customFormat="1" ht="12">
      <c r="A602" s="3647"/>
      <c r="B602" s="1743" t="s">
        <v>22</v>
      </c>
      <c r="C602" s="3639" t="s">
        <v>89</v>
      </c>
      <c r="D602" s="1571">
        <f>+D603</f>
        <v>26920835</v>
      </c>
      <c r="E602" s="1571">
        <f t="shared" si="352"/>
        <v>8931912</v>
      </c>
      <c r="F602" s="1571">
        <f t="shared" si="352"/>
        <v>3269893</v>
      </c>
      <c r="G602" s="1571">
        <f t="shared" si="352"/>
        <v>3319030</v>
      </c>
      <c r="H602" s="1571">
        <f t="shared" si="352"/>
        <v>3800000</v>
      </c>
      <c r="I602" s="1571">
        <f t="shared" si="352"/>
        <v>3800000</v>
      </c>
      <c r="J602" s="1571">
        <f t="shared" si="352"/>
        <v>3800000</v>
      </c>
      <c r="K602" s="1572">
        <v>0</v>
      </c>
      <c r="L602" s="3510">
        <f>+L603</f>
        <v>0</v>
      </c>
      <c r="M602" s="538">
        <f>+M603</f>
        <v>14719030</v>
      </c>
      <c r="N602" s="3638"/>
    </row>
    <row r="603" spans="1:15" s="678" customFormat="1" thickBot="1">
      <c r="A603" s="3648"/>
      <c r="B603" s="350" t="s">
        <v>11</v>
      </c>
      <c r="C603" s="3678"/>
      <c r="D603" s="1636">
        <f>E603+L603+F603+G603+H603+I603+J603+K603</f>
        <v>26920835</v>
      </c>
      <c r="E603" s="1636">
        <f>6358217+2573695</f>
        <v>8931912</v>
      </c>
      <c r="F603" s="1749">
        <f>3500000-230107</f>
        <v>3269893</v>
      </c>
      <c r="G603" s="1749">
        <f>3800000-480970</f>
        <v>3319030</v>
      </c>
      <c r="H603" s="1749">
        <v>3800000</v>
      </c>
      <c r="I603" s="1749">
        <v>3800000</v>
      </c>
      <c r="J603" s="1749">
        <v>3800000</v>
      </c>
      <c r="K603" s="1746">
        <v>0</v>
      </c>
      <c r="L603" s="3511">
        <v>0</v>
      </c>
      <c r="M603" s="3597">
        <f>SUM(G603:K603)</f>
        <v>14719030</v>
      </c>
      <c r="N603" s="3641"/>
    </row>
    <row r="604" spans="1:15" s="678" customFormat="1" ht="14.25" customHeight="1">
      <c r="A604" s="3646" t="s">
        <v>105</v>
      </c>
      <c r="B604" s="232" t="s">
        <v>196</v>
      </c>
      <c r="C604" s="48" t="s">
        <v>99</v>
      </c>
      <c r="D604" s="2099"/>
      <c r="E604" s="2098"/>
      <c r="F604" s="2098"/>
      <c r="G604" s="2098"/>
      <c r="H604" s="2098"/>
      <c r="I604" s="2097"/>
      <c r="J604" s="2097"/>
      <c r="K604" s="3540"/>
      <c r="L604" s="3508"/>
      <c r="M604" s="36"/>
      <c r="N604" s="3637" t="s">
        <v>92</v>
      </c>
    </row>
    <row r="605" spans="1:15" s="678" customFormat="1" ht="12">
      <c r="A605" s="3647"/>
      <c r="B605" s="475" t="s">
        <v>9</v>
      </c>
      <c r="C605" s="1199"/>
      <c r="D605" s="1200">
        <f>+D606</f>
        <v>678576905</v>
      </c>
      <c r="E605" s="1200">
        <f t="shared" ref="E605:H605" si="353">+E606</f>
        <v>403226643</v>
      </c>
      <c r="F605" s="1200">
        <f t="shared" si="353"/>
        <v>90378809</v>
      </c>
      <c r="G605" s="1200">
        <f t="shared" si="353"/>
        <v>94971453</v>
      </c>
      <c r="H605" s="1200">
        <f t="shared" si="353"/>
        <v>90000000</v>
      </c>
      <c r="I605" s="1205">
        <v>0</v>
      </c>
      <c r="J605" s="1205">
        <v>0</v>
      </c>
      <c r="K605" s="1205">
        <v>0</v>
      </c>
      <c r="L605" s="3512">
        <f>+L606</f>
        <v>0</v>
      </c>
      <c r="M605" s="3598">
        <f>+M606</f>
        <v>184971453</v>
      </c>
      <c r="N605" s="3638"/>
      <c r="O605" s="677"/>
    </row>
    <row r="606" spans="1:15" s="678" customFormat="1" ht="12">
      <c r="A606" s="3647"/>
      <c r="B606" s="453" t="s">
        <v>22</v>
      </c>
      <c r="C606" s="3639" t="s">
        <v>89</v>
      </c>
      <c r="D606" s="1201">
        <f>+D607+D608</f>
        <v>678576905</v>
      </c>
      <c r="E606" s="1201">
        <f t="shared" ref="E606" si="354">+E607+E608</f>
        <v>403226643</v>
      </c>
      <c r="F606" s="1201">
        <f t="shared" ref="F606" si="355">+F607+F608</f>
        <v>90378809</v>
      </c>
      <c r="G606" s="1201">
        <f>+G607+G608</f>
        <v>94971453</v>
      </c>
      <c r="H606" s="1201">
        <f>+H607+H608</f>
        <v>90000000</v>
      </c>
      <c r="I606" s="1203">
        <v>0</v>
      </c>
      <c r="J606" s="1203">
        <v>0</v>
      </c>
      <c r="K606" s="1203">
        <v>0</v>
      </c>
      <c r="L606" s="3513">
        <f>+L607+L608</f>
        <v>0</v>
      </c>
      <c r="M606" s="2461">
        <f>+M607+M608</f>
        <v>184971453</v>
      </c>
      <c r="N606" s="3638"/>
    </row>
    <row r="607" spans="1:15" s="678" customFormat="1" ht="12">
      <c r="A607" s="3647"/>
      <c r="B607" s="1046" t="s">
        <v>11</v>
      </c>
      <c r="C607" s="3650"/>
      <c r="D607" s="698">
        <f>E607+L607+F607+G607+H607+I607+J607+K607</f>
        <v>667332918</v>
      </c>
      <c r="E607" s="1155">
        <f>315126690+81588022</f>
        <v>396714712</v>
      </c>
      <c r="F607" s="1193">
        <f>79000000+2000000+7000000+400000-651794</f>
        <v>87748206</v>
      </c>
      <c r="G607" s="1193">
        <f>79000000+2000000+10500000+1370000</f>
        <v>92870000</v>
      </c>
      <c r="H607" s="1193">
        <f>79000000+2000000+9000000</f>
        <v>90000000</v>
      </c>
      <c r="I607" s="1138">
        <v>0</v>
      </c>
      <c r="J607" s="1138">
        <v>0</v>
      </c>
      <c r="K607" s="1138">
        <v>0</v>
      </c>
      <c r="L607" s="3514"/>
      <c r="M607" s="3597">
        <f>SUM(G607:K607)</f>
        <v>182870000</v>
      </c>
      <c r="N607" s="3638"/>
    </row>
    <row r="608" spans="1:15" s="678" customFormat="1" ht="12">
      <c r="A608" s="3647"/>
      <c r="B608" s="1045" t="s">
        <v>14</v>
      </c>
      <c r="C608" s="3519"/>
      <c r="D608" s="698">
        <f>E608+L608+F608+G608+H608+I608+J608+K608</f>
        <v>11243987</v>
      </c>
      <c r="E608" s="1155">
        <f>4693764+1818167</f>
        <v>6511931</v>
      </c>
      <c r="F608" s="3541">
        <f>1360602+1280306-10305</f>
        <v>2630603</v>
      </c>
      <c r="G608" s="3542">
        <f>1386017+715436</f>
        <v>2101453</v>
      </c>
      <c r="H608" s="3542">
        <v>0</v>
      </c>
      <c r="I608" s="2308">
        <v>0</v>
      </c>
      <c r="J608" s="2308">
        <v>0</v>
      </c>
      <c r="K608" s="2308">
        <v>0</v>
      </c>
      <c r="L608" s="3515"/>
      <c r="M608" s="3597">
        <f>SUM(G608:K608)</f>
        <v>2101453</v>
      </c>
      <c r="N608" s="3638"/>
    </row>
    <row r="609" spans="1:15" s="678" customFormat="1" ht="12">
      <c r="A609" s="3647"/>
      <c r="B609" s="475" t="s">
        <v>20</v>
      </c>
      <c r="C609" s="1199"/>
      <c r="D609" s="1200">
        <f>+D610</f>
        <v>112783959</v>
      </c>
      <c r="E609" s="1200">
        <f t="shared" ref="E609:H609" si="356">+E610</f>
        <v>43265722</v>
      </c>
      <c r="F609" s="3543">
        <f t="shared" si="356"/>
        <v>22774184</v>
      </c>
      <c r="G609" s="3543">
        <f t="shared" si="356"/>
        <v>25107753</v>
      </c>
      <c r="H609" s="3543">
        <f t="shared" si="356"/>
        <v>21636300</v>
      </c>
      <c r="I609" s="3544">
        <v>0</v>
      </c>
      <c r="J609" s="3544">
        <v>0</v>
      </c>
      <c r="K609" s="3544">
        <v>0</v>
      </c>
      <c r="L609" s="3516">
        <f>+L610</f>
        <v>0</v>
      </c>
      <c r="M609" s="3689" t="s">
        <v>21</v>
      </c>
      <c r="N609" s="3638"/>
    </row>
    <row r="610" spans="1:15" s="678" customFormat="1" ht="12">
      <c r="A610" s="3647"/>
      <c r="B610" s="453" t="s">
        <v>22</v>
      </c>
      <c r="C610" s="3639" t="s">
        <v>89</v>
      </c>
      <c r="D610" s="1201">
        <f>+D611+D612</f>
        <v>112783959</v>
      </c>
      <c r="E610" s="1201">
        <f t="shared" ref="E610" si="357">+E611+E612</f>
        <v>43265722</v>
      </c>
      <c r="F610" s="1201">
        <f t="shared" ref="F610" si="358">+F611+F612</f>
        <v>22774184</v>
      </c>
      <c r="G610" s="1201">
        <f>+G611+G612</f>
        <v>25107753</v>
      </c>
      <c r="H610" s="1201">
        <f>+H611+H612</f>
        <v>21636300</v>
      </c>
      <c r="I610" s="1203">
        <v>0</v>
      </c>
      <c r="J610" s="1203">
        <v>0</v>
      </c>
      <c r="K610" s="1203">
        <v>0</v>
      </c>
      <c r="L610" s="3513">
        <f>+L611+L612</f>
        <v>0</v>
      </c>
      <c r="M610" s="3690"/>
      <c r="N610" s="3638"/>
    </row>
    <row r="611" spans="1:15" s="678" customFormat="1" ht="12">
      <c r="A611" s="3647"/>
      <c r="B611" s="3545" t="s">
        <v>200</v>
      </c>
      <c r="C611" s="3640"/>
      <c r="D611" s="698">
        <f>E611+L611+F611+G611+H611+I611+J611+K611</f>
        <v>101539972</v>
      </c>
      <c r="E611" s="1155">
        <f>23178951+13574840</f>
        <v>36753791</v>
      </c>
      <c r="F611" s="1230">
        <f>19858300+156700+128581</f>
        <v>20143581</v>
      </c>
      <c r="G611" s="1230">
        <f>10500000+1500000+9636300+1370000</f>
        <v>23006300</v>
      </c>
      <c r="H611" s="1230">
        <f>10500000+1500000+9636300</f>
        <v>21636300</v>
      </c>
      <c r="I611" s="3546">
        <v>0</v>
      </c>
      <c r="J611" s="3546">
        <v>0</v>
      </c>
      <c r="K611" s="3546">
        <v>0</v>
      </c>
      <c r="L611" s="3517">
        <v>0</v>
      </c>
      <c r="M611" s="3690"/>
      <c r="N611" s="3638"/>
    </row>
    <row r="612" spans="1:15" s="678" customFormat="1" ht="12" customHeight="1" thickBot="1">
      <c r="A612" s="3648"/>
      <c r="B612" s="350" t="s">
        <v>14</v>
      </c>
      <c r="C612" s="3678"/>
      <c r="D612" s="693">
        <f>E612+L612+F612+G612+H612+I612+J612+K612</f>
        <v>11243987</v>
      </c>
      <c r="E612" s="693">
        <f>4693764+1818167</f>
        <v>6511931</v>
      </c>
      <c r="F612" s="3547">
        <f>1360602+1280306-10305</f>
        <v>2630603</v>
      </c>
      <c r="G612" s="1230">
        <f>1386017+715436</f>
        <v>2101453</v>
      </c>
      <c r="H612" s="3091">
        <v>0</v>
      </c>
      <c r="I612" s="3091">
        <v>0</v>
      </c>
      <c r="J612" s="3091">
        <v>0</v>
      </c>
      <c r="K612" s="3091">
        <v>0</v>
      </c>
      <c r="L612" s="3518">
        <v>0</v>
      </c>
      <c r="M612" s="3691"/>
      <c r="N612" s="3641"/>
    </row>
    <row r="613" spans="1:15" s="678" customFormat="1" ht="12" hidden="1">
      <c r="A613" s="3646"/>
      <c r="B613" s="232"/>
      <c r="C613" s="48" t="s">
        <v>99</v>
      </c>
      <c r="D613" s="104"/>
      <c r="E613" s="35"/>
      <c r="F613" s="35"/>
      <c r="G613" s="35"/>
      <c r="H613" s="35"/>
      <c r="I613" s="35"/>
      <c r="J613" s="35"/>
      <c r="K613" s="35"/>
      <c r="L613" s="35"/>
      <c r="M613" s="36"/>
      <c r="N613" s="3637" t="s">
        <v>92</v>
      </c>
    </row>
    <row r="614" spans="1:15" s="678" customFormat="1" ht="12" hidden="1">
      <c r="A614" s="3647"/>
      <c r="B614" s="17" t="s">
        <v>9</v>
      </c>
      <c r="C614" s="18"/>
      <c r="D614" s="102">
        <f>+D615</f>
        <v>0</v>
      </c>
      <c r="E614" s="102">
        <v>0</v>
      </c>
      <c r="F614" s="102"/>
      <c r="G614" s="102"/>
      <c r="H614" s="102"/>
      <c r="I614" s="246"/>
      <c r="J614" s="246"/>
      <c r="K614" s="246"/>
      <c r="L614" s="102"/>
      <c r="M614" s="2501"/>
      <c r="N614" s="3638"/>
      <c r="O614" s="677"/>
    </row>
    <row r="615" spans="1:15" s="678" customFormat="1" ht="12" hidden="1">
      <c r="A615" s="3647"/>
      <c r="B615" s="144" t="s">
        <v>22</v>
      </c>
      <c r="C615" s="352" t="s">
        <v>89</v>
      </c>
      <c r="D615" s="103">
        <f>+D616</f>
        <v>0</v>
      </c>
      <c r="E615" s="103">
        <v>0</v>
      </c>
      <c r="F615" s="103"/>
      <c r="G615" s="103"/>
      <c r="H615" s="103"/>
      <c r="I615" s="245"/>
      <c r="J615" s="245"/>
      <c r="K615" s="245"/>
      <c r="L615" s="103"/>
      <c r="M615" s="56"/>
      <c r="N615" s="3638"/>
    </row>
    <row r="616" spans="1:15" s="678" customFormat="1" hidden="1" thickBot="1">
      <c r="A616" s="3647"/>
      <c r="B616" s="348" t="s">
        <v>11</v>
      </c>
      <c r="C616" s="353"/>
      <c r="D616" s="44">
        <f>SUM(E616:H616)</f>
        <v>0</v>
      </c>
      <c r="E616" s="174">
        <v>0</v>
      </c>
      <c r="F616" s="72"/>
      <c r="G616" s="72"/>
      <c r="H616" s="72"/>
      <c r="I616" s="203"/>
      <c r="J616" s="203"/>
      <c r="K616" s="203"/>
      <c r="L616" s="72"/>
      <c r="M616" s="2451"/>
      <c r="N616" s="3638"/>
    </row>
    <row r="617" spans="1:15" s="678" customFormat="1" ht="14.25" hidden="1" customHeight="1">
      <c r="A617" s="3646" t="s">
        <v>79</v>
      </c>
      <c r="B617" s="232"/>
      <c r="C617" s="48" t="s">
        <v>99</v>
      </c>
      <c r="D617" s="33"/>
      <c r="E617" s="35"/>
      <c r="F617" s="35"/>
      <c r="G617" s="35"/>
      <c r="H617" s="35"/>
      <c r="I617" s="35"/>
      <c r="J617" s="35"/>
      <c r="K617" s="35"/>
      <c r="L617" s="35"/>
      <c r="M617" s="36"/>
      <c r="N617" s="3637" t="s">
        <v>77</v>
      </c>
    </row>
    <row r="618" spans="1:15" s="678" customFormat="1" ht="12" hidden="1">
      <c r="A618" s="3647"/>
      <c r="B618" s="17" t="s">
        <v>9</v>
      </c>
      <c r="C618" s="18"/>
      <c r="D618" s="102"/>
      <c r="E618" s="102"/>
      <c r="F618" s="102"/>
      <c r="G618" s="102"/>
      <c r="H618" s="236"/>
      <c r="I618" s="236"/>
      <c r="J618" s="236"/>
      <c r="K618" s="236"/>
      <c r="L618" s="102"/>
      <c r="M618" s="54">
        <f>+M619</f>
        <v>0</v>
      </c>
      <c r="N618" s="3638"/>
      <c r="O618" s="677"/>
    </row>
    <row r="619" spans="1:15" s="678" customFormat="1" ht="12" hidden="1">
      <c r="A619" s="3647"/>
      <c r="B619" s="144" t="s">
        <v>22</v>
      </c>
      <c r="C619" s="3677" t="s">
        <v>75</v>
      </c>
      <c r="D619" s="103"/>
      <c r="E619" s="103"/>
      <c r="F619" s="103"/>
      <c r="G619" s="103"/>
      <c r="H619" s="237"/>
      <c r="I619" s="237"/>
      <c r="J619" s="237"/>
      <c r="K619" s="237"/>
      <c r="L619" s="103"/>
      <c r="M619" s="65">
        <f>+M620+M621</f>
        <v>0</v>
      </c>
      <c r="N619" s="3638"/>
    </row>
    <row r="620" spans="1:15" s="678" customFormat="1" ht="12" hidden="1">
      <c r="A620" s="3647"/>
      <c r="B620" s="351" t="s">
        <v>11</v>
      </c>
      <c r="C620" s="3640"/>
      <c r="D620" s="690"/>
      <c r="E620" s="690"/>
      <c r="F620" s="57"/>
      <c r="G620" s="57"/>
      <c r="H620" s="238"/>
      <c r="I620" s="238"/>
      <c r="J620" s="238"/>
      <c r="K620" s="238"/>
      <c r="L620" s="57"/>
      <c r="M620" s="2488">
        <f>SUM(F620:K620)</f>
        <v>0</v>
      </c>
      <c r="N620" s="3638"/>
    </row>
    <row r="621" spans="1:15" s="678" customFormat="1" ht="12" hidden="1">
      <c r="A621" s="3647"/>
      <c r="B621" s="109" t="s">
        <v>97</v>
      </c>
      <c r="C621" s="3650"/>
      <c r="D621" s="690"/>
      <c r="E621" s="690"/>
      <c r="F621" s="239"/>
      <c r="G621" s="239"/>
      <c r="H621" s="239"/>
      <c r="I621" s="233"/>
      <c r="J621" s="233"/>
      <c r="K621" s="233"/>
      <c r="L621" s="239"/>
      <c r="M621" s="2488">
        <f>SUM(F621:K621)</f>
        <v>0</v>
      </c>
      <c r="N621" s="3638"/>
    </row>
    <row r="622" spans="1:15" s="678" customFormat="1" ht="12.75" hidden="1" customHeight="1">
      <c r="A622" s="3647"/>
      <c r="B622" s="66" t="s">
        <v>20</v>
      </c>
      <c r="C622" s="18"/>
      <c r="D622" s="102"/>
      <c r="E622" s="102"/>
      <c r="F622" s="236"/>
      <c r="G622" s="236"/>
      <c r="H622" s="236"/>
      <c r="I622" s="236"/>
      <c r="J622" s="236"/>
      <c r="K622" s="236"/>
      <c r="L622" s="236"/>
      <c r="M622" s="3674" t="s">
        <v>21</v>
      </c>
      <c r="N622" s="3638"/>
    </row>
    <row r="623" spans="1:15" s="678" customFormat="1" ht="12.75" hidden="1" customHeight="1">
      <c r="A623" s="3647"/>
      <c r="B623" s="144" t="s">
        <v>22</v>
      </c>
      <c r="C623" s="3677" t="s">
        <v>75</v>
      </c>
      <c r="D623" s="41"/>
      <c r="E623" s="41"/>
      <c r="F623" s="235"/>
      <c r="G623" s="240"/>
      <c r="H623" s="235"/>
      <c r="I623" s="235"/>
      <c r="J623" s="235"/>
      <c r="K623" s="235"/>
      <c r="L623" s="235"/>
      <c r="M623" s="3675"/>
      <c r="N623" s="3638"/>
    </row>
    <row r="624" spans="1:15" s="678" customFormat="1" ht="12.75" hidden="1" customHeight="1" thickBot="1">
      <c r="A624" s="3648"/>
      <c r="B624" s="243" t="s">
        <v>12</v>
      </c>
      <c r="C624" s="3678"/>
      <c r="D624" s="690"/>
      <c r="E624" s="690"/>
      <c r="F624" s="241"/>
      <c r="G624" s="242"/>
      <c r="H624" s="241"/>
      <c r="I624" s="241"/>
      <c r="J624" s="241"/>
      <c r="K624" s="241"/>
      <c r="L624" s="241"/>
      <c r="M624" s="3676"/>
      <c r="N624" s="3641"/>
    </row>
    <row r="625" spans="1:15" s="678" customFormat="1" ht="24.75" hidden="1" customHeight="1">
      <c r="A625" s="3646" t="s">
        <v>82</v>
      </c>
      <c r="B625" s="232"/>
      <c r="C625" s="48"/>
      <c r="D625" s="33"/>
      <c r="E625" s="33"/>
      <c r="F625" s="33"/>
      <c r="G625" s="35"/>
      <c r="H625" s="35"/>
      <c r="I625" s="35"/>
      <c r="J625" s="35"/>
      <c r="K625" s="35"/>
      <c r="L625" s="33"/>
      <c r="M625" s="36"/>
      <c r="N625" s="3637" t="s">
        <v>77</v>
      </c>
    </row>
    <row r="626" spans="1:15" s="678" customFormat="1" ht="12" hidden="1">
      <c r="A626" s="3647"/>
      <c r="B626" s="17" t="s">
        <v>9</v>
      </c>
      <c r="C626" s="18"/>
      <c r="D626" s="102"/>
      <c r="E626" s="102"/>
      <c r="F626" s="102"/>
      <c r="G626" s="102"/>
      <c r="H626" s="236"/>
      <c r="I626" s="236"/>
      <c r="J626" s="236"/>
      <c r="K626" s="236"/>
      <c r="L626" s="102"/>
      <c r="M626" s="54">
        <f>+M627</f>
        <v>0</v>
      </c>
      <c r="N626" s="3638"/>
      <c r="O626" s="677"/>
    </row>
    <row r="627" spans="1:15" s="678" customFormat="1" ht="12" hidden="1">
      <c r="A627" s="3647"/>
      <c r="B627" s="144" t="s">
        <v>22</v>
      </c>
      <c r="C627" s="3677" t="s">
        <v>75</v>
      </c>
      <c r="D627" s="103"/>
      <c r="E627" s="103"/>
      <c r="F627" s="103"/>
      <c r="G627" s="103"/>
      <c r="H627" s="239"/>
      <c r="I627" s="233"/>
      <c r="J627" s="233"/>
      <c r="K627" s="233"/>
      <c r="L627" s="103"/>
      <c r="M627" s="65">
        <f>+M628+M629</f>
        <v>0</v>
      </c>
      <c r="N627" s="3638"/>
    </row>
    <row r="628" spans="1:15" s="678" customFormat="1" ht="12" hidden="1">
      <c r="A628" s="3647"/>
      <c r="B628" s="351" t="s">
        <v>11</v>
      </c>
      <c r="C628" s="3640"/>
      <c r="D628" s="690"/>
      <c r="E628" s="690"/>
      <c r="F628" s="62"/>
      <c r="G628" s="62"/>
      <c r="H628" s="239"/>
      <c r="I628" s="233"/>
      <c r="J628" s="233"/>
      <c r="K628" s="233"/>
      <c r="L628" s="62"/>
      <c r="M628" s="2488">
        <f>SUM(F628:K628)</f>
        <v>0</v>
      </c>
      <c r="N628" s="3638"/>
    </row>
    <row r="629" spans="1:15" s="678" customFormat="1" ht="12" hidden="1">
      <c r="A629" s="3647"/>
      <c r="B629" s="109" t="s">
        <v>69</v>
      </c>
      <c r="C629" s="3650"/>
      <c r="D629" s="690"/>
      <c r="E629" s="690"/>
      <c r="F629" s="62"/>
      <c r="G629" s="239"/>
      <c r="H629" s="239"/>
      <c r="I629" s="233"/>
      <c r="J629" s="233"/>
      <c r="K629" s="233"/>
      <c r="L629" s="62"/>
      <c r="M629" s="2488">
        <f>SUM(F629:K629)</f>
        <v>0</v>
      </c>
      <c r="N629" s="3638"/>
    </row>
    <row r="630" spans="1:15" s="678" customFormat="1" ht="12.75" hidden="1" customHeight="1">
      <c r="A630" s="3647"/>
      <c r="B630" s="66" t="s">
        <v>20</v>
      </c>
      <c r="C630" s="18"/>
      <c r="D630" s="102"/>
      <c r="E630" s="102"/>
      <c r="F630" s="236"/>
      <c r="G630" s="236"/>
      <c r="H630" s="236"/>
      <c r="I630" s="236"/>
      <c r="J630" s="236"/>
      <c r="K630" s="236"/>
      <c r="L630" s="236"/>
      <c r="M630" s="3674" t="s">
        <v>21</v>
      </c>
      <c r="N630" s="3638"/>
    </row>
    <row r="631" spans="1:15" s="678" customFormat="1" ht="12.75" hidden="1" customHeight="1">
      <c r="A631" s="3647"/>
      <c r="B631" s="144" t="s">
        <v>22</v>
      </c>
      <c r="C631" s="3677" t="s">
        <v>75</v>
      </c>
      <c r="D631" s="337"/>
      <c r="E631" s="337"/>
      <c r="F631" s="240"/>
      <c r="G631" s="240"/>
      <c r="H631" s="235"/>
      <c r="I631" s="235"/>
      <c r="J631" s="235"/>
      <c r="K631" s="235"/>
      <c r="L631" s="240"/>
      <c r="M631" s="3675"/>
      <c r="N631" s="3638"/>
    </row>
    <row r="632" spans="1:15" s="678" customFormat="1" ht="12.75" hidden="1" customHeight="1" thickBot="1">
      <c r="A632" s="3648"/>
      <c r="B632" s="109" t="s">
        <v>12</v>
      </c>
      <c r="C632" s="3678"/>
      <c r="D632" s="690"/>
      <c r="E632" s="690"/>
      <c r="F632" s="242"/>
      <c r="G632" s="242"/>
      <c r="H632" s="241"/>
      <c r="I632" s="241"/>
      <c r="J632" s="241"/>
      <c r="K632" s="241"/>
      <c r="L632" s="242"/>
      <c r="M632" s="3676"/>
      <c r="N632" s="3641"/>
    </row>
    <row r="633" spans="1:15" s="678" customFormat="1" ht="14.25" hidden="1" customHeight="1">
      <c r="A633" s="3646" t="s">
        <v>83</v>
      </c>
      <c r="B633" s="232"/>
      <c r="C633" s="48"/>
      <c r="D633" s="104"/>
      <c r="E633" s="35"/>
      <c r="F633" s="35"/>
      <c r="G633" s="35"/>
      <c r="H633" s="35"/>
      <c r="I633" s="35"/>
      <c r="J633" s="35"/>
      <c r="K633" s="35"/>
      <c r="L633" s="35"/>
      <c r="M633" s="36"/>
      <c r="N633" s="3637" t="s">
        <v>77</v>
      </c>
    </row>
    <row r="634" spans="1:15" s="678" customFormat="1" ht="12" hidden="1">
      <c r="A634" s="3647"/>
      <c r="B634" s="17" t="s">
        <v>9</v>
      </c>
      <c r="C634" s="18"/>
      <c r="D634" s="102"/>
      <c r="E634" s="102"/>
      <c r="F634" s="102"/>
      <c r="G634" s="236"/>
      <c r="H634" s="236"/>
      <c r="I634" s="236"/>
      <c r="J634" s="236"/>
      <c r="K634" s="236"/>
      <c r="L634" s="102"/>
      <c r="M634" s="54">
        <f>+M635</f>
        <v>0</v>
      </c>
      <c r="N634" s="3638"/>
      <c r="O634" s="677"/>
    </row>
    <row r="635" spans="1:15" s="678" customFormat="1" ht="12" hidden="1">
      <c r="A635" s="3647"/>
      <c r="B635" s="144" t="s">
        <v>22</v>
      </c>
      <c r="C635" s="3677" t="s">
        <v>75</v>
      </c>
      <c r="D635" s="103"/>
      <c r="E635" s="103"/>
      <c r="F635" s="103"/>
      <c r="G635" s="237"/>
      <c r="H635" s="237"/>
      <c r="I635" s="237"/>
      <c r="J635" s="237"/>
      <c r="K635" s="237"/>
      <c r="L635" s="103"/>
      <c r="M635" s="65">
        <f>+M636</f>
        <v>0</v>
      </c>
      <c r="N635" s="3638"/>
    </row>
    <row r="636" spans="1:15" s="678" customFormat="1" hidden="1" thickBot="1">
      <c r="A636" s="3648"/>
      <c r="B636" s="350" t="s">
        <v>11</v>
      </c>
      <c r="C636" s="3678"/>
      <c r="D636" s="690"/>
      <c r="E636" s="690"/>
      <c r="F636" s="201"/>
      <c r="G636" s="249"/>
      <c r="H636" s="249"/>
      <c r="I636" s="238"/>
      <c r="J636" s="238"/>
      <c r="K636" s="238"/>
      <c r="L636" s="201"/>
      <c r="M636" s="2488">
        <f>SUM(F636:K636)</f>
        <v>0</v>
      </c>
      <c r="N636" s="3641"/>
    </row>
    <row r="637" spans="1:15" s="678" customFormat="1" ht="14.25" hidden="1" customHeight="1">
      <c r="A637" s="3646" t="s">
        <v>84</v>
      </c>
      <c r="B637" s="232"/>
      <c r="C637" s="48"/>
      <c r="D637" s="104"/>
      <c r="E637" s="35"/>
      <c r="F637" s="35"/>
      <c r="G637" s="35"/>
      <c r="H637" s="35"/>
      <c r="I637" s="35"/>
      <c r="J637" s="35"/>
      <c r="K637" s="35"/>
      <c r="L637" s="35"/>
      <c r="M637" s="36"/>
      <c r="N637" s="3637" t="s">
        <v>77</v>
      </c>
    </row>
    <row r="638" spans="1:15" s="678" customFormat="1" ht="12" hidden="1">
      <c r="A638" s="3647"/>
      <c r="B638" s="17" t="s">
        <v>9</v>
      </c>
      <c r="C638" s="18"/>
      <c r="D638" s="102"/>
      <c r="E638" s="236"/>
      <c r="F638" s="102"/>
      <c r="G638" s="102"/>
      <c r="H638" s="236"/>
      <c r="I638" s="236"/>
      <c r="J638" s="236"/>
      <c r="K638" s="236"/>
      <c r="L638" s="102"/>
      <c r="M638" s="54">
        <f>+M639</f>
        <v>0</v>
      </c>
      <c r="N638" s="3638"/>
      <c r="O638" s="677"/>
    </row>
    <row r="639" spans="1:15" s="678" customFormat="1" ht="12" hidden="1">
      <c r="A639" s="3647"/>
      <c r="B639" s="144" t="s">
        <v>22</v>
      </c>
      <c r="C639" s="3677" t="s">
        <v>75</v>
      </c>
      <c r="D639" s="103"/>
      <c r="E639" s="237"/>
      <c r="F639" s="103"/>
      <c r="G639" s="103"/>
      <c r="H639" s="237"/>
      <c r="I639" s="237"/>
      <c r="J639" s="237"/>
      <c r="K639" s="237"/>
      <c r="L639" s="103"/>
      <c r="M639" s="65">
        <f>+M640</f>
        <v>0</v>
      </c>
      <c r="N639" s="3638"/>
    </row>
    <row r="640" spans="1:15" s="678" customFormat="1" hidden="1" thickBot="1">
      <c r="A640" s="3648"/>
      <c r="B640" s="350" t="s">
        <v>11</v>
      </c>
      <c r="C640" s="3678"/>
      <c r="D640" s="690"/>
      <c r="E640" s="486"/>
      <c r="F640" s="201"/>
      <c r="G640" s="201"/>
      <c r="H640" s="249"/>
      <c r="I640" s="238"/>
      <c r="J640" s="238"/>
      <c r="K640" s="238"/>
      <c r="L640" s="201"/>
      <c r="M640" s="2488">
        <f>SUM(F640:K640)</f>
        <v>0</v>
      </c>
      <c r="N640" s="3641"/>
    </row>
    <row r="641" spans="1:15" s="678" customFormat="1" ht="24" customHeight="1">
      <c r="A641" s="3646" t="s">
        <v>78</v>
      </c>
      <c r="B641" s="232" t="s">
        <v>509</v>
      </c>
      <c r="C641" s="1221" t="s">
        <v>99</v>
      </c>
      <c r="D641" s="2099"/>
      <c r="E641" s="2098"/>
      <c r="F641" s="2098"/>
      <c r="G641" s="2098"/>
      <c r="H641" s="2098"/>
      <c r="I641" s="2098"/>
      <c r="J641" s="2098"/>
      <c r="K641" s="34"/>
      <c r="L641" s="2098"/>
      <c r="M641" s="36"/>
      <c r="N641" s="3637" t="s">
        <v>92</v>
      </c>
    </row>
    <row r="642" spans="1:15" s="678" customFormat="1" ht="12.75" customHeight="1">
      <c r="A642" s="3647"/>
      <c r="B642" s="1722" t="s">
        <v>9</v>
      </c>
      <c r="C642" s="1999"/>
      <c r="D642" s="1200">
        <f>+D643</f>
        <v>881434</v>
      </c>
      <c r="E642" s="1200">
        <f t="shared" ref="E642:J643" si="359">+E643</f>
        <v>197432</v>
      </c>
      <c r="F642" s="1200">
        <f t="shared" si="359"/>
        <v>104002</v>
      </c>
      <c r="G642" s="1200">
        <f t="shared" si="359"/>
        <v>145000</v>
      </c>
      <c r="H642" s="1200">
        <f t="shared" si="359"/>
        <v>145000</v>
      </c>
      <c r="I642" s="1200">
        <f t="shared" si="359"/>
        <v>145000</v>
      </c>
      <c r="J642" s="1200">
        <f t="shared" si="359"/>
        <v>145000</v>
      </c>
      <c r="K642" s="1205">
        <v>0</v>
      </c>
      <c r="L642" s="1200">
        <f>+L643</f>
        <v>0</v>
      </c>
      <c r="M642" s="1179">
        <f>+M643</f>
        <v>580000</v>
      </c>
      <c r="N642" s="3638"/>
      <c r="O642" s="677"/>
    </row>
    <row r="643" spans="1:15" s="678" customFormat="1" ht="12.75" customHeight="1">
      <c r="A643" s="3647"/>
      <c r="B643" s="1743" t="s">
        <v>22</v>
      </c>
      <c r="C643" s="3649" t="s">
        <v>89</v>
      </c>
      <c r="D643" s="1201">
        <f>+D644</f>
        <v>881434</v>
      </c>
      <c r="E643" s="1201">
        <f t="shared" si="359"/>
        <v>197432</v>
      </c>
      <c r="F643" s="1201">
        <f t="shared" si="359"/>
        <v>104002</v>
      </c>
      <c r="G643" s="1201">
        <f t="shared" si="359"/>
        <v>145000</v>
      </c>
      <c r="H643" s="1201">
        <f t="shared" si="359"/>
        <v>145000</v>
      </c>
      <c r="I643" s="1201">
        <f>145000</f>
        <v>145000</v>
      </c>
      <c r="J643" s="1201">
        <f>145000</f>
        <v>145000</v>
      </c>
      <c r="K643" s="1203">
        <v>0</v>
      </c>
      <c r="L643" s="1201">
        <f>+L644</f>
        <v>0</v>
      </c>
      <c r="M643" s="1182">
        <f>+M644</f>
        <v>580000</v>
      </c>
      <c r="N643" s="3638"/>
    </row>
    <row r="644" spans="1:15" s="678" customFormat="1" ht="12.75" customHeight="1" thickBot="1">
      <c r="A644" s="3648"/>
      <c r="B644" s="350" t="s">
        <v>11</v>
      </c>
      <c r="C644" s="3678"/>
      <c r="D644" s="1636">
        <f>E644+L644+F644+G644+H644+I644+J644+K644</f>
        <v>881434</v>
      </c>
      <c r="E644" s="1636">
        <f>116055+81377</f>
        <v>197432</v>
      </c>
      <c r="F644" s="1749">
        <f>135000-30553-445</f>
        <v>104002</v>
      </c>
      <c r="G644" s="1749">
        <f>135000+10000</f>
        <v>145000</v>
      </c>
      <c r="H644" s="1749">
        <f>135000+10000</f>
        <v>145000</v>
      </c>
      <c r="I644" s="1749">
        <f>145000</f>
        <v>145000</v>
      </c>
      <c r="J644" s="1749">
        <f>145000</f>
        <v>145000</v>
      </c>
      <c r="K644" s="1746">
        <v>0</v>
      </c>
      <c r="L644" s="1749">
        <v>0</v>
      </c>
      <c r="M644" s="2502">
        <f>SUM(G644:K644)</f>
        <v>580000</v>
      </c>
      <c r="N644" s="3641"/>
    </row>
    <row r="645" spans="1:15" s="678" customFormat="1" ht="27" hidden="1" customHeight="1">
      <c r="A645" s="3646" t="s">
        <v>79</v>
      </c>
      <c r="B645" s="232" t="s">
        <v>381</v>
      </c>
      <c r="C645" s="48" t="s">
        <v>72</v>
      </c>
      <c r="D645" s="2099"/>
      <c r="E645" s="2098"/>
      <c r="F645" s="2098"/>
      <c r="G645" s="2098"/>
      <c r="H645" s="2098"/>
      <c r="I645" s="2098"/>
      <c r="J645" s="2098"/>
      <c r="K645" s="34"/>
      <c r="L645" s="2098"/>
      <c r="M645" s="36"/>
      <c r="N645" s="3637" t="s">
        <v>77</v>
      </c>
    </row>
    <row r="646" spans="1:15" s="678" customFormat="1" ht="12" hidden="1">
      <c r="A646" s="3647"/>
      <c r="B646" s="475" t="s">
        <v>9</v>
      </c>
      <c r="C646" s="1177"/>
      <c r="D646" s="1200">
        <f>+D647</f>
        <v>0</v>
      </c>
      <c r="E646" s="1200">
        <f>+E647</f>
        <v>0</v>
      </c>
      <c r="F646" s="1200">
        <f t="shared" ref="F646:F647" si="360">+F647</f>
        <v>0</v>
      </c>
      <c r="G646" s="1205">
        <v>0</v>
      </c>
      <c r="H646" s="1205">
        <v>0</v>
      </c>
      <c r="I646" s="1205">
        <v>0</v>
      </c>
      <c r="J646" s="1205">
        <v>0</v>
      </c>
      <c r="K646" s="1205">
        <v>0</v>
      </c>
      <c r="L646" s="1200">
        <f>+L647</f>
        <v>0</v>
      </c>
      <c r="M646" s="1179">
        <f>+M647</f>
        <v>0</v>
      </c>
      <c r="N646" s="3638"/>
      <c r="O646" s="677"/>
    </row>
    <row r="647" spans="1:15" s="678" customFormat="1" ht="12" hidden="1">
      <c r="A647" s="3647"/>
      <c r="B647" s="453" t="s">
        <v>22</v>
      </c>
      <c r="C647" s="3649" t="s">
        <v>75</v>
      </c>
      <c r="D647" s="1201">
        <f>+D648</f>
        <v>0</v>
      </c>
      <c r="E647" s="1201">
        <f>+E648</f>
        <v>0</v>
      </c>
      <c r="F647" s="1201">
        <f t="shared" si="360"/>
        <v>0</v>
      </c>
      <c r="G647" s="1203">
        <v>0</v>
      </c>
      <c r="H647" s="1203">
        <v>0</v>
      </c>
      <c r="I647" s="1203">
        <v>0</v>
      </c>
      <c r="J647" s="1203">
        <v>0</v>
      </c>
      <c r="K647" s="1203">
        <v>0</v>
      </c>
      <c r="L647" s="1201">
        <f>+L648</f>
        <v>0</v>
      </c>
      <c r="M647" s="1182">
        <f>+M648</f>
        <v>0</v>
      </c>
      <c r="N647" s="3638"/>
    </row>
    <row r="648" spans="1:15" s="678" customFormat="1" hidden="1" thickBot="1">
      <c r="A648" s="3648"/>
      <c r="B648" s="350" t="s">
        <v>11</v>
      </c>
      <c r="C648" s="3678"/>
      <c r="D648" s="1262">
        <f>E648+L648+F648+G648+H648+I648+J648+K648</f>
        <v>0</v>
      </c>
      <c r="E648" s="1262"/>
      <c r="F648" s="1440"/>
      <c r="G648" s="2354">
        <v>0</v>
      </c>
      <c r="H648" s="2354">
        <v>0</v>
      </c>
      <c r="I648" s="2354">
        <v>0</v>
      </c>
      <c r="J648" s="2354">
        <v>0</v>
      </c>
      <c r="K648" s="2354">
        <v>0</v>
      </c>
      <c r="L648" s="1440"/>
      <c r="M648" s="2446">
        <f>SUM(G648:K648)</f>
        <v>0</v>
      </c>
      <c r="N648" s="3641"/>
    </row>
    <row r="649" spans="1:15" s="678" customFormat="1" ht="12" customHeight="1">
      <c r="A649" s="3646" t="s">
        <v>79</v>
      </c>
      <c r="B649" s="232" t="s">
        <v>594</v>
      </c>
      <c r="C649" s="48" t="s">
        <v>99</v>
      </c>
      <c r="D649" s="2099"/>
      <c r="E649" s="2097"/>
      <c r="F649" s="2098"/>
      <c r="G649" s="2098"/>
      <c r="H649" s="2098"/>
      <c r="I649" s="2098"/>
      <c r="J649" s="2098"/>
      <c r="K649" s="34"/>
      <c r="L649" s="2098"/>
      <c r="M649" s="36"/>
      <c r="N649" s="3637" t="s">
        <v>77</v>
      </c>
    </row>
    <row r="650" spans="1:15" s="678" customFormat="1" ht="12.75" customHeight="1">
      <c r="A650" s="3647"/>
      <c r="B650" s="1722" t="s">
        <v>9</v>
      </c>
      <c r="C650" s="1999"/>
      <c r="D650" s="1200">
        <f>+D651</f>
        <v>134171811</v>
      </c>
      <c r="E650" s="1200">
        <f t="shared" ref="E650:I650" si="361">+E651</f>
        <v>27220670</v>
      </c>
      <c r="F650" s="1200">
        <f t="shared" si="361"/>
        <v>26855945</v>
      </c>
      <c r="G650" s="1200">
        <f t="shared" si="361"/>
        <v>26265000</v>
      </c>
      <c r="H650" s="1200">
        <f t="shared" si="361"/>
        <v>26915098</v>
      </c>
      <c r="I650" s="1200">
        <f t="shared" si="361"/>
        <v>26915098</v>
      </c>
      <c r="J650" s="1205">
        <v>0</v>
      </c>
      <c r="K650" s="1205">
        <v>0</v>
      </c>
      <c r="L650" s="1200">
        <f>+L651</f>
        <v>0</v>
      </c>
      <c r="M650" s="1179">
        <f>+M651</f>
        <v>80095196</v>
      </c>
      <c r="N650" s="3638"/>
      <c r="O650" s="677"/>
    </row>
    <row r="651" spans="1:15" s="678" customFormat="1" ht="12.75" customHeight="1">
      <c r="A651" s="3647"/>
      <c r="B651" s="1743" t="s">
        <v>22</v>
      </c>
      <c r="C651" s="3746" t="s">
        <v>365</v>
      </c>
      <c r="D651" s="1201">
        <f>+D652+D653</f>
        <v>134171811</v>
      </c>
      <c r="E651" s="1201">
        <f t="shared" ref="E651" si="362">+E652+E653</f>
        <v>27220670</v>
      </c>
      <c r="F651" s="1201">
        <f t="shared" ref="F651:K651" si="363">+F652+F653</f>
        <v>26855945</v>
      </c>
      <c r="G651" s="1201">
        <f t="shared" si="363"/>
        <v>26265000</v>
      </c>
      <c r="H651" s="1201">
        <f t="shared" si="363"/>
        <v>26915098</v>
      </c>
      <c r="I651" s="1201">
        <f t="shared" ref="I651" si="364">+I652+I653</f>
        <v>26915098</v>
      </c>
      <c r="J651" s="1203">
        <f t="shared" si="363"/>
        <v>0</v>
      </c>
      <c r="K651" s="1203">
        <f t="shared" si="363"/>
        <v>0</v>
      </c>
      <c r="L651" s="1201">
        <f>+L652+L653</f>
        <v>0</v>
      </c>
      <c r="M651" s="1182">
        <f>+M652+M653</f>
        <v>80095196</v>
      </c>
      <c r="N651" s="3638"/>
    </row>
    <row r="652" spans="1:15" s="678" customFormat="1" ht="13.5" customHeight="1">
      <c r="A652" s="3647"/>
      <c r="B652" s="2238" t="s">
        <v>11</v>
      </c>
      <c r="C652" s="3640"/>
      <c r="D652" s="1115">
        <f>E652+L652+F652+G652+H652+I652+J652+K652</f>
        <v>85128083</v>
      </c>
      <c r="E652" s="1193">
        <f>24142831+86188+3000000-23425991-8349</f>
        <v>3794679</v>
      </c>
      <c r="F652" s="1193">
        <f>26856601-25617737-656</f>
        <v>1238208</v>
      </c>
      <c r="G652" s="1193">
        <v>26265000</v>
      </c>
      <c r="H652" s="1193">
        <v>26915098</v>
      </c>
      <c r="I652" s="1193">
        <v>26915098</v>
      </c>
      <c r="J652" s="1138">
        <v>0</v>
      </c>
      <c r="K652" s="1138">
        <v>0</v>
      </c>
      <c r="L652" s="1193">
        <v>0</v>
      </c>
      <c r="M652" s="1195">
        <f>SUM(G652:K652)</f>
        <v>80095196</v>
      </c>
      <c r="N652" s="3638"/>
    </row>
    <row r="653" spans="1:15" s="678" customFormat="1" ht="13.5" customHeight="1">
      <c r="A653" s="3647"/>
      <c r="B653" s="2238" t="s">
        <v>69</v>
      </c>
      <c r="C653" s="3650"/>
      <c r="D653" s="1160">
        <f>E653+L653+F653+G653+H653+I653+J653+K653</f>
        <v>49043728</v>
      </c>
      <c r="E653" s="1193">
        <f>23425991</f>
        <v>23425991</v>
      </c>
      <c r="F653" s="1193">
        <v>25617737</v>
      </c>
      <c r="G653" s="1138">
        <v>0</v>
      </c>
      <c r="H653" s="1138">
        <v>0</v>
      </c>
      <c r="I653" s="1138">
        <v>0</v>
      </c>
      <c r="J653" s="1138">
        <v>0</v>
      </c>
      <c r="K653" s="1138"/>
      <c r="L653" s="1193">
        <v>0</v>
      </c>
      <c r="M653" s="1195">
        <f>SUM(G653:K653)</f>
        <v>0</v>
      </c>
      <c r="N653" s="3652"/>
    </row>
    <row r="654" spans="1:15" s="678" customFormat="1" ht="14.25" customHeight="1">
      <c r="A654" s="3647"/>
      <c r="B654" s="68" t="s">
        <v>20</v>
      </c>
      <c r="C654" s="75"/>
      <c r="D654" s="2240">
        <f>+D655</f>
        <v>49043728</v>
      </c>
      <c r="E654" s="2240">
        <f t="shared" ref="E654:E655" si="365">+E655</f>
        <v>23425991</v>
      </c>
      <c r="F654" s="2240">
        <f t="shared" ref="F654:F655" si="366">+F655</f>
        <v>25617737</v>
      </c>
      <c r="G654" s="2104">
        <f t="shared" ref="G654:G655" si="367">+G655</f>
        <v>0</v>
      </c>
      <c r="H654" s="2104">
        <f t="shared" ref="H654:H655" si="368">+H655</f>
        <v>0</v>
      </c>
      <c r="I654" s="2104">
        <f t="shared" ref="I654:I655" si="369">+I655</f>
        <v>0</v>
      </c>
      <c r="J654" s="2104">
        <f t="shared" ref="J654:J655" si="370">+J655</f>
        <v>0</v>
      </c>
      <c r="K654" s="2104">
        <f t="shared" ref="K654:K655" si="371">+K655</f>
        <v>0</v>
      </c>
      <c r="L654" s="2240">
        <f>+L655</f>
        <v>0</v>
      </c>
      <c r="M654" s="3688" t="s">
        <v>21</v>
      </c>
      <c r="N654" s="3651" t="s">
        <v>92</v>
      </c>
    </row>
    <row r="655" spans="1:15" s="678" customFormat="1" ht="14.25" customHeight="1">
      <c r="A655" s="3647"/>
      <c r="B655" s="1743" t="s">
        <v>22</v>
      </c>
      <c r="C655" s="3664" t="s">
        <v>75</v>
      </c>
      <c r="D655" s="1201">
        <f>+D656</f>
        <v>49043728</v>
      </c>
      <c r="E655" s="1201">
        <f t="shared" si="365"/>
        <v>23425991</v>
      </c>
      <c r="F655" s="1201">
        <f t="shared" si="366"/>
        <v>25617737</v>
      </c>
      <c r="G655" s="1203">
        <f t="shared" si="367"/>
        <v>0</v>
      </c>
      <c r="H655" s="1203">
        <f t="shared" si="368"/>
        <v>0</v>
      </c>
      <c r="I655" s="1203">
        <f t="shared" si="369"/>
        <v>0</v>
      </c>
      <c r="J655" s="1203">
        <f t="shared" si="370"/>
        <v>0</v>
      </c>
      <c r="K655" s="1203">
        <f t="shared" si="371"/>
        <v>0</v>
      </c>
      <c r="L655" s="1201">
        <f>+L656</f>
        <v>0</v>
      </c>
      <c r="M655" s="3675"/>
      <c r="N655" s="3638"/>
    </row>
    <row r="656" spans="1:15" s="678" customFormat="1" ht="14.25" customHeight="1" thickBot="1">
      <c r="A656" s="3648"/>
      <c r="B656" s="350" t="s">
        <v>69</v>
      </c>
      <c r="C656" s="3667"/>
      <c r="D656" s="1636">
        <f>E656+L656+F656+G656+H656+I656+J656+K656</f>
        <v>49043728</v>
      </c>
      <c r="E656" s="2239">
        <f>23425991</f>
        <v>23425991</v>
      </c>
      <c r="F656" s="2239">
        <v>25617737</v>
      </c>
      <c r="G656" s="1746">
        <v>0</v>
      </c>
      <c r="H656" s="1746">
        <v>0</v>
      </c>
      <c r="I656" s="1746">
        <v>0</v>
      </c>
      <c r="J656" s="1746">
        <v>0</v>
      </c>
      <c r="K656" s="1746">
        <v>0</v>
      </c>
      <c r="L656" s="2239">
        <v>0</v>
      </c>
      <c r="M656" s="3676"/>
      <c r="N656" s="3641"/>
    </row>
    <row r="657" spans="1:15" s="678" customFormat="1" ht="15.75" customHeight="1">
      <c r="A657" s="3646" t="s">
        <v>80</v>
      </c>
      <c r="B657" s="232" t="s">
        <v>293</v>
      </c>
      <c r="C657" s="48" t="s">
        <v>72</v>
      </c>
      <c r="D657" s="2099"/>
      <c r="E657" s="2097"/>
      <c r="F657" s="2098"/>
      <c r="G657" s="2098"/>
      <c r="H657" s="2098"/>
      <c r="I657" s="2098"/>
      <c r="J657" s="2098"/>
      <c r="K657" s="34"/>
      <c r="L657" s="2098"/>
      <c r="M657" s="36"/>
      <c r="N657" s="3637" t="s">
        <v>77</v>
      </c>
    </row>
    <row r="658" spans="1:15" s="678" customFormat="1" ht="12.75" customHeight="1">
      <c r="A658" s="3647"/>
      <c r="B658" s="475" t="s">
        <v>9</v>
      </c>
      <c r="C658" s="1199"/>
      <c r="D658" s="1200">
        <f>+D659</f>
        <v>118729458</v>
      </c>
      <c r="E658" s="1200">
        <f t="shared" ref="E658:H658" si="372">+E659</f>
        <v>24291326</v>
      </c>
      <c r="F658" s="1200">
        <f t="shared" si="372"/>
        <v>34608132</v>
      </c>
      <c r="G658" s="1200">
        <f t="shared" si="372"/>
        <v>28550000</v>
      </c>
      <c r="H658" s="1200">
        <f t="shared" si="372"/>
        <v>31280000</v>
      </c>
      <c r="I658" s="1205">
        <v>0</v>
      </c>
      <c r="J658" s="1205">
        <v>0</v>
      </c>
      <c r="K658" s="1205">
        <v>0</v>
      </c>
      <c r="L658" s="1200">
        <f>+L659</f>
        <v>0</v>
      </c>
      <c r="M658" s="1124">
        <f>+M659</f>
        <v>59830000</v>
      </c>
      <c r="N658" s="3638"/>
      <c r="O658" s="677"/>
    </row>
    <row r="659" spans="1:15" s="678" customFormat="1" ht="12.75" customHeight="1">
      <c r="A659" s="3647"/>
      <c r="B659" s="453" t="s">
        <v>22</v>
      </c>
      <c r="C659" s="3649" t="s">
        <v>75</v>
      </c>
      <c r="D659" s="1201">
        <f>+D660+D661</f>
        <v>118729458</v>
      </c>
      <c r="E659" s="1201">
        <f t="shared" ref="E659" si="373">+E660+E661</f>
        <v>24291326</v>
      </c>
      <c r="F659" s="1201">
        <f t="shared" ref="F659:K659" si="374">+F660+F661</f>
        <v>34608132</v>
      </c>
      <c r="G659" s="1201">
        <f t="shared" si="374"/>
        <v>28550000</v>
      </c>
      <c r="H659" s="1201">
        <f t="shared" si="374"/>
        <v>31280000</v>
      </c>
      <c r="I659" s="1203">
        <f t="shared" si="374"/>
        <v>0</v>
      </c>
      <c r="J659" s="1203">
        <f t="shared" si="374"/>
        <v>0</v>
      </c>
      <c r="K659" s="1203">
        <f t="shared" si="374"/>
        <v>0</v>
      </c>
      <c r="L659" s="1201">
        <f>+L660+L661</f>
        <v>0</v>
      </c>
      <c r="M659" s="1182">
        <f>+M660+M661</f>
        <v>59830000</v>
      </c>
      <c r="N659" s="3638"/>
    </row>
    <row r="660" spans="1:15" s="678" customFormat="1" ht="12">
      <c r="A660" s="3647"/>
      <c r="B660" s="1046" t="s">
        <v>11</v>
      </c>
      <c r="C660" s="3640"/>
      <c r="D660" s="1115">
        <f>E660+L660+F660+G660+H660+I660+J660+K660</f>
        <v>114251107</v>
      </c>
      <c r="E660" s="1193">
        <f>22110000-674</f>
        <v>22109326</v>
      </c>
      <c r="F660" s="1193">
        <f>29200000+3123348-11567</f>
        <v>32311781</v>
      </c>
      <c r="G660" s="1193">
        <f>30550000-2650000+650000</f>
        <v>28550000</v>
      </c>
      <c r="H660" s="1193">
        <v>31280000</v>
      </c>
      <c r="I660" s="1138">
        <v>0</v>
      </c>
      <c r="J660" s="1138">
        <v>0</v>
      </c>
      <c r="K660" s="1138">
        <v>0</v>
      </c>
      <c r="L660" s="1193"/>
      <c r="M660" s="2446">
        <f>SUM(G660:K660)</f>
        <v>59830000</v>
      </c>
      <c r="N660" s="3638"/>
    </row>
    <row r="661" spans="1:15" s="678" customFormat="1" ht="13.5" customHeight="1">
      <c r="A661" s="3647"/>
      <c r="B661" s="1585" t="s">
        <v>104</v>
      </c>
      <c r="C661" s="3650"/>
      <c r="D661" s="1115">
        <f>E661+L661+F661+G661+H661+I661+J661+K661</f>
        <v>4478351</v>
      </c>
      <c r="E661" s="1193">
        <f>5000+1565000+235000+335000+53000+30000+200000-241000</f>
        <v>2182000</v>
      </c>
      <c r="F661" s="1193">
        <f>550000+325000+906351+515000</f>
        <v>2296351</v>
      </c>
      <c r="G661" s="2308">
        <v>0</v>
      </c>
      <c r="H661" s="2308">
        <v>0</v>
      </c>
      <c r="I661" s="2308">
        <v>0</v>
      </c>
      <c r="J661" s="2308">
        <v>0</v>
      </c>
      <c r="K661" s="2308">
        <v>0</v>
      </c>
      <c r="L661" s="1193"/>
      <c r="M661" s="2446">
        <f>SUM(G661:K661)</f>
        <v>0</v>
      </c>
      <c r="N661" s="3638"/>
    </row>
    <row r="662" spans="1:15" s="678" customFormat="1" ht="12.75" customHeight="1">
      <c r="A662" s="3647"/>
      <c r="B662" s="475" t="s">
        <v>20</v>
      </c>
      <c r="C662" s="1199"/>
      <c r="D662" s="1123">
        <f t="shared" ref="D662:F663" si="375">+D663</f>
        <v>4478351</v>
      </c>
      <c r="E662" s="1200">
        <f t="shared" si="375"/>
        <v>2182000</v>
      </c>
      <c r="F662" s="1200">
        <f t="shared" si="375"/>
        <v>2296351</v>
      </c>
      <c r="G662" s="1205">
        <v>0</v>
      </c>
      <c r="H662" s="1205">
        <v>0</v>
      </c>
      <c r="I662" s="1205">
        <v>0</v>
      </c>
      <c r="J662" s="1205">
        <v>0</v>
      </c>
      <c r="K662" s="1205">
        <v>0</v>
      </c>
      <c r="L662" s="1200">
        <f>+L663</f>
        <v>0</v>
      </c>
      <c r="M662" s="3688" t="s">
        <v>21</v>
      </c>
      <c r="N662" s="3638"/>
    </row>
    <row r="663" spans="1:15" s="678" customFormat="1" ht="13.5" customHeight="1">
      <c r="A663" s="3647"/>
      <c r="B663" s="453" t="s">
        <v>22</v>
      </c>
      <c r="C663" s="3664" t="s">
        <v>75</v>
      </c>
      <c r="D663" s="1192">
        <f t="shared" si="375"/>
        <v>4478351</v>
      </c>
      <c r="E663" s="1201">
        <f t="shared" si="375"/>
        <v>2182000</v>
      </c>
      <c r="F663" s="1201">
        <f t="shared" si="375"/>
        <v>2296351</v>
      </c>
      <c r="G663" s="1203">
        <v>0</v>
      </c>
      <c r="H663" s="1203">
        <v>0</v>
      </c>
      <c r="I663" s="1203">
        <v>0</v>
      </c>
      <c r="J663" s="1203">
        <v>0</v>
      </c>
      <c r="K663" s="1203">
        <v>0</v>
      </c>
      <c r="L663" s="1201">
        <f>+L664</f>
        <v>0</v>
      </c>
      <c r="M663" s="3675"/>
      <c r="N663" s="3638"/>
    </row>
    <row r="664" spans="1:15" s="678" customFormat="1" ht="13.5" customHeight="1" thickBot="1">
      <c r="A664" s="3648"/>
      <c r="B664" s="292" t="s">
        <v>104</v>
      </c>
      <c r="C664" s="3666"/>
      <c r="D664" s="693">
        <f>E664+L664+F664+G664+H664+I664+J664+K664</f>
        <v>4478351</v>
      </c>
      <c r="E664" s="2503">
        <f>5000+1565000+235000+335000+53000+30000+200000-241000</f>
        <v>2182000</v>
      </c>
      <c r="F664" s="1193">
        <f>550000+325000+906351+515000</f>
        <v>2296351</v>
      </c>
      <c r="G664" s="715">
        <v>0</v>
      </c>
      <c r="H664" s="715">
        <v>0</v>
      </c>
      <c r="I664" s="715">
        <v>0</v>
      </c>
      <c r="J664" s="715">
        <v>0</v>
      </c>
      <c r="K664" s="715">
        <v>0</v>
      </c>
      <c r="L664" s="2503"/>
      <c r="M664" s="3676"/>
      <c r="N664" s="3641"/>
    </row>
    <row r="665" spans="1:15" s="678" customFormat="1" ht="12.75" hidden="1" customHeight="1">
      <c r="A665" s="3646" t="s">
        <v>82</v>
      </c>
      <c r="B665" s="232" t="s">
        <v>335</v>
      </c>
      <c r="C665" s="1221" t="s">
        <v>72</v>
      </c>
      <c r="D665" s="2099"/>
      <c r="E665" s="2097"/>
      <c r="F665" s="2098"/>
      <c r="G665" s="2098"/>
      <c r="H665" s="2098"/>
      <c r="I665" s="2098"/>
      <c r="J665" s="2098"/>
      <c r="K665" s="34"/>
      <c r="L665" s="2098"/>
      <c r="M665" s="2504"/>
      <c r="N665" s="3637" t="s">
        <v>77</v>
      </c>
    </row>
    <row r="666" spans="1:15" s="678" customFormat="1" ht="12.75" hidden="1" customHeight="1">
      <c r="A666" s="3647"/>
      <c r="B666" s="1722" t="s">
        <v>9</v>
      </c>
      <c r="C666" s="543"/>
      <c r="D666" s="102">
        <f>+D667</f>
        <v>0</v>
      </c>
      <c r="E666" s="102">
        <f t="shared" ref="E666:H667" si="376">+E667</f>
        <v>0</v>
      </c>
      <c r="F666" s="102">
        <f t="shared" si="376"/>
        <v>0</v>
      </c>
      <c r="G666" s="102">
        <f t="shared" si="376"/>
        <v>0</v>
      </c>
      <c r="H666" s="102">
        <f t="shared" si="376"/>
        <v>0</v>
      </c>
      <c r="I666" s="236">
        <v>0</v>
      </c>
      <c r="J666" s="236">
        <v>0</v>
      </c>
      <c r="K666" s="236">
        <v>0</v>
      </c>
      <c r="L666" s="102">
        <f>+L667</f>
        <v>0</v>
      </c>
      <c r="M666" s="2505">
        <f>+M667</f>
        <v>0</v>
      </c>
      <c r="N666" s="3638"/>
      <c r="O666" s="677"/>
    </row>
    <row r="667" spans="1:15" s="678" customFormat="1" ht="12.75" hidden="1" customHeight="1">
      <c r="A667" s="3647"/>
      <c r="B667" s="1743" t="s">
        <v>22</v>
      </c>
      <c r="C667" s="3703" t="s">
        <v>75</v>
      </c>
      <c r="D667" s="103">
        <f>+D668</f>
        <v>0</v>
      </c>
      <c r="E667" s="103">
        <f t="shared" si="376"/>
        <v>0</v>
      </c>
      <c r="F667" s="103">
        <f t="shared" si="376"/>
        <v>0</v>
      </c>
      <c r="G667" s="103">
        <f t="shared" si="376"/>
        <v>0</v>
      </c>
      <c r="H667" s="103">
        <f t="shared" si="376"/>
        <v>0</v>
      </c>
      <c r="I667" s="237">
        <v>0</v>
      </c>
      <c r="J667" s="237">
        <v>0</v>
      </c>
      <c r="K667" s="237">
        <v>0</v>
      </c>
      <c r="L667" s="103">
        <f>+L668</f>
        <v>0</v>
      </c>
      <c r="M667" s="65">
        <f>+M668</f>
        <v>0</v>
      </c>
      <c r="N667" s="3638"/>
    </row>
    <row r="668" spans="1:15" s="678" customFormat="1" ht="13.5" hidden="1" customHeight="1">
      <c r="A668" s="3647"/>
      <c r="B668" s="2238" t="s">
        <v>11</v>
      </c>
      <c r="C668" s="3703"/>
      <c r="D668" s="234">
        <f>E668+L668+F668+G668+H668+I668+J668+K668</f>
        <v>0</v>
      </c>
      <c r="E668" s="234">
        <v>0</v>
      </c>
      <c r="F668" s="72"/>
      <c r="G668" s="72"/>
      <c r="H668" s="72"/>
      <c r="I668" s="233">
        <v>0</v>
      </c>
      <c r="J668" s="233">
        <v>0</v>
      </c>
      <c r="K668" s="233">
        <v>0</v>
      </c>
      <c r="L668" s="72">
        <v>0</v>
      </c>
      <c r="M668" s="2446">
        <f>SUM(G668:K668)</f>
        <v>0</v>
      </c>
      <c r="N668" s="3638"/>
    </row>
    <row r="669" spans="1:15" s="678" customFormat="1" ht="12.75" hidden="1" customHeight="1">
      <c r="A669" s="3647"/>
      <c r="B669" s="1722" t="s">
        <v>20</v>
      </c>
      <c r="C669" s="543"/>
      <c r="D669" s="1593">
        <f>+E669+L669+F669</f>
        <v>0</v>
      </c>
      <c r="E669" s="2506"/>
      <c r="F669" s="102">
        <f>+F670</f>
        <v>0</v>
      </c>
      <c r="G669" s="236"/>
      <c r="H669" s="236"/>
      <c r="I669" s="236"/>
      <c r="J669" s="236"/>
      <c r="K669" s="236"/>
      <c r="L669" s="102"/>
      <c r="M669" s="3684"/>
      <c r="N669" s="3638"/>
    </row>
    <row r="670" spans="1:15" s="678" customFormat="1" ht="12.75" hidden="1" customHeight="1">
      <c r="A670" s="3647"/>
      <c r="B670" s="1743" t="s">
        <v>22</v>
      </c>
      <c r="C670" s="3686"/>
      <c r="D670" s="55">
        <f>+E670+L670+F670</f>
        <v>0</v>
      </c>
      <c r="E670" s="103"/>
      <c r="F670" s="103">
        <f>+F671</f>
        <v>0</v>
      </c>
      <c r="G670" s="237"/>
      <c r="H670" s="237"/>
      <c r="I670" s="237"/>
      <c r="J670" s="237"/>
      <c r="K670" s="237"/>
      <c r="L670" s="103"/>
      <c r="M670" s="3684"/>
      <c r="N670" s="3638"/>
    </row>
    <row r="671" spans="1:15" s="678" customFormat="1" ht="13.5" hidden="1" customHeight="1" thickBot="1">
      <c r="A671" s="3647"/>
      <c r="B671" s="347" t="s">
        <v>273</v>
      </c>
      <c r="C671" s="3687"/>
      <c r="D671" s="1636">
        <f>+E671+L671+F671</f>
        <v>0</v>
      </c>
      <c r="E671" s="1636"/>
      <c r="F671" s="1749"/>
      <c r="G671" s="1746"/>
      <c r="H671" s="1746"/>
      <c r="I671" s="1746"/>
      <c r="J671" s="1746"/>
      <c r="K671" s="1746"/>
      <c r="L671" s="1749"/>
      <c r="M671" s="3685"/>
      <c r="N671" s="3641"/>
    </row>
    <row r="672" spans="1:15" s="678" customFormat="1" ht="17.25" customHeight="1">
      <c r="A672" s="3646" t="s">
        <v>81</v>
      </c>
      <c r="B672" s="232" t="s">
        <v>362</v>
      </c>
      <c r="C672" s="48" t="s">
        <v>72</v>
      </c>
      <c r="D672" s="2099"/>
      <c r="E672" s="2098"/>
      <c r="F672" s="2098"/>
      <c r="G672" s="2098"/>
      <c r="H672" s="2098"/>
      <c r="I672" s="2098"/>
      <c r="J672" s="2098"/>
      <c r="K672" s="34"/>
      <c r="L672" s="2098"/>
      <c r="M672" s="36"/>
      <c r="N672" s="3637" t="s">
        <v>77</v>
      </c>
    </row>
    <row r="673" spans="1:14" s="678" customFormat="1" ht="12">
      <c r="A673" s="3647"/>
      <c r="B673" s="475" t="s">
        <v>9</v>
      </c>
      <c r="C673" s="1177"/>
      <c r="D673" s="1200">
        <f>+D674</f>
        <v>29998170</v>
      </c>
      <c r="E673" s="1200">
        <f t="shared" ref="E673:K674" si="377">+E674</f>
        <v>9999995</v>
      </c>
      <c r="F673" s="1200">
        <f t="shared" si="377"/>
        <v>9998175</v>
      </c>
      <c r="G673" s="1200">
        <f t="shared" si="377"/>
        <v>10000000</v>
      </c>
      <c r="H673" s="1200">
        <f t="shared" si="377"/>
        <v>0</v>
      </c>
      <c r="I673" s="1200">
        <f t="shared" si="377"/>
        <v>0</v>
      </c>
      <c r="J673" s="1200">
        <f t="shared" si="377"/>
        <v>0</v>
      </c>
      <c r="K673" s="1200">
        <f t="shared" si="377"/>
        <v>0</v>
      </c>
      <c r="L673" s="1200">
        <f>+L674</f>
        <v>0</v>
      </c>
      <c r="M673" s="1179">
        <f>+M674</f>
        <v>10000000</v>
      </c>
      <c r="N673" s="3638"/>
    </row>
    <row r="674" spans="1:14" s="678" customFormat="1" ht="12">
      <c r="A674" s="3647"/>
      <c r="B674" s="453" t="s">
        <v>22</v>
      </c>
      <c r="C674" s="3664" t="s">
        <v>75</v>
      </c>
      <c r="D674" s="1201">
        <f>+D675</f>
        <v>29998170</v>
      </c>
      <c r="E674" s="1201">
        <f t="shared" si="377"/>
        <v>9999995</v>
      </c>
      <c r="F674" s="1201">
        <f t="shared" si="377"/>
        <v>9998175</v>
      </c>
      <c r="G674" s="1201">
        <f t="shared" si="377"/>
        <v>10000000</v>
      </c>
      <c r="H674" s="1201">
        <f t="shared" si="377"/>
        <v>0</v>
      </c>
      <c r="I674" s="1201">
        <f t="shared" si="377"/>
        <v>0</v>
      </c>
      <c r="J674" s="1201">
        <f t="shared" si="377"/>
        <v>0</v>
      </c>
      <c r="K674" s="1201">
        <f t="shared" si="377"/>
        <v>0</v>
      </c>
      <c r="L674" s="1201">
        <f>+L675</f>
        <v>0</v>
      </c>
      <c r="M674" s="1182">
        <f>+M675</f>
        <v>10000000</v>
      </c>
      <c r="N674" s="3638"/>
    </row>
    <row r="675" spans="1:14" s="678" customFormat="1" thickBot="1">
      <c r="A675" s="3648"/>
      <c r="B675" s="347" t="s">
        <v>11</v>
      </c>
      <c r="C675" s="3667"/>
      <c r="D675" s="1410">
        <f>E675+L675+F675+G675+H675+I675+J675+K675</f>
        <v>29998170</v>
      </c>
      <c r="E675" s="1440">
        <f>10000000-5</f>
        <v>9999995</v>
      </c>
      <c r="F675" s="1440">
        <f>10000000-1825</f>
        <v>9998175</v>
      </c>
      <c r="G675" s="1440">
        <v>10000000</v>
      </c>
      <c r="H675" s="1440"/>
      <c r="I675" s="1586"/>
      <c r="J675" s="1473"/>
      <c r="K675" s="1440"/>
      <c r="L675" s="1440"/>
      <c r="M675" s="2446">
        <f>SUM(G675:K675)</f>
        <v>10000000</v>
      </c>
      <c r="N675" s="3641"/>
    </row>
    <row r="676" spans="1:14" s="678" customFormat="1" ht="27" customHeight="1">
      <c r="A676" s="3646" t="s">
        <v>82</v>
      </c>
      <c r="B676" s="232" t="s">
        <v>547</v>
      </c>
      <c r="C676" s="48" t="s">
        <v>72</v>
      </c>
      <c r="D676" s="2099"/>
      <c r="E676" s="2098"/>
      <c r="F676" s="2098"/>
      <c r="G676" s="2098"/>
      <c r="H676" s="2098"/>
      <c r="I676" s="2098"/>
      <c r="J676" s="2098"/>
      <c r="K676" s="34"/>
      <c r="L676" s="2098"/>
      <c r="M676" s="36"/>
      <c r="N676" s="3637" t="s">
        <v>77</v>
      </c>
    </row>
    <row r="677" spans="1:14" s="678" customFormat="1" ht="12">
      <c r="A677" s="3647"/>
      <c r="B677" s="1722" t="s">
        <v>9</v>
      </c>
      <c r="C677" s="1999"/>
      <c r="D677" s="1200">
        <f>+D678</f>
        <v>2779364</v>
      </c>
      <c r="E677" s="1205">
        <f t="shared" ref="E677:K678" si="378">+E678</f>
        <v>0</v>
      </c>
      <c r="F677" s="1200">
        <f t="shared" si="378"/>
        <v>129364</v>
      </c>
      <c r="G677" s="1200">
        <f t="shared" si="378"/>
        <v>2650000</v>
      </c>
      <c r="H677" s="1200">
        <f t="shared" si="378"/>
        <v>0</v>
      </c>
      <c r="I677" s="1200">
        <f t="shared" si="378"/>
        <v>0</v>
      </c>
      <c r="J677" s="1200">
        <f t="shared" si="378"/>
        <v>0</v>
      </c>
      <c r="K677" s="1200">
        <f t="shared" si="378"/>
        <v>0</v>
      </c>
      <c r="L677" s="1200">
        <f>+L678</f>
        <v>0</v>
      </c>
      <c r="M677" s="1179">
        <f>+M678</f>
        <v>2650000</v>
      </c>
      <c r="N677" s="3638"/>
    </row>
    <row r="678" spans="1:14" s="678" customFormat="1" ht="12">
      <c r="A678" s="3647"/>
      <c r="B678" s="1743" t="s">
        <v>22</v>
      </c>
      <c r="C678" s="3664" t="s">
        <v>75</v>
      </c>
      <c r="D678" s="1201">
        <f>+D679</f>
        <v>2779364</v>
      </c>
      <c r="E678" s="1203">
        <f t="shared" si="378"/>
        <v>0</v>
      </c>
      <c r="F678" s="1201">
        <f t="shared" si="378"/>
        <v>129364</v>
      </c>
      <c r="G678" s="1201">
        <f t="shared" si="378"/>
        <v>2650000</v>
      </c>
      <c r="H678" s="1201">
        <f t="shared" si="378"/>
        <v>0</v>
      </c>
      <c r="I678" s="1201">
        <f t="shared" si="378"/>
        <v>0</v>
      </c>
      <c r="J678" s="1201">
        <f t="shared" si="378"/>
        <v>0</v>
      </c>
      <c r="K678" s="1201">
        <f t="shared" si="378"/>
        <v>0</v>
      </c>
      <c r="L678" s="1201">
        <f>+L679</f>
        <v>0</v>
      </c>
      <c r="M678" s="1182">
        <f>+M679</f>
        <v>2650000</v>
      </c>
      <c r="N678" s="3638"/>
    </row>
    <row r="679" spans="1:14" s="678" customFormat="1" thickBot="1">
      <c r="A679" s="3648"/>
      <c r="B679" s="347" t="s">
        <v>11</v>
      </c>
      <c r="C679" s="3667"/>
      <c r="D679" s="1410">
        <f>E679+L679+F679+G679+H679+I679+J679+K679</f>
        <v>2779364</v>
      </c>
      <c r="E679" s="1746">
        <v>0</v>
      </c>
      <c r="F679" s="1749">
        <v>129364</v>
      </c>
      <c r="G679" s="1749">
        <v>2650000</v>
      </c>
      <c r="H679" s="1749"/>
      <c r="I679" s="1586"/>
      <c r="J679" s="1473"/>
      <c r="K679" s="1749"/>
      <c r="L679" s="1749"/>
      <c r="M679" s="2502">
        <f>SUM(G679:K679)</f>
        <v>2650000</v>
      </c>
      <c r="N679" s="3641"/>
    </row>
    <row r="681" spans="1:14" hidden="1">
      <c r="B681" s="196" t="s">
        <v>347</v>
      </c>
    </row>
    <row r="682" spans="1:14" hidden="1">
      <c r="B682" s="196" t="s">
        <v>348</v>
      </c>
      <c r="D682" s="354">
        <f>D446+D461</f>
        <v>799122</v>
      </c>
      <c r="E682" s="354">
        <f t="shared" ref="E682:K682" si="379">E446+E461</f>
        <v>45734</v>
      </c>
      <c r="F682" s="354">
        <f t="shared" si="379"/>
        <v>129265</v>
      </c>
      <c r="G682" s="354">
        <f t="shared" si="379"/>
        <v>421675</v>
      </c>
      <c r="H682" s="354">
        <f t="shared" si="379"/>
        <v>202448</v>
      </c>
      <c r="I682" s="354">
        <f t="shared" si="379"/>
        <v>0</v>
      </c>
      <c r="J682" s="354">
        <f t="shared" si="379"/>
        <v>0</v>
      </c>
      <c r="K682" s="354">
        <f t="shared" si="379"/>
        <v>0</v>
      </c>
      <c r="L682" s="354">
        <f>L446+L461</f>
        <v>0</v>
      </c>
    </row>
    <row r="683" spans="1:14" hidden="1">
      <c r="B683" s="196" t="s">
        <v>349</v>
      </c>
      <c r="D683" s="354">
        <f t="shared" ref="D683:K683" si="380">D22-D446-D461</f>
        <v>448716658</v>
      </c>
      <c r="E683" s="354">
        <f t="shared" si="380"/>
        <v>43608076</v>
      </c>
      <c r="F683" s="354">
        <f t="shared" si="380"/>
        <v>65856299</v>
      </c>
      <c r="G683" s="354">
        <f t="shared" si="380"/>
        <v>152674479</v>
      </c>
      <c r="H683" s="354">
        <f t="shared" si="380"/>
        <v>122397241</v>
      </c>
      <c r="I683" s="354">
        <f t="shared" si="380"/>
        <v>64180563</v>
      </c>
      <c r="J683" s="354">
        <f t="shared" si="380"/>
        <v>0</v>
      </c>
      <c r="K683" s="354">
        <f t="shared" si="380"/>
        <v>0</v>
      </c>
      <c r="L683" s="354">
        <f>L22-L446-L461</f>
        <v>0</v>
      </c>
    </row>
    <row r="684" spans="1:14" hidden="1">
      <c r="B684" s="196" t="s">
        <v>350</v>
      </c>
      <c r="D684" s="716">
        <f>D682+D683</f>
        <v>449515780</v>
      </c>
      <c r="E684" s="716">
        <f t="shared" ref="E684:K684" si="381">E682+E683</f>
        <v>43653810</v>
      </c>
      <c r="F684" s="716">
        <f t="shared" si="381"/>
        <v>65985564</v>
      </c>
      <c r="G684" s="716">
        <f t="shared" si="381"/>
        <v>153096154</v>
      </c>
      <c r="H684" s="716">
        <f t="shared" si="381"/>
        <v>122599689</v>
      </c>
      <c r="I684" s="716">
        <f t="shared" si="381"/>
        <v>64180563</v>
      </c>
      <c r="J684" s="716">
        <f t="shared" si="381"/>
        <v>0</v>
      </c>
      <c r="K684" s="716">
        <f t="shared" si="381"/>
        <v>0</v>
      </c>
      <c r="L684" s="716">
        <f>L682+L683</f>
        <v>0</v>
      </c>
    </row>
    <row r="685" spans="1:14" s="619" customFormat="1" hidden="1">
      <c r="B685" s="619" t="s">
        <v>40</v>
      </c>
      <c r="D685" s="616">
        <f t="shared" ref="D685:K685" si="382">D22-D684</f>
        <v>0</v>
      </c>
      <c r="E685" s="616">
        <f t="shared" si="382"/>
        <v>0</v>
      </c>
      <c r="F685" s="616">
        <f t="shared" si="382"/>
        <v>0</v>
      </c>
      <c r="G685" s="616">
        <f t="shared" si="382"/>
        <v>0</v>
      </c>
      <c r="H685" s="616">
        <f t="shared" si="382"/>
        <v>0</v>
      </c>
      <c r="I685" s="616">
        <f t="shared" si="382"/>
        <v>0</v>
      </c>
      <c r="J685" s="616">
        <f t="shared" si="382"/>
        <v>0</v>
      </c>
      <c r="K685" s="616">
        <f t="shared" si="382"/>
        <v>0</v>
      </c>
      <c r="L685" s="616">
        <f>L22-L684</f>
        <v>0</v>
      </c>
    </row>
    <row r="686" spans="1:14" hidden="1"/>
    <row r="687" spans="1:14" hidden="1"/>
    <row r="688" spans="1:14" hidden="1">
      <c r="B688" s="196" t="s">
        <v>398</v>
      </c>
    </row>
    <row r="689" spans="2:12" hidden="1">
      <c r="B689" s="196" t="s">
        <v>348</v>
      </c>
      <c r="D689" s="354">
        <f>D546+D609+D582+D654</f>
        <v>224665611</v>
      </c>
      <c r="E689" s="354">
        <f t="shared" ref="E689:K689" si="383">E546+E609+E582+E654</f>
        <v>103918059</v>
      </c>
      <c r="F689" s="354">
        <f t="shared" si="383"/>
        <v>57164929</v>
      </c>
      <c r="G689" s="354">
        <f t="shared" si="383"/>
        <v>33527038</v>
      </c>
      <c r="H689" s="354">
        <f t="shared" si="383"/>
        <v>30055585</v>
      </c>
      <c r="I689" s="354">
        <f t="shared" si="383"/>
        <v>0</v>
      </c>
      <c r="J689" s="354">
        <f t="shared" si="383"/>
        <v>0</v>
      </c>
      <c r="K689" s="354">
        <f t="shared" si="383"/>
        <v>0</v>
      </c>
      <c r="L689" s="354">
        <f>L546+L609+L582+L654</f>
        <v>0</v>
      </c>
    </row>
    <row r="690" spans="2:12" hidden="1">
      <c r="B690" s="196" t="s">
        <v>349</v>
      </c>
      <c r="D690" s="354">
        <f>D559+D662+D669</f>
        <v>4478351</v>
      </c>
      <c r="E690" s="354">
        <f t="shared" ref="E690:K690" si="384">E559+E662+E669</f>
        <v>2182000</v>
      </c>
      <c r="F690" s="354">
        <f t="shared" si="384"/>
        <v>2296351</v>
      </c>
      <c r="G690" s="354">
        <f>G559+G662+G669</f>
        <v>0</v>
      </c>
      <c r="H690" s="354">
        <f t="shared" si="384"/>
        <v>0</v>
      </c>
      <c r="I690" s="354">
        <f t="shared" si="384"/>
        <v>0</v>
      </c>
      <c r="J690" s="354">
        <f t="shared" si="384"/>
        <v>0</v>
      </c>
      <c r="K690" s="354">
        <f t="shared" si="384"/>
        <v>0</v>
      </c>
      <c r="L690" s="354">
        <f>L559+L662+L669</f>
        <v>0</v>
      </c>
    </row>
    <row r="691" spans="2:12" hidden="1">
      <c r="B691" s="196" t="s">
        <v>350</v>
      </c>
      <c r="D691" s="716">
        <f>D689+D690</f>
        <v>229143962</v>
      </c>
      <c r="E691" s="716">
        <f t="shared" ref="E691:K691" si="385">E689+E690</f>
        <v>106100059</v>
      </c>
      <c r="F691" s="716">
        <f t="shared" si="385"/>
        <v>59461280</v>
      </c>
      <c r="G691" s="716">
        <f t="shared" si="385"/>
        <v>33527038</v>
      </c>
      <c r="H691" s="716">
        <f t="shared" si="385"/>
        <v>30055585</v>
      </c>
      <c r="I691" s="716">
        <f t="shared" si="385"/>
        <v>0</v>
      </c>
      <c r="J691" s="716">
        <f t="shared" si="385"/>
        <v>0</v>
      </c>
      <c r="K691" s="716">
        <f t="shared" si="385"/>
        <v>0</v>
      </c>
      <c r="L691" s="716">
        <f>L689+L690</f>
        <v>0</v>
      </c>
    </row>
    <row r="692" spans="2:12" s="619" customFormat="1" hidden="1">
      <c r="B692" s="619" t="s">
        <v>40</v>
      </c>
      <c r="D692" s="616">
        <f t="shared" ref="D692:K692" si="386">D535-D691</f>
        <v>0</v>
      </c>
      <c r="E692" s="616">
        <f t="shared" si="386"/>
        <v>0</v>
      </c>
      <c r="F692" s="616">
        <f t="shared" si="386"/>
        <v>0</v>
      </c>
      <c r="G692" s="616">
        <f t="shared" si="386"/>
        <v>0</v>
      </c>
      <c r="H692" s="616">
        <f t="shared" si="386"/>
        <v>0</v>
      </c>
      <c r="I692" s="616">
        <f t="shared" si="386"/>
        <v>0</v>
      </c>
      <c r="J692" s="616">
        <f t="shared" si="386"/>
        <v>0</v>
      </c>
      <c r="K692" s="616">
        <f t="shared" si="386"/>
        <v>0</v>
      </c>
      <c r="L692" s="616">
        <f>L535-L691</f>
        <v>0</v>
      </c>
    </row>
    <row r="693" spans="2:12" hidden="1"/>
    <row r="694" spans="2:12" hidden="1"/>
    <row r="695" spans="2:12" hidden="1"/>
    <row r="696" spans="2:12" hidden="1"/>
  </sheetData>
  <mergeCells count="334">
    <mergeCell ref="A300:A311"/>
    <mergeCell ref="N300:N306"/>
    <mergeCell ref="C302:C306"/>
    <mergeCell ref="M307:M311"/>
    <mergeCell ref="N307:N311"/>
    <mergeCell ref="C308:C311"/>
    <mergeCell ref="A464:A479"/>
    <mergeCell ref="N516:N524"/>
    <mergeCell ref="N507:N515"/>
    <mergeCell ref="M513:M515"/>
    <mergeCell ref="M522:M524"/>
    <mergeCell ref="A407:A415"/>
    <mergeCell ref="C418:C421"/>
    <mergeCell ref="M422:M424"/>
    <mergeCell ref="N425:N430"/>
    <mergeCell ref="N422:N424"/>
    <mergeCell ref="C423:C424"/>
    <mergeCell ref="N398:N403"/>
    <mergeCell ref="N431:N433"/>
    <mergeCell ref="M431:M433"/>
    <mergeCell ref="A434:A448"/>
    <mergeCell ref="N434:N442"/>
    <mergeCell ref="N416:N421"/>
    <mergeCell ref="A398:A406"/>
    <mergeCell ref="N204:N210"/>
    <mergeCell ref="N585:N588"/>
    <mergeCell ref="C587:C589"/>
    <mergeCell ref="C663:C664"/>
    <mergeCell ref="C388:C392"/>
    <mergeCell ref="N295:N299"/>
    <mergeCell ref="C296:C299"/>
    <mergeCell ref="M383:M385"/>
    <mergeCell ref="N252:N258"/>
    <mergeCell ref="C338:C343"/>
    <mergeCell ref="C345:C349"/>
    <mergeCell ref="M370:M375"/>
    <mergeCell ref="C314:C318"/>
    <mergeCell ref="C284:C287"/>
    <mergeCell ref="N276:N282"/>
    <mergeCell ref="N264:N270"/>
    <mergeCell ref="M413:M415"/>
    <mergeCell ref="C414:C415"/>
    <mergeCell ref="C436:C442"/>
    <mergeCell ref="M446:M448"/>
    <mergeCell ref="N350:N356"/>
    <mergeCell ref="D376:K376"/>
    <mergeCell ref="C248:C251"/>
    <mergeCell ref="N259:N263"/>
    <mergeCell ref="F5:F6"/>
    <mergeCell ref="N570:N573"/>
    <mergeCell ref="C572:C574"/>
    <mergeCell ref="N575:N577"/>
    <mergeCell ref="C576:C577"/>
    <mergeCell ref="O114:O120"/>
    <mergeCell ref="O158:O162"/>
    <mergeCell ref="O170:O174"/>
    <mergeCell ref="N169:N174"/>
    <mergeCell ref="C170:C174"/>
    <mergeCell ref="N175:N179"/>
    <mergeCell ref="N157:N162"/>
    <mergeCell ref="C158:C162"/>
    <mergeCell ref="M163:M167"/>
    <mergeCell ref="N163:N167"/>
    <mergeCell ref="C164:C167"/>
    <mergeCell ref="M175:M179"/>
    <mergeCell ref="C176:C179"/>
    <mergeCell ref="M86:M90"/>
    <mergeCell ref="N121:N127"/>
    <mergeCell ref="C122:C127"/>
    <mergeCell ref="C224:C227"/>
    <mergeCell ref="C266:C270"/>
    <mergeCell ref="C272:C275"/>
    <mergeCell ref="A216:A227"/>
    <mergeCell ref="N216:N222"/>
    <mergeCell ref="A113:A127"/>
    <mergeCell ref="M121:M127"/>
    <mergeCell ref="C55:C60"/>
    <mergeCell ref="A67:A78"/>
    <mergeCell ref="N61:N66"/>
    <mergeCell ref="C62:C66"/>
    <mergeCell ref="N68:N73"/>
    <mergeCell ref="N74:N78"/>
    <mergeCell ref="M74:M78"/>
    <mergeCell ref="A53:A66"/>
    <mergeCell ref="M61:M66"/>
    <mergeCell ref="N54:N60"/>
    <mergeCell ref="C75:C78"/>
    <mergeCell ref="C69:C72"/>
    <mergeCell ref="A180:A191"/>
    <mergeCell ref="A168:A179"/>
    <mergeCell ref="A79:A90"/>
    <mergeCell ref="N80:N85"/>
    <mergeCell ref="C81:C85"/>
    <mergeCell ref="N86:N90"/>
    <mergeCell ref="C87:C90"/>
    <mergeCell ref="C93:C97"/>
    <mergeCell ref="A103:A111"/>
    <mergeCell ref="N104:N108"/>
    <mergeCell ref="C105:C108"/>
    <mergeCell ref="N109:N111"/>
    <mergeCell ref="C110:C111"/>
    <mergeCell ref="A91:A102"/>
    <mergeCell ref="N92:N97"/>
    <mergeCell ref="N98:N102"/>
    <mergeCell ref="C99:C102"/>
    <mergeCell ref="M98:M102"/>
    <mergeCell ref="M109:M111"/>
    <mergeCell ref="A144:A155"/>
    <mergeCell ref="C146:C150"/>
    <mergeCell ref="A156:A167"/>
    <mergeCell ref="A3:N3"/>
    <mergeCell ref="C5:C6"/>
    <mergeCell ref="D5:D6"/>
    <mergeCell ref="N5:N6"/>
    <mergeCell ref="A8:A33"/>
    <mergeCell ref="M5:M6"/>
    <mergeCell ref="M22:M33"/>
    <mergeCell ref="M43:M51"/>
    <mergeCell ref="A5:A6"/>
    <mergeCell ref="B5:B6"/>
    <mergeCell ref="G5:K5"/>
    <mergeCell ref="C152:C155"/>
    <mergeCell ref="N129:N136"/>
    <mergeCell ref="C130:C136"/>
    <mergeCell ref="N151:N155"/>
    <mergeCell ref="N145:N150"/>
    <mergeCell ref="N137:N143"/>
    <mergeCell ref="N114:N120"/>
    <mergeCell ref="C115:C120"/>
    <mergeCell ref="M151:M155"/>
    <mergeCell ref="C138:C143"/>
    <mergeCell ref="A128:A143"/>
    <mergeCell ref="M137:M143"/>
    <mergeCell ref="N187:N191"/>
    <mergeCell ref="N181:N186"/>
    <mergeCell ref="C182:C186"/>
    <mergeCell ref="M187:M191"/>
    <mergeCell ref="C188:C191"/>
    <mergeCell ref="M235:M239"/>
    <mergeCell ref="M211:M215"/>
    <mergeCell ref="C200:C203"/>
    <mergeCell ref="N235:N239"/>
    <mergeCell ref="N228:N234"/>
    <mergeCell ref="C230:C234"/>
    <mergeCell ref="C206:C210"/>
    <mergeCell ref="N193:N198"/>
    <mergeCell ref="C194:C198"/>
    <mergeCell ref="C236:C239"/>
    <mergeCell ref="N211:N215"/>
    <mergeCell ref="C212:C215"/>
    <mergeCell ref="N199:N203"/>
    <mergeCell ref="M199:M203"/>
    <mergeCell ref="C218:C222"/>
    <mergeCell ref="M223:M227"/>
    <mergeCell ref="N223:N227"/>
    <mergeCell ref="N319:N323"/>
    <mergeCell ref="N240:N246"/>
    <mergeCell ref="M259:M263"/>
    <mergeCell ref="C260:C263"/>
    <mergeCell ref="N247:N251"/>
    <mergeCell ref="M331:M335"/>
    <mergeCell ref="N357:N361"/>
    <mergeCell ref="N288:N294"/>
    <mergeCell ref="C320:C323"/>
    <mergeCell ref="C326:C330"/>
    <mergeCell ref="M271:M275"/>
    <mergeCell ref="N336:N349"/>
    <mergeCell ref="C332:C335"/>
    <mergeCell ref="N271:N275"/>
    <mergeCell ref="N324:N335"/>
    <mergeCell ref="C352:C356"/>
    <mergeCell ref="N283:N287"/>
    <mergeCell ref="N312:N318"/>
    <mergeCell ref="A228:A239"/>
    <mergeCell ref="C409:C412"/>
    <mergeCell ref="N362:N368"/>
    <mergeCell ref="A204:A215"/>
    <mergeCell ref="A192:A203"/>
    <mergeCell ref="A288:A299"/>
    <mergeCell ref="C290:C294"/>
    <mergeCell ref="M295:M299"/>
    <mergeCell ref="C400:C403"/>
    <mergeCell ref="A377:A385"/>
    <mergeCell ref="C384:C385"/>
    <mergeCell ref="A386:A397"/>
    <mergeCell ref="A276:A287"/>
    <mergeCell ref="A240:A251"/>
    <mergeCell ref="A336:A349"/>
    <mergeCell ref="M247:M251"/>
    <mergeCell ref="M319:M323"/>
    <mergeCell ref="A252:A263"/>
    <mergeCell ref="C254:C258"/>
    <mergeCell ref="A312:A323"/>
    <mergeCell ref="C242:C246"/>
    <mergeCell ref="C278:C282"/>
    <mergeCell ref="M283:M287"/>
    <mergeCell ref="A264:A275"/>
    <mergeCell ref="A672:A675"/>
    <mergeCell ref="N672:N675"/>
    <mergeCell ref="C674:C675"/>
    <mergeCell ref="C627:C629"/>
    <mergeCell ref="A617:A624"/>
    <mergeCell ref="C606:C607"/>
    <mergeCell ref="M662:M664"/>
    <mergeCell ref="A641:A644"/>
    <mergeCell ref="C655:C656"/>
    <mergeCell ref="A649:A656"/>
    <mergeCell ref="C651:C653"/>
    <mergeCell ref="N649:N653"/>
    <mergeCell ref="A645:A648"/>
    <mergeCell ref="N645:N648"/>
    <mergeCell ref="C639:C640"/>
    <mergeCell ref="C647:C648"/>
    <mergeCell ref="N633:N636"/>
    <mergeCell ref="C635:C636"/>
    <mergeCell ref="N637:N640"/>
    <mergeCell ref="N641:N644"/>
    <mergeCell ref="C643:C644"/>
    <mergeCell ref="N657:N664"/>
    <mergeCell ref="N617:N624"/>
    <mergeCell ref="A613:A616"/>
    <mergeCell ref="N404:N406"/>
    <mergeCell ref="N498:N506"/>
    <mergeCell ref="A324:A335"/>
    <mergeCell ref="A350:A361"/>
    <mergeCell ref="A362:A375"/>
    <mergeCell ref="A507:A515"/>
    <mergeCell ref="N386:N392"/>
    <mergeCell ref="N393:N397"/>
    <mergeCell ref="M404:M406"/>
    <mergeCell ref="C405:C406"/>
    <mergeCell ref="N407:N412"/>
    <mergeCell ref="A425:A433"/>
    <mergeCell ref="A498:A506"/>
    <mergeCell ref="A480:A497"/>
    <mergeCell ref="C394:C397"/>
    <mergeCell ref="M393:M397"/>
    <mergeCell ref="N383:N385"/>
    <mergeCell ref="N377:N382"/>
    <mergeCell ref="C379:C382"/>
    <mergeCell ref="C447:C448"/>
    <mergeCell ref="M357:M361"/>
    <mergeCell ref="C358:C361"/>
    <mergeCell ref="C427:C430"/>
    <mergeCell ref="A449:A463"/>
    <mergeCell ref="N413:N415"/>
    <mergeCell ref="A416:A424"/>
    <mergeCell ref="N446:N448"/>
    <mergeCell ref="N449:N460"/>
    <mergeCell ref="A604:A612"/>
    <mergeCell ref="N566:N569"/>
    <mergeCell ref="C568:C569"/>
    <mergeCell ref="N550:N553"/>
    <mergeCell ref="M559:M561"/>
    <mergeCell ref="M504:M506"/>
    <mergeCell ref="N562:N565"/>
    <mergeCell ref="M489:M497"/>
    <mergeCell ref="N464:N478"/>
    <mergeCell ref="C505:C506"/>
    <mergeCell ref="C482:C485"/>
    <mergeCell ref="M473:M479"/>
    <mergeCell ref="C490:C497"/>
    <mergeCell ref="N480:N496"/>
    <mergeCell ref="C552:C553"/>
    <mergeCell ref="C500:C503"/>
    <mergeCell ref="N554:N561"/>
    <mergeCell ref="A585:A592"/>
    <mergeCell ref="C591:C592"/>
    <mergeCell ref="M575:M577"/>
    <mergeCell ref="C670:C671"/>
    <mergeCell ref="A665:A671"/>
    <mergeCell ref="C432:C433"/>
    <mergeCell ref="C610:C612"/>
    <mergeCell ref="M654:M656"/>
    <mergeCell ref="M609:M612"/>
    <mergeCell ref="M622:M624"/>
    <mergeCell ref="C602:C603"/>
    <mergeCell ref="C623:C624"/>
    <mergeCell ref="M461:M463"/>
    <mergeCell ref="C580:C581"/>
    <mergeCell ref="A562:A565"/>
    <mergeCell ref="A570:A577"/>
    <mergeCell ref="C556:C558"/>
    <mergeCell ref="C560:C561"/>
    <mergeCell ref="C451:C457"/>
    <mergeCell ref="C462:C463"/>
    <mergeCell ref="C564:C565"/>
    <mergeCell ref="A566:A569"/>
    <mergeCell ref="M535:M540"/>
    <mergeCell ref="A633:A636"/>
    <mergeCell ref="C667:C668"/>
    <mergeCell ref="M597:M599"/>
    <mergeCell ref="A541:A549"/>
    <mergeCell ref="A676:A679"/>
    <mergeCell ref="N676:N679"/>
    <mergeCell ref="C678:C679"/>
    <mergeCell ref="N665:N671"/>
    <mergeCell ref="A550:A553"/>
    <mergeCell ref="A516:A524"/>
    <mergeCell ref="N654:N656"/>
    <mergeCell ref="N604:N612"/>
    <mergeCell ref="N600:N603"/>
    <mergeCell ref="N590:N592"/>
    <mergeCell ref="M630:M632"/>
    <mergeCell ref="N613:N616"/>
    <mergeCell ref="C619:C621"/>
    <mergeCell ref="A600:A603"/>
    <mergeCell ref="N597:N599"/>
    <mergeCell ref="C598:C599"/>
    <mergeCell ref="A593:A599"/>
    <mergeCell ref="A625:A632"/>
    <mergeCell ref="C631:C632"/>
    <mergeCell ref="M582:M584"/>
    <mergeCell ref="M590:M592"/>
    <mergeCell ref="C583:C584"/>
    <mergeCell ref="A578:A584"/>
    <mergeCell ref="M669:M671"/>
    <mergeCell ref="N593:N596"/>
    <mergeCell ref="C595:C596"/>
    <mergeCell ref="N625:N632"/>
    <mergeCell ref="A554:A561"/>
    <mergeCell ref="A637:A640"/>
    <mergeCell ref="A657:A664"/>
    <mergeCell ref="C659:C661"/>
    <mergeCell ref="N461:N463"/>
    <mergeCell ref="N578:N581"/>
    <mergeCell ref="C547:C549"/>
    <mergeCell ref="M546:M549"/>
    <mergeCell ref="N541:N549"/>
    <mergeCell ref="C543:C545"/>
    <mergeCell ref="A526:A537"/>
    <mergeCell ref="N531:N540"/>
    <mergeCell ref="C518:C521"/>
    <mergeCell ref="C523:C52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16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5" manualBreakCount="5">
    <brk id="179" max="13" man="1"/>
    <brk id="239" max="13" man="1"/>
    <brk id="415" max="13" man="1"/>
    <brk id="540" max="13" man="1"/>
    <brk id="656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V577"/>
  <sheetViews>
    <sheetView showGridLines="0" view="pageBreakPreview" zoomScale="90" zoomScaleSheetLayoutView="90" workbookViewId="0">
      <pane xSplit="3" ySplit="6" topLeftCell="G319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I325" sqref="I325:I333"/>
    </sheetView>
  </sheetViews>
  <sheetFormatPr defaultColWidth="9.140625" defaultRowHeight="12.75"/>
  <cols>
    <col min="1" max="1" width="4" style="2509" customWidth="1"/>
    <col min="2" max="2" width="53.42578125" style="2508" customWidth="1"/>
    <col min="3" max="3" width="10.42578125" style="2508" customWidth="1"/>
    <col min="4" max="4" width="14.5703125" style="2508" customWidth="1"/>
    <col min="5" max="5" width="12.85546875" style="2508" customWidth="1"/>
    <col min="6" max="6" width="13.140625" style="2508" customWidth="1"/>
    <col min="7" max="7" width="11" style="2508" customWidth="1"/>
    <col min="8" max="8" width="11.5703125" style="2508" customWidth="1"/>
    <col min="9" max="9" width="11.140625" style="2508" customWidth="1"/>
    <col min="10" max="10" width="10.85546875" style="2508" customWidth="1"/>
    <col min="11" max="11" width="10.42578125" style="2508" customWidth="1"/>
    <col min="12" max="12" width="9.42578125" style="2512" hidden="1" customWidth="1"/>
    <col min="13" max="13" width="12" style="2508" customWidth="1"/>
    <col min="14" max="14" width="14.5703125" style="2508" customWidth="1"/>
    <col min="15" max="15" width="14" style="2508" hidden="1" customWidth="1"/>
    <col min="16" max="16" width="12.140625" style="2508" hidden="1" customWidth="1"/>
    <col min="17" max="17" width="9.5703125" style="2508" hidden="1" customWidth="1"/>
    <col min="18" max="18" width="14.28515625" style="2508" hidden="1" customWidth="1"/>
    <col min="19" max="19" width="12" style="2508" hidden="1" customWidth="1"/>
    <col min="20" max="21" width="0" style="2508" hidden="1" customWidth="1"/>
    <col min="22" max="22" width="12.5703125" style="2508" hidden="1" customWidth="1"/>
    <col min="23" max="16384" width="9.140625" style="2508"/>
  </cols>
  <sheetData>
    <row r="1" spans="1:16" s="2507" customFormat="1" ht="15" customHeight="1">
      <c r="A1" s="1208"/>
      <c r="B1" s="1208"/>
      <c r="C1" s="1208"/>
      <c r="D1" s="1208"/>
      <c r="E1" s="1208"/>
      <c r="F1" s="1208"/>
      <c r="G1" s="1208"/>
      <c r="H1" s="1208"/>
      <c r="I1" s="256"/>
      <c r="J1" s="256" t="s">
        <v>521</v>
      </c>
      <c r="K1" s="256"/>
      <c r="L1" s="256"/>
      <c r="M1" s="3"/>
      <c r="N1" s="4"/>
      <c r="O1" s="333"/>
    </row>
    <row r="2" spans="1:16" ht="18.75">
      <c r="A2" s="1208"/>
      <c r="B2" s="1208"/>
      <c r="C2" s="1208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334"/>
    </row>
    <row r="3" spans="1:16" ht="60.75" customHeight="1" thickBot="1">
      <c r="A3" s="3922" t="s">
        <v>106</v>
      </c>
      <c r="B3" s="3923"/>
      <c r="C3" s="3923"/>
      <c r="D3" s="3923"/>
      <c r="E3" s="3923"/>
      <c r="F3" s="3923"/>
      <c r="G3" s="3923"/>
      <c r="H3" s="3923"/>
      <c r="I3" s="3923"/>
      <c r="J3" s="3923"/>
      <c r="K3" s="3923"/>
      <c r="L3" s="3923"/>
      <c r="M3" s="3923"/>
      <c r="N3" s="3924"/>
      <c r="O3" s="3105"/>
    </row>
    <row r="4" spans="1:16" ht="52.5" customHeight="1">
      <c r="A4" s="3782" t="s">
        <v>65</v>
      </c>
      <c r="B4" s="3784" t="s">
        <v>66</v>
      </c>
      <c r="C4" s="3925" t="s">
        <v>62</v>
      </c>
      <c r="D4" s="3925" t="s">
        <v>107</v>
      </c>
      <c r="E4" s="2407" t="s">
        <v>240</v>
      </c>
      <c r="F4" s="3818" t="s">
        <v>572</v>
      </c>
      <c r="G4" s="3786" t="s">
        <v>540</v>
      </c>
      <c r="H4" s="3787"/>
      <c r="I4" s="3787"/>
      <c r="J4" s="3787"/>
      <c r="K4" s="3788"/>
      <c r="L4" s="3938"/>
      <c r="M4" s="3930" t="s">
        <v>552</v>
      </c>
      <c r="N4" s="3928" t="s">
        <v>64</v>
      </c>
      <c r="O4" s="3106"/>
    </row>
    <row r="5" spans="1:16" ht="20.25" customHeight="1">
      <c r="A5" s="3783"/>
      <c r="B5" s="3785"/>
      <c r="C5" s="3926"/>
      <c r="D5" s="3927"/>
      <c r="E5" s="1107" t="s">
        <v>538</v>
      </c>
      <c r="F5" s="3940"/>
      <c r="G5" s="2379" t="s">
        <v>193</v>
      </c>
      <c r="H5" s="2379" t="s">
        <v>194</v>
      </c>
      <c r="I5" s="2379" t="s">
        <v>234</v>
      </c>
      <c r="J5" s="2379" t="s">
        <v>235</v>
      </c>
      <c r="K5" s="2379" t="s">
        <v>233</v>
      </c>
      <c r="L5" s="3939"/>
      <c r="M5" s="3931"/>
      <c r="N5" s="3929"/>
      <c r="O5" s="3106"/>
    </row>
    <row r="6" spans="1:16" s="2510" customFormat="1" ht="13.5" customHeight="1">
      <c r="A6" s="2757">
        <v>1</v>
      </c>
      <c r="B6" s="2758">
        <v>2</v>
      </c>
      <c r="C6" s="2759" t="s">
        <v>108</v>
      </c>
      <c r="D6" s="2759" t="s">
        <v>109</v>
      </c>
      <c r="E6" s="2442">
        <v>5</v>
      </c>
      <c r="F6" s="2442">
        <v>6</v>
      </c>
      <c r="G6" s="2442">
        <v>7</v>
      </c>
      <c r="H6" s="2442">
        <v>8</v>
      </c>
      <c r="I6" s="2442">
        <v>9</v>
      </c>
      <c r="J6" s="2442">
        <v>10</v>
      </c>
      <c r="K6" s="2442">
        <v>11</v>
      </c>
      <c r="L6" s="2442"/>
      <c r="M6" s="2760">
        <v>12</v>
      </c>
      <c r="N6" s="2761">
        <v>13</v>
      </c>
      <c r="O6" s="3107"/>
    </row>
    <row r="7" spans="1:16" ht="14.25" customHeight="1">
      <c r="A7" s="2762"/>
      <c r="B7" s="2763" t="s">
        <v>67</v>
      </c>
      <c r="C7" s="2764"/>
      <c r="D7" s="2765">
        <f>+D8+D9</f>
        <v>139111837</v>
      </c>
      <c r="E7" s="2765">
        <f t="shared" ref="E7:K7" si="0">+E8+E9</f>
        <v>22448591</v>
      </c>
      <c r="F7" s="2765">
        <f t="shared" si="0"/>
        <v>21578002</v>
      </c>
      <c r="G7" s="2765">
        <f t="shared" si="0"/>
        <v>44310561</v>
      </c>
      <c r="H7" s="2765">
        <f t="shared" si="0"/>
        <v>17855060</v>
      </c>
      <c r="I7" s="2765">
        <f t="shared" si="0"/>
        <v>14108565</v>
      </c>
      <c r="J7" s="2765">
        <f t="shared" si="0"/>
        <v>10212370</v>
      </c>
      <c r="K7" s="2765">
        <f t="shared" si="0"/>
        <v>8598688</v>
      </c>
      <c r="L7" s="2765" t="e">
        <f>+L8+L9</f>
        <v>#REF!</v>
      </c>
      <c r="M7" s="2766">
        <f t="shared" ref="M7" si="1">+M8+M9</f>
        <v>95085244</v>
      </c>
      <c r="N7" s="1826"/>
      <c r="O7" s="3108">
        <f>+M7-M10</f>
        <v>0</v>
      </c>
      <c r="P7" s="2511"/>
    </row>
    <row r="8" spans="1:16" ht="11.25" customHeight="1">
      <c r="A8" s="1823"/>
      <c r="B8" s="2763" t="s">
        <v>68</v>
      </c>
      <c r="C8" s="2764"/>
      <c r="D8" s="2765">
        <f>+D25+D62+D103+D79+D140+D153+D175+D205+D223+D238+D256+D282+D127-D131+D45+D300</f>
        <v>138377779</v>
      </c>
      <c r="E8" s="2765">
        <f t="shared" ref="E8:M8" si="2">+E25+E62+E103+E79+E140+E153+E175+E205+E223+E238+E256+E282+E127-E131+E45+E300</f>
        <v>22342877</v>
      </c>
      <c r="F8" s="2765">
        <f t="shared" si="2"/>
        <v>20990347</v>
      </c>
      <c r="G8" s="2765">
        <f t="shared" si="2"/>
        <v>44269872</v>
      </c>
      <c r="H8" s="2765">
        <f t="shared" si="2"/>
        <v>17855060</v>
      </c>
      <c r="I8" s="2765">
        <f t="shared" si="2"/>
        <v>14108565</v>
      </c>
      <c r="J8" s="2765">
        <f t="shared" si="2"/>
        <v>10212370</v>
      </c>
      <c r="K8" s="2765">
        <f t="shared" si="2"/>
        <v>8598688</v>
      </c>
      <c r="L8" s="2765" t="e">
        <f t="shared" si="2"/>
        <v>#REF!</v>
      </c>
      <c r="M8" s="2766">
        <f t="shared" si="2"/>
        <v>95044555</v>
      </c>
      <c r="N8" s="1826"/>
      <c r="O8" s="3108"/>
      <c r="P8" s="2511"/>
    </row>
    <row r="9" spans="1:16" ht="11.25" customHeight="1">
      <c r="A9" s="1823"/>
      <c r="B9" s="2767" t="s">
        <v>8</v>
      </c>
      <c r="C9" s="2768"/>
      <c r="D9" s="2769">
        <f t="shared" ref="D9:K9" si="3">+D91+D115+D165+D193+D271</f>
        <v>734058</v>
      </c>
      <c r="E9" s="2769">
        <f t="shared" si="3"/>
        <v>105714</v>
      </c>
      <c r="F9" s="2769">
        <f t="shared" si="3"/>
        <v>587655</v>
      </c>
      <c r="G9" s="2769">
        <f t="shared" si="3"/>
        <v>40689</v>
      </c>
      <c r="H9" s="2769">
        <f t="shared" si="3"/>
        <v>0</v>
      </c>
      <c r="I9" s="2769">
        <f t="shared" si="3"/>
        <v>0</v>
      </c>
      <c r="J9" s="2769">
        <f t="shared" si="3"/>
        <v>0</v>
      </c>
      <c r="K9" s="2769">
        <f t="shared" si="3"/>
        <v>0</v>
      </c>
      <c r="L9" s="2769">
        <f>+L91+L115+L165+L193+L271</f>
        <v>0</v>
      </c>
      <c r="M9" s="2766">
        <f>+M91+M115+M165+M193+M271</f>
        <v>40689</v>
      </c>
      <c r="N9" s="1826"/>
      <c r="O9" s="3106"/>
    </row>
    <row r="10" spans="1:16" ht="12.75" customHeight="1">
      <c r="A10" s="1823"/>
      <c r="B10" s="1256" t="s">
        <v>9</v>
      </c>
      <c r="C10" s="1256"/>
      <c r="D10" s="1594">
        <f>+D11+D15</f>
        <v>139747837</v>
      </c>
      <c r="E10" s="1594">
        <f t="shared" ref="E10:K10" si="4">+E11+E15</f>
        <v>22448591</v>
      </c>
      <c r="F10" s="1594">
        <f t="shared" si="4"/>
        <v>21638046</v>
      </c>
      <c r="G10" s="1594">
        <f t="shared" si="4"/>
        <v>44878755</v>
      </c>
      <c r="H10" s="1594">
        <f t="shared" si="4"/>
        <v>17862822</v>
      </c>
      <c r="I10" s="1594">
        <f t="shared" si="4"/>
        <v>14108565</v>
      </c>
      <c r="J10" s="1594">
        <f t="shared" si="4"/>
        <v>10212370</v>
      </c>
      <c r="K10" s="1594">
        <f t="shared" si="4"/>
        <v>8598688</v>
      </c>
      <c r="L10" s="1594">
        <f>+L11+L15</f>
        <v>0</v>
      </c>
      <c r="M10" s="1223">
        <f>M11+M15</f>
        <v>95085244</v>
      </c>
      <c r="N10" s="2770"/>
      <c r="O10" s="3108"/>
      <c r="P10" s="2511"/>
    </row>
    <row r="11" spans="1:16" s="324" customFormat="1" ht="12.75" customHeight="1">
      <c r="A11" s="1823"/>
      <c r="B11" s="2771" t="s">
        <v>22</v>
      </c>
      <c r="C11" s="2771"/>
      <c r="D11" s="2772">
        <f>D12+D13+D14</f>
        <v>18680240</v>
      </c>
      <c r="E11" s="2772">
        <f t="shared" ref="E11:K11" si="5">E12+E13+E14</f>
        <v>3349156</v>
      </c>
      <c r="F11" s="2772">
        <f t="shared" si="5"/>
        <v>2692815</v>
      </c>
      <c r="G11" s="2772">
        <f t="shared" si="5"/>
        <v>5143750</v>
      </c>
      <c r="H11" s="2772">
        <f t="shared" si="5"/>
        <v>2510013</v>
      </c>
      <c r="I11" s="2772">
        <f t="shared" si="5"/>
        <v>2146937</v>
      </c>
      <c r="J11" s="2772">
        <f t="shared" si="5"/>
        <v>1541385</v>
      </c>
      <c r="K11" s="2772">
        <f t="shared" si="5"/>
        <v>1296184</v>
      </c>
      <c r="L11" s="2772">
        <f>L12+L13+L14</f>
        <v>0</v>
      </c>
      <c r="M11" s="2773">
        <f>M12+M13</f>
        <v>12062313</v>
      </c>
      <c r="N11" s="1826"/>
      <c r="O11" s="2961"/>
    </row>
    <row r="12" spans="1:16" ht="13.5" customHeight="1">
      <c r="A12" s="1823"/>
      <c r="B12" s="1825" t="s">
        <v>11</v>
      </c>
      <c r="C12" s="1825"/>
      <c r="D12" s="2774">
        <f>D64+D105+D81+D93+D27+D117+D129+D142+D177+D195+D207+D240+D47+D302</f>
        <v>14209678</v>
      </c>
      <c r="E12" s="2774">
        <f>E64+E105+E81+E93+E27+E117+E129+E142+E177+E195+E207+E240+E302</f>
        <v>3349156</v>
      </c>
      <c r="F12" s="2774">
        <f>F64+F105+F81+F93+F27+F117+F129+F142+F177+F195+F207+F240+F302</f>
        <v>2172460</v>
      </c>
      <c r="G12" s="2774">
        <f>G64+G105+G81+G93+G27+G117+G129+G142+G177+G195+G207+G240+G47+G302</f>
        <v>2293126</v>
      </c>
      <c r="H12" s="2774">
        <f>H64+H105+H81+H93+H27+H117+H129+H142+H177+H195+H207+H240+H47+H302</f>
        <v>1856723</v>
      </c>
      <c r="I12" s="2774">
        <f>I64+I105+I81+I93+I27+I117+I129+I142+I177+I195+I207+I240+I47+I302</f>
        <v>1769380</v>
      </c>
      <c r="J12" s="2774">
        <f>J64+J105+J81+J93+J27+J117+J129+J142+J177+J195+J207+J240+J47+J302</f>
        <v>1472649</v>
      </c>
      <c r="K12" s="2774">
        <f>K64+K105+K81+K93+K27+K117+K129+K142+K177+K195+K207+K240+K47+K302</f>
        <v>1296184</v>
      </c>
      <c r="L12" s="2774">
        <f>L64+L105+L81+L93+L27+L117+L129+L142+L177+L195+L207+L240</f>
        <v>0</v>
      </c>
      <c r="M12" s="1441">
        <f>SUM(G12:K12)</f>
        <v>8688062</v>
      </c>
      <c r="N12" s="1826"/>
      <c r="O12" s="3108"/>
    </row>
    <row r="13" spans="1:16" ht="13.5" customHeight="1">
      <c r="A13" s="1823"/>
      <c r="B13" s="1824" t="s">
        <v>12</v>
      </c>
      <c r="C13" s="1825"/>
      <c r="D13" s="1250">
        <f t="shared" ref="D13:L13" si="6">D67+D31+D94+D130+D180+D196+D210+D225+D243+D258+D273+D287</f>
        <v>3834562</v>
      </c>
      <c r="E13" s="1250">
        <f t="shared" si="6"/>
        <v>0</v>
      </c>
      <c r="F13" s="1250">
        <f t="shared" si="6"/>
        <v>460311</v>
      </c>
      <c r="G13" s="1250">
        <f t="shared" si="6"/>
        <v>2282430</v>
      </c>
      <c r="H13" s="1250">
        <f t="shared" si="6"/>
        <v>645528</v>
      </c>
      <c r="I13" s="1250">
        <f t="shared" si="6"/>
        <v>377557</v>
      </c>
      <c r="J13" s="1250">
        <f t="shared" si="6"/>
        <v>68736</v>
      </c>
      <c r="K13" s="1250">
        <f t="shared" si="6"/>
        <v>0</v>
      </c>
      <c r="L13" s="1250">
        <f t="shared" si="6"/>
        <v>0</v>
      </c>
      <c r="M13" s="1441">
        <f>SUM(G13:K13)</f>
        <v>3374251</v>
      </c>
      <c r="N13" s="1826"/>
      <c r="O13" s="3108">
        <f>D13-D20</f>
        <v>0</v>
      </c>
    </row>
    <row r="14" spans="1:16" s="2512" customFormat="1" ht="13.5" customHeight="1">
      <c r="A14" s="1823"/>
      <c r="B14" s="1824" t="s">
        <v>446</v>
      </c>
      <c r="C14" s="1825"/>
      <c r="D14" s="1250">
        <f>D131</f>
        <v>636000</v>
      </c>
      <c r="E14" s="1250">
        <f t="shared" ref="E14:K14" si="7">E131</f>
        <v>0</v>
      </c>
      <c r="F14" s="1250">
        <f t="shared" si="7"/>
        <v>60044</v>
      </c>
      <c r="G14" s="1250">
        <f t="shared" si="7"/>
        <v>568194</v>
      </c>
      <c r="H14" s="1250">
        <f t="shared" si="7"/>
        <v>7762</v>
      </c>
      <c r="I14" s="1250">
        <f t="shared" si="7"/>
        <v>0</v>
      </c>
      <c r="J14" s="1250">
        <f t="shared" si="7"/>
        <v>0</v>
      </c>
      <c r="K14" s="1250">
        <f t="shared" si="7"/>
        <v>0</v>
      </c>
      <c r="L14" s="1250">
        <f>L131</f>
        <v>0</v>
      </c>
      <c r="M14" s="2378">
        <v>0</v>
      </c>
      <c r="N14" s="1826"/>
      <c r="O14" s="3108"/>
    </row>
    <row r="15" spans="1:16" s="324" customFormat="1" ht="13.5" customHeight="1">
      <c r="A15" s="1823"/>
      <c r="B15" s="2775" t="s">
        <v>17</v>
      </c>
      <c r="C15" s="2775"/>
      <c r="D15" s="2772">
        <f>D17+D16</f>
        <v>121067597</v>
      </c>
      <c r="E15" s="2772">
        <f t="shared" ref="E15:K15" si="8">E17+E16</f>
        <v>19099435</v>
      </c>
      <c r="F15" s="2772">
        <f t="shared" si="8"/>
        <v>18945231</v>
      </c>
      <c r="G15" s="2772">
        <f t="shared" si="8"/>
        <v>39735005</v>
      </c>
      <c r="H15" s="2772">
        <f t="shared" si="8"/>
        <v>15352809</v>
      </c>
      <c r="I15" s="2772">
        <f t="shared" si="8"/>
        <v>11961628</v>
      </c>
      <c r="J15" s="2772">
        <f t="shared" si="8"/>
        <v>8670985</v>
      </c>
      <c r="K15" s="2772">
        <f t="shared" si="8"/>
        <v>7302504</v>
      </c>
      <c r="L15" s="2772">
        <f>L17+L16</f>
        <v>0</v>
      </c>
      <c r="M15" s="2773">
        <f t="shared" ref="M15" si="9">M17+M16</f>
        <v>83022931</v>
      </c>
      <c r="N15" s="1826"/>
      <c r="O15" s="2961"/>
    </row>
    <row r="16" spans="1:16" s="358" customFormat="1" ht="13.5" customHeight="1">
      <c r="A16" s="1823"/>
      <c r="B16" s="2776" t="s">
        <v>18</v>
      </c>
      <c r="C16" s="2775"/>
      <c r="D16" s="2777">
        <f>+D33</f>
        <v>410798</v>
      </c>
      <c r="E16" s="2777">
        <f t="shared" ref="E16:K16" si="10">+E33</f>
        <v>217909</v>
      </c>
      <c r="F16" s="2777">
        <f t="shared" si="10"/>
        <v>123550</v>
      </c>
      <c r="G16" s="2777">
        <f t="shared" si="10"/>
        <v>56122</v>
      </c>
      <c r="H16" s="2777">
        <f t="shared" si="10"/>
        <v>13217</v>
      </c>
      <c r="I16" s="2777">
        <f t="shared" si="10"/>
        <v>0</v>
      </c>
      <c r="J16" s="2777">
        <f t="shared" si="10"/>
        <v>0</v>
      </c>
      <c r="K16" s="2777">
        <f t="shared" si="10"/>
        <v>0</v>
      </c>
      <c r="L16" s="2777">
        <f>+L33</f>
        <v>0</v>
      </c>
      <c r="M16" s="1441">
        <f>SUM(G16:K16)</f>
        <v>69339</v>
      </c>
      <c r="N16" s="1826"/>
      <c r="O16" s="2961"/>
    </row>
    <row r="17" spans="1:16" ht="13.5" customHeight="1">
      <c r="A17" s="1823"/>
      <c r="B17" s="2778" t="s">
        <v>19</v>
      </c>
      <c r="C17" s="1825"/>
      <c r="D17" s="2371">
        <f>+D69+D37+D108+D84+D96+D120+D133+D146+D155+D167+D184+D198+D214+D229+D247+D262+D275+D291+D53+D306</f>
        <v>120656799</v>
      </c>
      <c r="E17" s="2371">
        <f>+E69+E37+E108+E84+E96+E120+E133+E146+E155+E167+E184+E198+E214+E229+E247+E262+E275+E291+E306</f>
        <v>18881526</v>
      </c>
      <c r="F17" s="2371">
        <f>+F69+F37+F108+F84+F96+F120+F133+F146+F155+F167+F184+F198+F214+F229+F247+F262+F275+F291+F306</f>
        <v>18821681</v>
      </c>
      <c r="G17" s="2371">
        <f>+G69+G37+G108+G84+G96+G120+G133+G146+G155+G167+G184+G198+G214+G229+G247+G262+G275+G291+G53+G306</f>
        <v>39678883</v>
      </c>
      <c r="H17" s="2371">
        <f>+H69+H37+H108+H84+H96+H120+H133+H146+H155+H167+H184+H198+H214+H229+H247+H262+H275+H291+H53+H306</f>
        <v>15339592</v>
      </c>
      <c r="I17" s="2371">
        <f>+I69+I37+I108+I84+I96+I120+I133+I146+I155+I167+I184+I198+I214+I229+I247+I262+I275+I291+I53+I306</f>
        <v>11961628</v>
      </c>
      <c r="J17" s="2371">
        <f>+J69+J37+J108+J84+J96+J120+J133+J146+J155+J167+J184+J198+J214+J229+J247+J262+J275+J291+J53+J306</f>
        <v>8670985</v>
      </c>
      <c r="K17" s="2371">
        <f>+K69+K37+K108+K84+K96+K120+K133+K146+K155+K167+K184+K198+K214+K229+K247+K262+K275+K291+K53+K306</f>
        <v>7302504</v>
      </c>
      <c r="L17" s="2371">
        <f>+L69+L37+L108+L84+L96+L120+L133+L146+L155+L167+L184+L198+L214+L229+L247+L262+L275+L291</f>
        <v>0</v>
      </c>
      <c r="M17" s="1441">
        <f>SUM(G17:K17)</f>
        <v>82953592</v>
      </c>
      <c r="N17" s="2770"/>
      <c r="O17" s="3108"/>
    </row>
    <row r="18" spans="1:16" ht="13.5" customHeight="1">
      <c r="A18" s="1823"/>
      <c r="B18" s="2779" t="s">
        <v>20</v>
      </c>
      <c r="C18" s="1256"/>
      <c r="D18" s="1594">
        <f>D19+D21</f>
        <v>124902159</v>
      </c>
      <c r="E18" s="1594">
        <f>E19+E21</f>
        <v>18796774</v>
      </c>
      <c r="F18" s="1594">
        <f t="shared" ref="F18:K18" si="11">F19+F21</f>
        <v>19704115</v>
      </c>
      <c r="G18" s="1594">
        <f t="shared" si="11"/>
        <v>42441535</v>
      </c>
      <c r="H18" s="1594">
        <f t="shared" si="11"/>
        <v>15273709</v>
      </c>
      <c r="I18" s="1594">
        <f t="shared" si="11"/>
        <v>12446359</v>
      </c>
      <c r="J18" s="1594">
        <f t="shared" si="11"/>
        <v>8937163</v>
      </c>
      <c r="K18" s="1594">
        <f t="shared" si="11"/>
        <v>7302504</v>
      </c>
      <c r="L18" s="1594">
        <f>L19+L21</f>
        <v>0</v>
      </c>
      <c r="M18" s="3935" t="s">
        <v>52</v>
      </c>
      <c r="N18" s="1826"/>
      <c r="O18" s="3109">
        <f>+D7-D10</f>
        <v>-636000</v>
      </c>
    </row>
    <row r="19" spans="1:16" ht="13.5" customHeight="1">
      <c r="A19" s="1823"/>
      <c r="B19" s="2780" t="s">
        <v>22</v>
      </c>
      <c r="C19" s="2781"/>
      <c r="D19" s="2782">
        <f>D20</f>
        <v>3834562</v>
      </c>
      <c r="E19" s="2782">
        <f t="shared" ref="E19:K19" si="12">E20</f>
        <v>0</v>
      </c>
      <c r="F19" s="2782">
        <f t="shared" si="12"/>
        <v>527164</v>
      </c>
      <c r="G19" s="2782">
        <f t="shared" si="12"/>
        <v>2215577</v>
      </c>
      <c r="H19" s="2782">
        <f t="shared" si="12"/>
        <v>645528</v>
      </c>
      <c r="I19" s="2782">
        <f t="shared" si="12"/>
        <v>377557</v>
      </c>
      <c r="J19" s="2782">
        <f t="shared" si="12"/>
        <v>68736</v>
      </c>
      <c r="K19" s="2782">
        <f t="shared" si="12"/>
        <v>0</v>
      </c>
      <c r="L19" s="2782">
        <f>L20</f>
        <v>0</v>
      </c>
      <c r="M19" s="3935"/>
      <c r="N19" s="1826"/>
      <c r="O19" s="3106"/>
    </row>
    <row r="20" spans="1:16" ht="13.5" customHeight="1">
      <c r="A20" s="1823"/>
      <c r="B20" s="2783" t="s">
        <v>12</v>
      </c>
      <c r="C20" s="2784"/>
      <c r="D20" s="2371">
        <f t="shared" ref="D20:L20" si="13">+D74+D40+D99+D136+D189+D201+D219+D234+D252+D267+D278+D296</f>
        <v>3834562</v>
      </c>
      <c r="E20" s="2371">
        <f t="shared" si="13"/>
        <v>0</v>
      </c>
      <c r="F20" s="2371">
        <f t="shared" si="13"/>
        <v>527164</v>
      </c>
      <c r="G20" s="2371">
        <f t="shared" si="13"/>
        <v>2215577</v>
      </c>
      <c r="H20" s="2371">
        <f t="shared" si="13"/>
        <v>645528</v>
      </c>
      <c r="I20" s="2371">
        <f t="shared" si="13"/>
        <v>377557</v>
      </c>
      <c r="J20" s="2371">
        <f t="shared" si="13"/>
        <v>68736</v>
      </c>
      <c r="K20" s="2371">
        <f t="shared" si="13"/>
        <v>0</v>
      </c>
      <c r="L20" s="2371">
        <f t="shared" si="13"/>
        <v>0</v>
      </c>
      <c r="M20" s="3935"/>
      <c r="N20" s="1826"/>
      <c r="O20" s="3106"/>
    </row>
    <row r="21" spans="1:16" s="2510" customFormat="1" ht="13.5" customHeight="1">
      <c r="A21" s="1827"/>
      <c r="B21" s="2785" t="s">
        <v>17</v>
      </c>
      <c r="C21" s="2786"/>
      <c r="D21" s="2782">
        <f>D23+D22</f>
        <v>121067597</v>
      </c>
      <c r="E21" s="2782">
        <f t="shared" ref="E21:K21" si="14">E23+E22</f>
        <v>18796774</v>
      </c>
      <c r="F21" s="2782">
        <f t="shared" si="14"/>
        <v>19176951</v>
      </c>
      <c r="G21" s="2782">
        <f t="shared" si="14"/>
        <v>40225958</v>
      </c>
      <c r="H21" s="2782">
        <f t="shared" si="14"/>
        <v>14628181</v>
      </c>
      <c r="I21" s="2782">
        <f t="shared" si="14"/>
        <v>12068802</v>
      </c>
      <c r="J21" s="2782">
        <f t="shared" si="14"/>
        <v>8868427</v>
      </c>
      <c r="K21" s="2782">
        <f t="shared" si="14"/>
        <v>7302504</v>
      </c>
      <c r="L21" s="2782">
        <f>L23+L22</f>
        <v>0</v>
      </c>
      <c r="M21" s="3935"/>
      <c r="N21" s="2787"/>
      <c r="O21" s="3107"/>
    </row>
    <row r="22" spans="1:16" s="2513" customFormat="1" ht="13.5" customHeight="1">
      <c r="A22" s="1827"/>
      <c r="B22" s="2776" t="s">
        <v>18</v>
      </c>
      <c r="C22" s="2786"/>
      <c r="D22" s="2788">
        <f>+D42</f>
        <v>410798</v>
      </c>
      <c r="E22" s="2788">
        <f t="shared" ref="E22:K22" si="15">+E42</f>
        <v>84212</v>
      </c>
      <c r="F22" s="2788">
        <f t="shared" si="15"/>
        <v>176736</v>
      </c>
      <c r="G22" s="2788">
        <f t="shared" si="15"/>
        <v>91307</v>
      </c>
      <c r="H22" s="2788">
        <f t="shared" si="15"/>
        <v>58543</v>
      </c>
      <c r="I22" s="2788">
        <f t="shared" si="15"/>
        <v>0</v>
      </c>
      <c r="J22" s="2788">
        <f t="shared" si="15"/>
        <v>0</v>
      </c>
      <c r="K22" s="2788">
        <f t="shared" si="15"/>
        <v>0</v>
      </c>
      <c r="L22" s="2788">
        <f>+L42</f>
        <v>0</v>
      </c>
      <c r="M22" s="3936"/>
      <c r="N22" s="2789"/>
      <c r="O22" s="3107"/>
    </row>
    <row r="23" spans="1:16" ht="13.5" customHeight="1" thickBot="1">
      <c r="A23" s="1828"/>
      <c r="B23" s="2790" t="s">
        <v>19</v>
      </c>
      <c r="C23" s="2790"/>
      <c r="D23" s="2791">
        <f>+D76+D43+D77+D113+D89+D101+D125+D138+D151+D163+D173+D191+D203+D221+D236+D254+D269+D280+D298+D60+D311</f>
        <v>120656799</v>
      </c>
      <c r="E23" s="2791">
        <f>+E76+E43+E77+E113+E89+E101+E125+E138+E151+E163+E173+E191+E203+E221+E236+E254+E269+E280+E298+E311</f>
        <v>18712562</v>
      </c>
      <c r="F23" s="2791">
        <f>+F76+F43+F77+F113+F89+F101+F125+F138+F151+F163+F173+F191+F203+F221+F236+F254+F269+F280+F298+F311</f>
        <v>19000215</v>
      </c>
      <c r="G23" s="2791">
        <f>+G76+G43+G77+G113+G89+G101+G125+G138+G151+G163+G173+G191+G203+G221+G236+G254+G269+G280+G298+G60+G311</f>
        <v>40134651</v>
      </c>
      <c r="H23" s="2791">
        <f>+H76+H43+H77+H113+H89+H101+H125+H138+H151+H163+H173+H191+H203+H221+H236+H254+H269+H280+H298+H60+H311</f>
        <v>14569638</v>
      </c>
      <c r="I23" s="2791">
        <f>+I76+I43+I77+I113+I89+I101+I125+I138+I151+I163+I173+I191+I203+I221+I236+I254+I269+I280+I298+I60+I311</f>
        <v>12068802</v>
      </c>
      <c r="J23" s="2791">
        <f>+J76+J43+J77+J113+J89+J101+J125+J138+J151+J163+J173+J191+J203+J221+J236+J254+J269+J280+J298+J60+J311</f>
        <v>8868427</v>
      </c>
      <c r="K23" s="2791">
        <f>+K76+K43+K77+K113+K89+K101+K125+K138+K151+K163+K173+K191+K203+K221+K236+K254+K269+K280+K298+K60+K311</f>
        <v>7302504</v>
      </c>
      <c r="L23" s="2791">
        <f>+L76+L43+L77+L113+L89+L101+L125+L138+L151+L163+L173+L191+L203+L221+L236+L254+L269+L280+L298</f>
        <v>0</v>
      </c>
      <c r="M23" s="3937"/>
      <c r="N23" s="1829"/>
      <c r="O23" s="3108">
        <f>D23-D17</f>
        <v>0</v>
      </c>
    </row>
    <row r="24" spans="1:16" ht="47.25" customHeight="1">
      <c r="A24" s="3932" t="s">
        <v>54</v>
      </c>
      <c r="B24" s="3110" t="s">
        <v>577</v>
      </c>
      <c r="C24" s="3111" t="s">
        <v>99</v>
      </c>
      <c r="D24" s="915"/>
      <c r="E24" s="2098"/>
      <c r="F24" s="2098"/>
      <c r="G24" s="2098"/>
      <c r="H24" s="2098"/>
      <c r="I24" s="2098"/>
      <c r="J24" s="2098"/>
      <c r="K24" s="34"/>
      <c r="L24" s="2098"/>
      <c r="M24" s="1223"/>
      <c r="N24" s="3896" t="s">
        <v>619</v>
      </c>
      <c r="O24" s="3106"/>
    </row>
    <row r="25" spans="1:16" s="2510" customFormat="1">
      <c r="A25" s="3851"/>
      <c r="B25" s="1587" t="s">
        <v>9</v>
      </c>
      <c r="C25" s="1256"/>
      <c r="D25" s="1222">
        <f t="shared" ref="D25:I25" si="16">+D26+D32</f>
        <v>487290</v>
      </c>
      <c r="E25" s="1222">
        <f t="shared" ref="E25" si="17">+E26+E32</f>
        <v>257169</v>
      </c>
      <c r="F25" s="1222">
        <f t="shared" si="16"/>
        <v>145875</v>
      </c>
      <c r="G25" s="1222">
        <f t="shared" si="16"/>
        <v>67896</v>
      </c>
      <c r="H25" s="1222">
        <f t="shared" si="16"/>
        <v>16350</v>
      </c>
      <c r="I25" s="2792">
        <f t="shared" si="16"/>
        <v>0</v>
      </c>
      <c r="J25" s="2792">
        <v>0</v>
      </c>
      <c r="K25" s="2792">
        <v>0</v>
      </c>
      <c r="L25" s="1222">
        <f>+L26+L32</f>
        <v>0</v>
      </c>
      <c r="M25" s="1179">
        <f>+M26+M32</f>
        <v>84246</v>
      </c>
      <c r="N25" s="3897"/>
      <c r="O25" s="3112"/>
      <c r="P25" s="2514"/>
    </row>
    <row r="26" spans="1:16" s="2510" customFormat="1" ht="13.5" customHeight="1">
      <c r="A26" s="3851"/>
      <c r="B26" s="1595" t="s">
        <v>22</v>
      </c>
      <c r="C26" s="3873" t="s">
        <v>308</v>
      </c>
      <c r="D26" s="1416">
        <f t="shared" ref="D26" si="18">+D27+D31</f>
        <v>76492</v>
      </c>
      <c r="E26" s="1416">
        <f t="shared" ref="E26" si="19">+E27+E31</f>
        <v>39260</v>
      </c>
      <c r="F26" s="1416">
        <f>+F27+F31</f>
        <v>22325</v>
      </c>
      <c r="G26" s="1416">
        <f>+G27+G31</f>
        <v>11774</v>
      </c>
      <c r="H26" s="1416">
        <f>+H27</f>
        <v>3133</v>
      </c>
      <c r="I26" s="2793">
        <f>+I27</f>
        <v>0</v>
      </c>
      <c r="J26" s="2793">
        <v>0</v>
      </c>
      <c r="K26" s="2793">
        <v>0</v>
      </c>
      <c r="L26" s="1416">
        <f>+L27+L31</f>
        <v>0</v>
      </c>
      <c r="M26" s="1680">
        <f>+M27+M31</f>
        <v>14907</v>
      </c>
      <c r="N26" s="3897"/>
      <c r="O26" s="3107"/>
    </row>
    <row r="27" spans="1:16" s="2510" customFormat="1" ht="11.25" customHeight="1">
      <c r="A27" s="3851"/>
      <c r="B27" s="2096" t="s">
        <v>11</v>
      </c>
      <c r="C27" s="3874"/>
      <c r="D27" s="1115">
        <f>E27+L27+F27+G27+H27+I27+J27+K27</f>
        <v>76492</v>
      </c>
      <c r="E27" s="1155">
        <f>+E29+E30</f>
        <v>39260</v>
      </c>
      <c r="F27" s="1190">
        <f t="shared" ref="F27:H27" si="20">+F29+F30</f>
        <v>22325</v>
      </c>
      <c r="G27" s="1190">
        <f t="shared" si="20"/>
        <v>11774</v>
      </c>
      <c r="H27" s="1190">
        <f t="shared" si="20"/>
        <v>3133</v>
      </c>
      <c r="I27" s="2246">
        <v>0</v>
      </c>
      <c r="J27" s="2246">
        <v>0</v>
      </c>
      <c r="K27" s="2246">
        <v>0</v>
      </c>
      <c r="L27" s="1190">
        <f>+L29+L30</f>
        <v>0</v>
      </c>
      <c r="M27" s="1441">
        <f>SUM(G27:K27)</f>
        <v>14907</v>
      </c>
      <c r="N27" s="3897"/>
      <c r="O27" s="3107"/>
    </row>
    <row r="28" spans="1:16" s="2515" customFormat="1" ht="13.5" hidden="1" customHeight="1">
      <c r="A28" s="3933"/>
      <c r="B28" s="3113" t="s">
        <v>139</v>
      </c>
      <c r="C28" s="3934"/>
      <c r="D28" s="1197"/>
      <c r="E28" s="3114"/>
      <c r="F28" s="2977"/>
      <c r="G28" s="2977"/>
      <c r="H28" s="2977"/>
      <c r="I28" s="3114"/>
      <c r="J28" s="3114"/>
      <c r="K28" s="2246"/>
      <c r="L28" s="2977"/>
      <c r="M28" s="1681"/>
      <c r="N28" s="3897"/>
      <c r="O28" s="3107"/>
    </row>
    <row r="29" spans="1:16" s="2515" customFormat="1" ht="13.5" hidden="1" customHeight="1">
      <c r="A29" s="3933"/>
      <c r="B29" s="3113" t="s">
        <v>605</v>
      </c>
      <c r="C29" s="3934"/>
      <c r="D29" s="1197">
        <f>+E29+L29+F29+G29+H29</f>
        <v>52982</v>
      </c>
      <c r="E29" s="2977">
        <f>3119+23397</f>
        <v>26516</v>
      </c>
      <c r="F29" s="2977">
        <f>12591-1089+6985+605-5143</f>
        <v>13949</v>
      </c>
      <c r="G29" s="2977">
        <f>10929-2878-103-3462+5143</f>
        <v>9629</v>
      </c>
      <c r="H29" s="2977">
        <f>2920-32</f>
        <v>2888</v>
      </c>
      <c r="I29" s="3114"/>
      <c r="J29" s="3114"/>
      <c r="K29" s="2246"/>
      <c r="L29" s="2977">
        <v>0</v>
      </c>
      <c r="M29" s="2794">
        <f>SUM(F29:H29)</f>
        <v>26466</v>
      </c>
      <c r="N29" s="3897"/>
      <c r="O29" s="3107"/>
    </row>
    <row r="30" spans="1:16" s="2515" customFormat="1" ht="13.5" hidden="1" customHeight="1">
      <c r="A30" s="3933"/>
      <c r="B30" s="3113" t="s">
        <v>269</v>
      </c>
      <c r="C30" s="3934"/>
      <c r="D30" s="1197">
        <f>+E30+L30+F30+G30+H30</f>
        <v>23510</v>
      </c>
      <c r="E30" s="2977">
        <f>4426+664+7654</f>
        <v>12744</v>
      </c>
      <c r="F30" s="2977">
        <f>6473+784+1089+301+1087-1358</f>
        <v>8376</v>
      </c>
      <c r="G30" s="2977">
        <f>787+1358</f>
        <v>2145</v>
      </c>
      <c r="H30" s="2977">
        <f>186+27+32</f>
        <v>245</v>
      </c>
      <c r="I30" s="3114"/>
      <c r="J30" s="3114"/>
      <c r="K30" s="2246"/>
      <c r="L30" s="2977">
        <v>0</v>
      </c>
      <c r="M30" s="2794">
        <f>SUM(F30:H30)</f>
        <v>10766</v>
      </c>
      <c r="N30" s="3897"/>
      <c r="O30" s="3107"/>
    </row>
    <row r="31" spans="1:16" s="2510" customFormat="1" ht="14.25" hidden="1" customHeight="1">
      <c r="A31" s="3851"/>
      <c r="B31" s="2096" t="s">
        <v>12</v>
      </c>
      <c r="C31" s="3874"/>
      <c r="D31" s="1115">
        <f>E31+L31+F31+G31+H31+I31+J31+K31</f>
        <v>0</v>
      </c>
      <c r="E31" s="2246">
        <v>0</v>
      </c>
      <c r="F31" s="1190"/>
      <c r="G31" s="1190"/>
      <c r="H31" s="1190"/>
      <c r="I31" s="2246"/>
      <c r="J31" s="2246"/>
      <c r="K31" s="2246"/>
      <c r="L31" s="1190"/>
      <c r="M31" s="1681">
        <f>SUM(F31:H31)</f>
        <v>0</v>
      </c>
      <c r="N31" s="3897"/>
      <c r="O31" s="3107"/>
    </row>
    <row r="32" spans="1:16" s="2510" customFormat="1">
      <c r="A32" s="3851"/>
      <c r="B32" s="3115" t="s">
        <v>17</v>
      </c>
      <c r="C32" s="3874"/>
      <c r="D32" s="1187">
        <f>+D37+D33</f>
        <v>410798</v>
      </c>
      <c r="E32" s="1187">
        <f t="shared" ref="E32" si="21">+E37+E33</f>
        <v>217909</v>
      </c>
      <c r="F32" s="1187">
        <f>+F37+F33</f>
        <v>123550</v>
      </c>
      <c r="G32" s="1187">
        <f>+G37+G33</f>
        <v>56122</v>
      </c>
      <c r="H32" s="1187">
        <f>+H33</f>
        <v>13217</v>
      </c>
      <c r="I32" s="1227">
        <v>0</v>
      </c>
      <c r="J32" s="1227">
        <v>0</v>
      </c>
      <c r="K32" s="1227">
        <v>0</v>
      </c>
      <c r="L32" s="1187">
        <f>+L37+L33</f>
        <v>0</v>
      </c>
      <c r="M32" s="1443">
        <f>+M37+M33</f>
        <v>69339</v>
      </c>
      <c r="N32" s="3897"/>
      <c r="O32" s="3107"/>
    </row>
    <row r="33" spans="1:16" s="2513" customFormat="1" ht="12" customHeight="1">
      <c r="A33" s="3851"/>
      <c r="B33" s="2096" t="s">
        <v>18</v>
      </c>
      <c r="C33" s="3874"/>
      <c r="D33" s="1115">
        <f>E33+L33+F33+G33+H33+I33+J33+K33</f>
        <v>410798</v>
      </c>
      <c r="E33" s="1155">
        <f>+E35+E36</f>
        <v>217909</v>
      </c>
      <c r="F33" s="1190">
        <f t="shared" ref="F33:H33" si="22">+F35+F36</f>
        <v>123550</v>
      </c>
      <c r="G33" s="1190">
        <f t="shared" si="22"/>
        <v>56122</v>
      </c>
      <c r="H33" s="1190">
        <f t="shared" si="22"/>
        <v>13217</v>
      </c>
      <c r="I33" s="2246">
        <v>0</v>
      </c>
      <c r="J33" s="2246">
        <v>0</v>
      </c>
      <c r="K33" s="2246">
        <v>0</v>
      </c>
      <c r="L33" s="1190">
        <f>+L35+L36</f>
        <v>0</v>
      </c>
      <c r="M33" s="1441">
        <f>SUM(G33:K33)</f>
        <v>69339</v>
      </c>
      <c r="N33" s="3897"/>
      <c r="O33" s="3112">
        <f>D33-D42</f>
        <v>0</v>
      </c>
    </row>
    <row r="34" spans="1:16" s="2515" customFormat="1" ht="13.5" hidden="1" customHeight="1">
      <c r="A34" s="3851"/>
      <c r="B34" s="3113" t="s">
        <v>139</v>
      </c>
      <c r="C34" s="3874"/>
      <c r="D34" s="1197"/>
      <c r="E34" s="2246"/>
      <c r="F34" s="2977"/>
      <c r="G34" s="2977"/>
      <c r="H34" s="2977"/>
      <c r="I34" s="3114"/>
      <c r="J34" s="3114"/>
      <c r="K34" s="3114"/>
      <c r="L34" s="2977"/>
      <c r="M34" s="2794"/>
      <c r="N34" s="3897"/>
      <c r="O34" s="3107"/>
    </row>
    <row r="35" spans="1:16" s="2515" customFormat="1" ht="13.5" hidden="1" customHeight="1">
      <c r="A35" s="3851"/>
      <c r="B35" s="3113" t="s">
        <v>605</v>
      </c>
      <c r="C35" s="3874"/>
      <c r="D35" s="1197">
        <f>+E35+L35+F35+G35+H35</f>
        <v>277590</v>
      </c>
      <c r="E35" s="2977">
        <f>16375+129312</f>
        <v>145687</v>
      </c>
      <c r="F35" s="2977">
        <f>1482+13343+1112+47172+3706-6169+35092+3440-23090</f>
        <v>76088</v>
      </c>
      <c r="G35" s="2977">
        <f>1482+15195+1853+32381+6486-16307-582-19617+23090</f>
        <v>43981</v>
      </c>
      <c r="H35" s="2977">
        <f>3706+371+6085+1853-181</f>
        <v>11834</v>
      </c>
      <c r="I35" s="3114"/>
      <c r="J35" s="3114"/>
      <c r="K35" s="3114"/>
      <c r="L35" s="2977">
        <v>0</v>
      </c>
      <c r="M35" s="2794">
        <f>SUM(F35:H35)</f>
        <v>131903</v>
      </c>
      <c r="N35" s="3897"/>
      <c r="O35" s="3107"/>
    </row>
    <row r="36" spans="1:16" s="2515" customFormat="1" ht="13.5" hidden="1" customHeight="1">
      <c r="A36" s="3851"/>
      <c r="B36" s="3113" t="s">
        <v>269</v>
      </c>
      <c r="C36" s="3874"/>
      <c r="D36" s="1197">
        <f>+E36+L36+F36+G36+H36</f>
        <v>133208</v>
      </c>
      <c r="E36" s="2977">
        <f>25085+3762+43375</f>
        <v>72222</v>
      </c>
      <c r="F36" s="2977">
        <f>55143-7681</f>
        <v>47462</v>
      </c>
      <c r="G36" s="2977">
        <f>2663+220+445+67+483+582+7681</f>
        <v>12141</v>
      </c>
      <c r="H36" s="2977">
        <f>672+222+138+21+149+181</f>
        <v>1383</v>
      </c>
      <c r="I36" s="3114"/>
      <c r="J36" s="3114"/>
      <c r="K36" s="3114"/>
      <c r="L36" s="2977">
        <v>0</v>
      </c>
      <c r="M36" s="2794">
        <f>SUM(F36:H36)</f>
        <v>60986</v>
      </c>
      <c r="N36" s="3897"/>
      <c r="O36" s="3107"/>
    </row>
    <row r="37" spans="1:16" s="2510" customFormat="1" ht="13.5" hidden="1" customHeight="1" collapsed="1">
      <c r="A37" s="3851"/>
      <c r="B37" s="2096" t="s">
        <v>19</v>
      </c>
      <c r="C37" s="3874"/>
      <c r="D37" s="1115">
        <f>E37+L37+F37+G37+H37+I37+J37+K37</f>
        <v>0</v>
      </c>
      <c r="E37" s="2246">
        <v>0</v>
      </c>
      <c r="F37" s="1190"/>
      <c r="G37" s="1190"/>
      <c r="H37" s="1190"/>
      <c r="I37" s="2246"/>
      <c r="J37" s="2246"/>
      <c r="K37" s="2246"/>
      <c r="L37" s="1190"/>
      <c r="M37" s="1681">
        <f>SUM(F37:H37)</f>
        <v>0</v>
      </c>
      <c r="N37" s="3898"/>
      <c r="O37" s="3112"/>
    </row>
    <row r="38" spans="1:16" s="2510" customFormat="1">
      <c r="A38" s="3894"/>
      <c r="B38" s="1587" t="s">
        <v>20</v>
      </c>
      <c r="C38" s="1256"/>
      <c r="D38" s="1228">
        <f>+D39+D41</f>
        <v>410798</v>
      </c>
      <c r="E38" s="1228">
        <f>+E39+E41</f>
        <v>84212</v>
      </c>
      <c r="F38" s="1228">
        <f t="shared" ref="F38:I38" si="23">+F39+F41</f>
        <v>176736</v>
      </c>
      <c r="G38" s="1228">
        <f t="shared" si="23"/>
        <v>91307</v>
      </c>
      <c r="H38" s="1228">
        <f t="shared" si="23"/>
        <v>58543</v>
      </c>
      <c r="I38" s="3116">
        <f t="shared" si="23"/>
        <v>0</v>
      </c>
      <c r="J38" s="3116">
        <v>0</v>
      </c>
      <c r="K38" s="3116">
        <v>0</v>
      </c>
      <c r="L38" s="1228">
        <f>+L39+L41</f>
        <v>0</v>
      </c>
      <c r="M38" s="3857" t="s">
        <v>52</v>
      </c>
      <c r="N38" s="3752" t="s">
        <v>618</v>
      </c>
      <c r="O38" s="3112"/>
    </row>
    <row r="39" spans="1:16" s="2510" customFormat="1" ht="12" hidden="1" customHeight="1">
      <c r="A39" s="3894"/>
      <c r="B39" s="1595" t="s">
        <v>22</v>
      </c>
      <c r="C39" s="3907" t="s">
        <v>277</v>
      </c>
      <c r="D39" s="1187">
        <f>+D40</f>
        <v>0</v>
      </c>
      <c r="E39" s="1187"/>
      <c r="F39" s="1187"/>
      <c r="G39" s="1187"/>
      <c r="H39" s="1187"/>
      <c r="I39" s="1227"/>
      <c r="J39" s="1227"/>
      <c r="K39" s="1227"/>
      <c r="L39" s="1187"/>
      <c r="M39" s="3857"/>
      <c r="N39" s="3753"/>
      <c r="O39" s="3107"/>
    </row>
    <row r="40" spans="1:16" s="2510" customFormat="1" ht="13.5" hidden="1" customHeight="1">
      <c r="A40" s="3894"/>
      <c r="B40" s="2096" t="s">
        <v>12</v>
      </c>
      <c r="C40" s="3874"/>
      <c r="D40" s="1115">
        <f>E40+L40+F40+G40+H40+I40+J40+K40</f>
        <v>0</v>
      </c>
      <c r="E40" s="1197"/>
      <c r="F40" s="1197"/>
      <c r="G40" s="1197"/>
      <c r="H40" s="1197"/>
      <c r="I40" s="2795"/>
      <c r="J40" s="2795"/>
      <c r="K40" s="2795"/>
      <c r="L40" s="1197"/>
      <c r="M40" s="3857"/>
      <c r="N40" s="3753"/>
      <c r="O40" s="3107"/>
    </row>
    <row r="41" spans="1:16" s="2510" customFormat="1">
      <c r="A41" s="3894"/>
      <c r="B41" s="3115" t="s">
        <v>17</v>
      </c>
      <c r="C41" s="3908"/>
      <c r="D41" s="1187">
        <f>+D43+D42</f>
        <v>410798</v>
      </c>
      <c r="E41" s="1187">
        <f t="shared" ref="E41" si="24">+E43+E42</f>
        <v>84212</v>
      </c>
      <c r="F41" s="1187">
        <f t="shared" ref="F41:I41" si="25">+F43+F42</f>
        <v>176736</v>
      </c>
      <c r="G41" s="1187">
        <f>+G43+G42</f>
        <v>91307</v>
      </c>
      <c r="H41" s="1187">
        <f t="shared" si="25"/>
        <v>58543</v>
      </c>
      <c r="I41" s="1227">
        <f t="shared" si="25"/>
        <v>0</v>
      </c>
      <c r="J41" s="1227">
        <v>0</v>
      </c>
      <c r="K41" s="1227">
        <v>0</v>
      </c>
      <c r="L41" s="1187">
        <f>+L43+L42</f>
        <v>0</v>
      </c>
      <c r="M41" s="3857"/>
      <c r="N41" s="3753"/>
      <c r="O41" s="3107"/>
    </row>
    <row r="42" spans="1:16" s="2513" customFormat="1" ht="15.75" customHeight="1" thickBot="1">
      <c r="A42" s="3894"/>
      <c r="B42" s="1596" t="s">
        <v>18</v>
      </c>
      <c r="C42" s="3908"/>
      <c r="D42" s="1115">
        <f>E42+L42+F42+G42+H42+I42+J42+K42</f>
        <v>410798</v>
      </c>
      <c r="E42" s="1190">
        <f>88766-60286+55732</f>
        <v>84212</v>
      </c>
      <c r="F42" s="1190">
        <f>154696+9365+11231+62500-69130+8321-247</f>
        <v>176736</v>
      </c>
      <c r="G42" s="1190">
        <f>103495-26700+4444-33621+72166-5400-23077</f>
        <v>91307</v>
      </c>
      <c r="H42" s="1190">
        <f>60792+32027-15824-25800-3036-12940+23324</f>
        <v>58543</v>
      </c>
      <c r="I42" s="2246">
        <f>13068+45594+149-58811</f>
        <v>0</v>
      </c>
      <c r="J42" s="2246">
        <v>0</v>
      </c>
      <c r="K42" s="2246">
        <v>0</v>
      </c>
      <c r="L42" s="1190">
        <v>0</v>
      </c>
      <c r="M42" s="3857"/>
      <c r="N42" s="3753"/>
      <c r="O42" s="3107"/>
    </row>
    <row r="43" spans="1:16" ht="13.5" hidden="1" customHeight="1" thickBot="1">
      <c r="A43" s="3895"/>
      <c r="B43" s="3495" t="s">
        <v>19</v>
      </c>
      <c r="C43" s="3909"/>
      <c r="D43" s="1115">
        <f>E43+L43+F43+G43+H43+I43+J43+K43</f>
        <v>0</v>
      </c>
      <c r="E43" s="1434">
        <v>0</v>
      </c>
      <c r="F43" s="1433"/>
      <c r="G43" s="1433"/>
      <c r="H43" s="1433"/>
      <c r="I43" s="1433"/>
      <c r="J43" s="1433"/>
      <c r="K43" s="1433"/>
      <c r="L43" s="1433"/>
      <c r="M43" s="3701"/>
      <c r="N43" s="3117"/>
      <c r="O43" s="3106"/>
    </row>
    <row r="44" spans="1:16" ht="38.25" customHeight="1">
      <c r="A44" s="3904" t="s">
        <v>55</v>
      </c>
      <c r="B44" s="3110" t="s">
        <v>576</v>
      </c>
      <c r="C44" s="3111" t="s">
        <v>99</v>
      </c>
      <c r="D44" s="915"/>
      <c r="E44" s="2098"/>
      <c r="F44" s="2098"/>
      <c r="G44" s="2098"/>
      <c r="H44" s="2098"/>
      <c r="I44" s="2098"/>
      <c r="J44" s="2098"/>
      <c r="K44" s="34"/>
      <c r="L44" s="2098"/>
      <c r="M44" s="1223"/>
      <c r="N44" s="3896" t="s">
        <v>619</v>
      </c>
      <c r="O44" s="3106"/>
    </row>
    <row r="45" spans="1:16" s="2510" customFormat="1">
      <c r="A45" s="3905"/>
      <c r="B45" s="1587" t="s">
        <v>9</v>
      </c>
      <c r="C45" s="1256"/>
      <c r="D45" s="1222">
        <f>+D46+D51</f>
        <v>552790</v>
      </c>
      <c r="E45" s="2792">
        <f>+E46+E51</f>
        <v>0</v>
      </c>
      <c r="F45" s="2792">
        <v>0</v>
      </c>
      <c r="G45" s="1222">
        <f>+G46+G51</f>
        <v>192804</v>
      </c>
      <c r="H45" s="1222">
        <f>+H46+H51</f>
        <v>235308</v>
      </c>
      <c r="I45" s="1222">
        <f>+I46+I51</f>
        <v>124678</v>
      </c>
      <c r="J45" s="2792">
        <v>0</v>
      </c>
      <c r="K45" s="2792">
        <v>0</v>
      </c>
      <c r="L45" s="1222" t="e">
        <f>+L46+L51</f>
        <v>#REF!</v>
      </c>
      <c r="M45" s="1179">
        <f>+M46+M51</f>
        <v>552790</v>
      </c>
      <c r="N45" s="3897"/>
      <c r="O45" s="3112"/>
      <c r="P45" s="2514"/>
    </row>
    <row r="46" spans="1:16" s="2510" customFormat="1" ht="13.5" customHeight="1">
      <c r="A46" s="3905"/>
      <c r="B46" s="1595" t="s">
        <v>22</v>
      </c>
      <c r="C46" s="3941" t="s">
        <v>308</v>
      </c>
      <c r="D46" s="1416">
        <f>+D47</f>
        <v>82918</v>
      </c>
      <c r="E46" s="2793">
        <f>+E47</f>
        <v>0</v>
      </c>
      <c r="F46" s="2793">
        <v>0</v>
      </c>
      <c r="G46" s="1416">
        <f>+G47</f>
        <v>28921</v>
      </c>
      <c r="H46" s="1416">
        <f>+H47</f>
        <v>35296</v>
      </c>
      <c r="I46" s="1416">
        <f>+I47</f>
        <v>18701</v>
      </c>
      <c r="J46" s="2793">
        <v>0</v>
      </c>
      <c r="K46" s="2793">
        <v>0</v>
      </c>
      <c r="L46" s="1416" t="e">
        <f>+L47+#REF!</f>
        <v>#REF!</v>
      </c>
      <c r="M46" s="1680">
        <f>+M47</f>
        <v>82918</v>
      </c>
      <c r="N46" s="3897"/>
      <c r="O46" s="3107"/>
    </row>
    <row r="47" spans="1:16" s="2510" customFormat="1" ht="11.25" customHeight="1">
      <c r="A47" s="3905"/>
      <c r="B47" s="2096" t="s">
        <v>11</v>
      </c>
      <c r="C47" s="3942"/>
      <c r="D47" s="1115">
        <f>E47+L47+F47+G47+H47+I47+J47+K47</f>
        <v>82918</v>
      </c>
      <c r="E47" s="2802">
        <v>0</v>
      </c>
      <c r="F47" s="2246">
        <v>0</v>
      </c>
      <c r="G47" s="1190">
        <f>+G49+G50</f>
        <v>28921</v>
      </c>
      <c r="H47" s="1190">
        <f t="shared" ref="H47:I47" si="26">+H49+H50</f>
        <v>35296</v>
      </c>
      <c r="I47" s="1190">
        <f t="shared" si="26"/>
        <v>18701</v>
      </c>
      <c r="J47" s="2246">
        <v>0</v>
      </c>
      <c r="K47" s="2246">
        <v>0</v>
      </c>
      <c r="L47" s="1190">
        <f>+L49+L50</f>
        <v>0</v>
      </c>
      <c r="M47" s="1441">
        <f>+K47+J47+I47+H47+G47</f>
        <v>82918</v>
      </c>
      <c r="N47" s="3897"/>
      <c r="O47" s="3107"/>
    </row>
    <row r="48" spans="1:16" s="2515" customFormat="1" ht="13.5" hidden="1" customHeight="1">
      <c r="A48" s="3905"/>
      <c r="B48" s="3118" t="s">
        <v>139</v>
      </c>
      <c r="C48" s="3942"/>
      <c r="D48" s="1197"/>
      <c r="E48" s="3114">
        <v>0</v>
      </c>
      <c r="F48" s="3114">
        <v>0</v>
      </c>
      <c r="G48" s="2977"/>
      <c r="H48" s="2977"/>
      <c r="I48" s="2977"/>
      <c r="J48" s="3114">
        <v>0</v>
      </c>
      <c r="K48" s="2246">
        <v>0</v>
      </c>
      <c r="L48" s="2977"/>
      <c r="M48" s="1681"/>
      <c r="N48" s="3897"/>
      <c r="O48" s="3107"/>
    </row>
    <row r="49" spans="1:15" s="2515" customFormat="1" ht="13.5" hidden="1" customHeight="1">
      <c r="A49" s="3905"/>
      <c r="B49" s="3118" t="s">
        <v>605</v>
      </c>
      <c r="C49" s="3942"/>
      <c r="D49" s="1197">
        <f>+E49+L49+F49+G49+H49+I49+J49+K49</f>
        <v>49707</v>
      </c>
      <c r="E49" s="3114">
        <v>0</v>
      </c>
      <c r="F49" s="3114">
        <v>0</v>
      </c>
      <c r="G49" s="2977">
        <v>17325</v>
      </c>
      <c r="H49" s="2977">
        <v>20475</v>
      </c>
      <c r="I49" s="2977">
        <v>11907</v>
      </c>
      <c r="J49" s="3114">
        <v>0</v>
      </c>
      <c r="K49" s="2246">
        <v>0</v>
      </c>
      <c r="L49" s="2977">
        <v>0</v>
      </c>
      <c r="M49" s="2794">
        <f>+K49+J49+I49+H49+G49</f>
        <v>49707</v>
      </c>
      <c r="N49" s="3897"/>
      <c r="O49" s="3107"/>
    </row>
    <row r="50" spans="1:15" s="2515" customFormat="1" ht="13.5" hidden="1" customHeight="1">
      <c r="A50" s="3905"/>
      <c r="B50" s="3118" t="s">
        <v>269</v>
      </c>
      <c r="C50" s="3942"/>
      <c r="D50" s="1197">
        <f>+E50+L50+F50+G50+H50+I50</f>
        <v>33211</v>
      </c>
      <c r="E50" s="3114">
        <v>0</v>
      </c>
      <c r="F50" s="3114">
        <v>0</v>
      </c>
      <c r="G50" s="2977">
        <v>11596</v>
      </c>
      <c r="H50" s="2977">
        <v>14821</v>
      </c>
      <c r="I50" s="2977">
        <v>6794</v>
      </c>
      <c r="J50" s="3114">
        <v>0</v>
      </c>
      <c r="K50" s="2246">
        <v>0</v>
      </c>
      <c r="L50" s="2977">
        <v>0</v>
      </c>
      <c r="M50" s="2794">
        <f>+K50+J50+I50+H50+G50</f>
        <v>33211</v>
      </c>
      <c r="N50" s="3897"/>
      <c r="O50" s="3107"/>
    </row>
    <row r="51" spans="1:15" s="2510" customFormat="1">
      <c r="A51" s="3905"/>
      <c r="B51" s="3115" t="s">
        <v>17</v>
      </c>
      <c r="C51" s="3942"/>
      <c r="D51" s="1187">
        <f>+D53+D52</f>
        <v>469872</v>
      </c>
      <c r="E51" s="1227">
        <v>0</v>
      </c>
      <c r="F51" s="1227">
        <v>0</v>
      </c>
      <c r="G51" s="1187">
        <f>+G53+G52</f>
        <v>163883</v>
      </c>
      <c r="H51" s="1187">
        <f t="shared" ref="H51:I51" si="27">+H53+H52</f>
        <v>200012</v>
      </c>
      <c r="I51" s="1187">
        <f t="shared" si="27"/>
        <v>105977</v>
      </c>
      <c r="J51" s="1227">
        <v>0</v>
      </c>
      <c r="K51" s="1227">
        <v>0</v>
      </c>
      <c r="L51" s="1187" t="e">
        <f>+L53+L52</f>
        <v>#REF!</v>
      </c>
      <c r="M51" s="1441">
        <f>+M53</f>
        <v>469872</v>
      </c>
      <c r="N51" s="3897"/>
      <c r="O51" s="3107"/>
    </row>
    <row r="52" spans="1:15" s="2513" customFormat="1" ht="12" hidden="1" customHeight="1">
      <c r="A52" s="3905"/>
      <c r="B52" s="2096" t="s">
        <v>18</v>
      </c>
      <c r="C52" s="3942"/>
      <c r="D52" s="1115"/>
      <c r="E52" s="2802"/>
      <c r="F52" s="2246"/>
      <c r="G52" s="1190"/>
      <c r="H52" s="1190"/>
      <c r="I52" s="2246">
        <v>0</v>
      </c>
      <c r="J52" s="2246">
        <v>0</v>
      </c>
      <c r="K52" s="2246">
        <v>0</v>
      </c>
      <c r="L52" s="1190" t="e">
        <f>+#REF!+#REF!</f>
        <v>#REF!</v>
      </c>
      <c r="M52" s="2794"/>
      <c r="N52" s="3897"/>
      <c r="O52" s="3112">
        <f>D52-D59</f>
        <v>0</v>
      </c>
    </row>
    <row r="53" spans="1:15" s="2510" customFormat="1" ht="13.5" customHeight="1" collapsed="1">
      <c r="A53" s="3905"/>
      <c r="B53" s="2096" t="s">
        <v>19</v>
      </c>
      <c r="C53" s="3942"/>
      <c r="D53" s="1115">
        <f>+D55+D56</f>
        <v>469872</v>
      </c>
      <c r="E53" s="2246">
        <v>0</v>
      </c>
      <c r="F53" s="2246">
        <v>0</v>
      </c>
      <c r="G53" s="1190">
        <f t="shared" ref="G53:K53" si="28">+G55+G56</f>
        <v>163883</v>
      </c>
      <c r="H53" s="1190">
        <f t="shared" si="28"/>
        <v>200012</v>
      </c>
      <c r="I53" s="1190">
        <f t="shared" si="28"/>
        <v>105977</v>
      </c>
      <c r="J53" s="2246">
        <f t="shared" si="28"/>
        <v>0</v>
      </c>
      <c r="K53" s="2246">
        <f t="shared" si="28"/>
        <v>0</v>
      </c>
      <c r="L53" s="1190"/>
      <c r="M53" s="2794">
        <f>+K53+J53+I53+H53+G53</f>
        <v>469872</v>
      </c>
      <c r="N53" s="3897"/>
      <c r="O53" s="3112"/>
    </row>
    <row r="54" spans="1:15" s="2574" customFormat="1" ht="12.75" hidden="1" customHeight="1">
      <c r="A54" s="3905"/>
      <c r="B54" s="3118" t="s">
        <v>139</v>
      </c>
      <c r="C54" s="3942"/>
      <c r="D54" s="1115"/>
      <c r="E54" s="2246">
        <v>0</v>
      </c>
      <c r="F54" s="2246">
        <v>0</v>
      </c>
      <c r="G54" s="1190"/>
      <c r="H54" s="1190"/>
      <c r="I54" s="1190"/>
      <c r="J54" s="2246">
        <v>0</v>
      </c>
      <c r="K54" s="2246">
        <v>0</v>
      </c>
      <c r="L54" s="1190"/>
      <c r="M54" s="2794">
        <f t="shared" ref="M54:M56" si="29">+K54+J54+I54+H54+G54</f>
        <v>0</v>
      </c>
      <c r="N54" s="3897"/>
      <c r="O54" s="3112"/>
    </row>
    <row r="55" spans="1:15" s="2574" customFormat="1" ht="13.5" hidden="1" customHeight="1">
      <c r="A55" s="3905"/>
      <c r="B55" s="3118" t="s">
        <v>605</v>
      </c>
      <c r="C55" s="3942"/>
      <c r="D55" s="1115">
        <f>+G55+H55+I55+J55+K55</f>
        <v>281673</v>
      </c>
      <c r="E55" s="2246">
        <v>0</v>
      </c>
      <c r="F55" s="2246">
        <v>0</v>
      </c>
      <c r="G55" s="1190">
        <v>98175</v>
      </c>
      <c r="H55" s="1190">
        <v>116025</v>
      </c>
      <c r="I55" s="1190">
        <v>67473</v>
      </c>
      <c r="J55" s="2246">
        <v>0</v>
      </c>
      <c r="K55" s="2246">
        <v>0</v>
      </c>
      <c r="L55" s="1190"/>
      <c r="M55" s="2794">
        <f t="shared" si="29"/>
        <v>281673</v>
      </c>
      <c r="N55" s="3897"/>
      <c r="O55" s="3112"/>
    </row>
    <row r="56" spans="1:15" s="2574" customFormat="1" ht="13.5" hidden="1" customHeight="1">
      <c r="A56" s="3905"/>
      <c r="B56" s="3118" t="s">
        <v>269</v>
      </c>
      <c r="C56" s="3943"/>
      <c r="D56" s="1115">
        <f>+G56+H56+I56+J56+K56</f>
        <v>188199</v>
      </c>
      <c r="E56" s="2246">
        <v>0</v>
      </c>
      <c r="F56" s="2246">
        <v>0</v>
      </c>
      <c r="G56" s="1190">
        <v>65708</v>
      </c>
      <c r="H56" s="1190">
        <v>83987</v>
      </c>
      <c r="I56" s="1190">
        <v>38504</v>
      </c>
      <c r="J56" s="2246">
        <v>0</v>
      </c>
      <c r="K56" s="2246">
        <v>0</v>
      </c>
      <c r="L56" s="1190"/>
      <c r="M56" s="2794">
        <f t="shared" si="29"/>
        <v>188199</v>
      </c>
      <c r="N56" s="3898"/>
      <c r="O56" s="3112"/>
    </row>
    <row r="57" spans="1:15" s="2510" customFormat="1" ht="24" customHeight="1">
      <c r="A57" s="3905"/>
      <c r="B57" s="1587" t="s">
        <v>20</v>
      </c>
      <c r="C57" s="1256"/>
      <c r="D57" s="1228">
        <f>+D58</f>
        <v>469872</v>
      </c>
      <c r="E57" s="3116">
        <v>0</v>
      </c>
      <c r="F57" s="3116"/>
      <c r="G57" s="3116">
        <f>+G58</f>
        <v>0</v>
      </c>
      <c r="H57" s="1228">
        <f t="shared" ref="H57:J57" si="30">+H58</f>
        <v>163883</v>
      </c>
      <c r="I57" s="1228">
        <f t="shared" si="30"/>
        <v>200012</v>
      </c>
      <c r="J57" s="1228">
        <f t="shared" si="30"/>
        <v>105977</v>
      </c>
      <c r="K57" s="3116">
        <v>0</v>
      </c>
      <c r="L57" s="1228" t="e">
        <f>+#REF!+L58</f>
        <v>#REF!</v>
      </c>
      <c r="M57" s="3857" t="s">
        <v>52</v>
      </c>
      <c r="N57" s="3752" t="s">
        <v>618</v>
      </c>
      <c r="O57" s="3112"/>
    </row>
    <row r="58" spans="1:15" s="2510" customFormat="1">
      <c r="A58" s="3905"/>
      <c r="B58" s="3115" t="s">
        <v>17</v>
      </c>
      <c r="C58" s="3901" t="s">
        <v>277</v>
      </c>
      <c r="D58" s="1187">
        <f>+D60+D59</f>
        <v>469872</v>
      </c>
      <c r="E58" s="1227">
        <f t="shared" ref="E58:F58" si="31">+E60+E59</f>
        <v>0</v>
      </c>
      <c r="F58" s="1227">
        <f t="shared" si="31"/>
        <v>0</v>
      </c>
      <c r="G58" s="1227">
        <f>+G60+G59</f>
        <v>0</v>
      </c>
      <c r="H58" s="1187">
        <f t="shared" ref="H58:I58" si="32">+H60+H59</f>
        <v>163883</v>
      </c>
      <c r="I58" s="1187">
        <f t="shared" si="32"/>
        <v>200012</v>
      </c>
      <c r="J58" s="1187">
        <f>+J60</f>
        <v>105977</v>
      </c>
      <c r="K58" s="1227">
        <v>0</v>
      </c>
      <c r="L58" s="1187">
        <f>+L60+L59</f>
        <v>0</v>
      </c>
      <c r="M58" s="3857"/>
      <c r="N58" s="3753"/>
      <c r="O58" s="3107"/>
    </row>
    <row r="59" spans="1:15" s="2513" customFormat="1" ht="15.75" hidden="1" customHeight="1">
      <c r="A59" s="3905"/>
      <c r="B59" s="2096" t="s">
        <v>18</v>
      </c>
      <c r="C59" s="3902"/>
      <c r="D59" s="1115">
        <f>E59+L59+F59+G59+H59+I59+J59+K59</f>
        <v>0</v>
      </c>
      <c r="E59" s="2246"/>
      <c r="F59" s="2246"/>
      <c r="G59" s="2246"/>
      <c r="H59" s="1190"/>
      <c r="I59" s="1190"/>
      <c r="J59" s="1190">
        <v>0</v>
      </c>
      <c r="K59" s="2246">
        <v>0</v>
      </c>
      <c r="L59" s="1190">
        <v>0</v>
      </c>
      <c r="M59" s="3857"/>
      <c r="N59" s="3753"/>
      <c r="O59" s="3107"/>
    </row>
    <row r="60" spans="1:15" ht="13.5" customHeight="1" thickBot="1">
      <c r="A60" s="3906"/>
      <c r="B60" s="1596" t="s">
        <v>19</v>
      </c>
      <c r="C60" s="3903"/>
      <c r="D60" s="1636">
        <f>E60+L60+F60+G60+H60+I60+J60+K60</f>
        <v>469872</v>
      </c>
      <c r="E60" s="1434">
        <v>0</v>
      </c>
      <c r="F60" s="1434">
        <v>0</v>
      </c>
      <c r="G60" s="1434">
        <v>0</v>
      </c>
      <c r="H60" s="1433">
        <v>163883</v>
      </c>
      <c r="I60" s="1433">
        <v>200012</v>
      </c>
      <c r="J60" s="1433">
        <v>105977</v>
      </c>
      <c r="K60" s="1434">
        <v>0</v>
      </c>
      <c r="L60" s="1433"/>
      <c r="M60" s="3701"/>
      <c r="N60" s="3754"/>
      <c r="O60" s="3106"/>
    </row>
    <row r="61" spans="1:15" ht="24" customHeight="1">
      <c r="A61" s="3893" t="s">
        <v>553</v>
      </c>
      <c r="B61" s="973" t="s">
        <v>405</v>
      </c>
      <c r="C61" s="974" t="s">
        <v>99</v>
      </c>
      <c r="D61" s="915"/>
      <c r="E61" s="2098"/>
      <c r="F61" s="2098"/>
      <c r="G61" s="2098"/>
      <c r="H61" s="2098"/>
      <c r="I61" s="2098"/>
      <c r="J61" s="2098"/>
      <c r="K61" s="34"/>
      <c r="L61" s="2098"/>
      <c r="M61" s="1223"/>
      <c r="N61" s="3861" t="s">
        <v>284</v>
      </c>
      <c r="O61" s="3106"/>
    </row>
    <row r="62" spans="1:15">
      <c r="A62" s="3851"/>
      <c r="B62" s="1587" t="s">
        <v>9</v>
      </c>
      <c r="C62" s="975"/>
      <c r="D62" s="1594">
        <f t="shared" ref="D62" si="33">+D63+D68</f>
        <v>1324368</v>
      </c>
      <c r="E62" s="2792">
        <f t="shared" ref="E62" si="34">+E63+E68</f>
        <v>0</v>
      </c>
      <c r="F62" s="1222">
        <f t="shared" ref="F62:G62" si="35">+F63+F68</f>
        <v>460509</v>
      </c>
      <c r="G62" s="1222">
        <f t="shared" si="35"/>
        <v>863859</v>
      </c>
      <c r="H62" s="2792">
        <f t="shared" ref="H62:K62" si="36">+H63+H68</f>
        <v>0</v>
      </c>
      <c r="I62" s="2792">
        <f t="shared" si="36"/>
        <v>0</v>
      </c>
      <c r="J62" s="2792">
        <f t="shared" si="36"/>
        <v>0</v>
      </c>
      <c r="K62" s="2792">
        <f t="shared" si="36"/>
        <v>0</v>
      </c>
      <c r="L62" s="2792">
        <f>+L63+L68</f>
        <v>0</v>
      </c>
      <c r="M62" s="1179">
        <f>+M63+M68</f>
        <v>863859</v>
      </c>
      <c r="N62" s="3859"/>
      <c r="O62" s="3108"/>
    </row>
    <row r="63" spans="1:15" ht="12.75" customHeight="1">
      <c r="A63" s="3851"/>
      <c r="B63" s="1588" t="s">
        <v>22</v>
      </c>
      <c r="C63" s="3891" t="s">
        <v>281</v>
      </c>
      <c r="D63" s="1416">
        <f t="shared" ref="D63:M63" si="37">+D64+D67</f>
        <v>198655</v>
      </c>
      <c r="E63" s="2793">
        <f t="shared" ref="E63" si="38">+E64+E67</f>
        <v>0</v>
      </c>
      <c r="F63" s="1416">
        <f t="shared" si="37"/>
        <v>69077</v>
      </c>
      <c r="G63" s="1416">
        <f t="shared" si="37"/>
        <v>129578</v>
      </c>
      <c r="H63" s="2793">
        <f t="shared" ref="H63:K63" si="39">+H64+H67</f>
        <v>0</v>
      </c>
      <c r="I63" s="2793">
        <f t="shared" si="39"/>
        <v>0</v>
      </c>
      <c r="J63" s="2793">
        <f t="shared" si="39"/>
        <v>0</v>
      </c>
      <c r="K63" s="2793">
        <f t="shared" si="39"/>
        <v>0</v>
      </c>
      <c r="L63" s="2793">
        <f>+L64+L67</f>
        <v>0</v>
      </c>
      <c r="M63" s="1680">
        <f t="shared" si="37"/>
        <v>129578</v>
      </c>
      <c r="N63" s="3859"/>
      <c r="O63" s="3106"/>
    </row>
    <row r="64" spans="1:15" ht="12" customHeight="1">
      <c r="A64" s="3851"/>
      <c r="B64" s="1589" t="s">
        <v>11</v>
      </c>
      <c r="C64" s="3892"/>
      <c r="D64" s="1115">
        <f>E64+L64+F64+G64+H64+I64+J64+K64</f>
        <v>198655</v>
      </c>
      <c r="E64" s="2796">
        <f t="shared" ref="E64:G64" si="40">+E65+E66</f>
        <v>0</v>
      </c>
      <c r="F64" s="1190">
        <f t="shared" si="40"/>
        <v>69077</v>
      </c>
      <c r="G64" s="1190">
        <f t="shared" si="40"/>
        <v>129578</v>
      </c>
      <c r="H64" s="2796">
        <f t="shared" ref="H64:K64" si="41">+H65+H66</f>
        <v>0</v>
      </c>
      <c r="I64" s="2796">
        <f t="shared" si="41"/>
        <v>0</v>
      </c>
      <c r="J64" s="2796">
        <f t="shared" si="41"/>
        <v>0</v>
      </c>
      <c r="K64" s="2796">
        <f t="shared" si="41"/>
        <v>0</v>
      </c>
      <c r="L64" s="2796">
        <f>+L65+L66</f>
        <v>0</v>
      </c>
      <c r="M64" s="1441">
        <f>SUM(G64:K64)</f>
        <v>129578</v>
      </c>
      <c r="N64" s="3859"/>
      <c r="O64" s="3106"/>
    </row>
    <row r="65" spans="1:15" s="2516" customFormat="1" ht="13.5" hidden="1" customHeight="1">
      <c r="A65" s="3851"/>
      <c r="B65" s="3119" t="s">
        <v>269</v>
      </c>
      <c r="C65" s="3892"/>
      <c r="D65" s="2797">
        <f>SUM(E65:K65)</f>
        <v>101173</v>
      </c>
      <c r="E65" s="1507">
        <v>0</v>
      </c>
      <c r="F65" s="2798">
        <f>51272-7892</f>
        <v>43380</v>
      </c>
      <c r="G65" s="2798">
        <f>49901+7892</f>
        <v>57793</v>
      </c>
      <c r="H65" s="2799">
        <v>0</v>
      </c>
      <c r="I65" s="2799">
        <v>0</v>
      </c>
      <c r="J65" s="2799">
        <v>0</v>
      </c>
      <c r="K65" s="2799">
        <v>0</v>
      </c>
      <c r="L65" s="2799">
        <v>0</v>
      </c>
      <c r="M65" s="1441">
        <f t="shared" ref="M65:M66" si="42">SUM(F65:K65)</f>
        <v>101173</v>
      </c>
      <c r="N65" s="3859"/>
      <c r="O65" s="3106"/>
    </row>
    <row r="66" spans="1:15" s="2516" customFormat="1" ht="13.5" hidden="1" customHeight="1">
      <c r="A66" s="3851"/>
      <c r="B66" s="3120" t="s">
        <v>279</v>
      </c>
      <c r="C66" s="3892"/>
      <c r="D66" s="3121">
        <f>SUM(E66:K66)</f>
        <v>97482</v>
      </c>
      <c r="E66" s="3122">
        <v>0</v>
      </c>
      <c r="F66" s="3123">
        <f>52169-26472</f>
        <v>25697</v>
      </c>
      <c r="G66" s="3123">
        <f>45313+26472</f>
        <v>71785</v>
      </c>
      <c r="H66" s="3124">
        <v>0</v>
      </c>
      <c r="I66" s="3124">
        <v>0</v>
      </c>
      <c r="J66" s="3124">
        <v>0</v>
      </c>
      <c r="K66" s="3124">
        <v>0</v>
      </c>
      <c r="L66" s="3124">
        <v>0</v>
      </c>
      <c r="M66" s="1441">
        <f t="shared" si="42"/>
        <v>97482</v>
      </c>
      <c r="N66" s="3859"/>
      <c r="O66" s="3106"/>
    </row>
    <row r="67" spans="1:15" ht="12.75" customHeight="1">
      <c r="A67" s="3851"/>
      <c r="B67" s="1589" t="s">
        <v>12</v>
      </c>
      <c r="C67" s="3892"/>
      <c r="D67" s="1197">
        <f>SUM(E67:F67)</f>
        <v>0</v>
      </c>
      <c r="E67" s="2246">
        <v>0</v>
      </c>
      <c r="F67" s="1190"/>
      <c r="G67" s="1190"/>
      <c r="H67" s="2246"/>
      <c r="I67" s="2246"/>
      <c r="J67" s="2246"/>
      <c r="K67" s="2246"/>
      <c r="L67" s="2246"/>
      <c r="M67" s="2794">
        <f>SUM(F67:K67)</f>
        <v>0</v>
      </c>
      <c r="N67" s="3859"/>
      <c r="O67" s="3106"/>
    </row>
    <row r="68" spans="1:15" ht="12" customHeight="1">
      <c r="A68" s="3851"/>
      <c r="B68" s="1588" t="s">
        <v>17</v>
      </c>
      <c r="C68" s="3892"/>
      <c r="D68" s="1187">
        <f>+D69</f>
        <v>1125713</v>
      </c>
      <c r="E68" s="1227">
        <f t="shared" ref="E68:K68" si="43">+E69</f>
        <v>0</v>
      </c>
      <c r="F68" s="1187">
        <f t="shared" si="43"/>
        <v>391432</v>
      </c>
      <c r="G68" s="1187">
        <f t="shared" si="43"/>
        <v>734281</v>
      </c>
      <c r="H68" s="1227">
        <f t="shared" si="43"/>
        <v>0</v>
      </c>
      <c r="I68" s="1227">
        <f t="shared" si="43"/>
        <v>0</v>
      </c>
      <c r="J68" s="1227">
        <f t="shared" si="43"/>
        <v>0</v>
      </c>
      <c r="K68" s="1227">
        <f t="shared" si="43"/>
        <v>0</v>
      </c>
      <c r="L68" s="1227">
        <f>+L69</f>
        <v>0</v>
      </c>
      <c r="M68" s="1443">
        <f>+M69</f>
        <v>734281</v>
      </c>
      <c r="N68" s="3859"/>
      <c r="O68" s="3106"/>
    </row>
    <row r="69" spans="1:15" ht="12" customHeight="1" collapsed="1">
      <c r="A69" s="3851"/>
      <c r="B69" s="1589" t="s">
        <v>19</v>
      </c>
      <c r="C69" s="3892"/>
      <c r="D69" s="1115">
        <f>E69+L69+F69+G69+H69+I69+J69+K69</f>
        <v>1125713</v>
      </c>
      <c r="E69" s="2246">
        <f t="shared" ref="E69:G69" si="44">+E70+E71</f>
        <v>0</v>
      </c>
      <c r="F69" s="1190">
        <f t="shared" si="44"/>
        <v>391432</v>
      </c>
      <c r="G69" s="1190">
        <f t="shared" si="44"/>
        <v>734281</v>
      </c>
      <c r="H69" s="2246">
        <f t="shared" ref="H69:K69" si="45">+H70+H71</f>
        <v>0</v>
      </c>
      <c r="I69" s="2246">
        <f t="shared" si="45"/>
        <v>0</v>
      </c>
      <c r="J69" s="2246">
        <f t="shared" si="45"/>
        <v>0</v>
      </c>
      <c r="K69" s="2246">
        <f t="shared" si="45"/>
        <v>0</v>
      </c>
      <c r="L69" s="2246">
        <f>+L70+L71</f>
        <v>0</v>
      </c>
      <c r="M69" s="1441">
        <f>SUM(G69:K69)</f>
        <v>734281</v>
      </c>
      <c r="N69" s="3860"/>
      <c r="O69" s="3106"/>
    </row>
    <row r="70" spans="1:15" s="2516" customFormat="1" ht="13.5" hidden="1" customHeight="1">
      <c r="A70" s="3851"/>
      <c r="B70" s="3125" t="s">
        <v>269</v>
      </c>
      <c r="C70" s="3126"/>
      <c r="D70" s="3127">
        <f>SUM(E70:K70)</f>
        <v>573315</v>
      </c>
      <c r="E70" s="3128">
        <v>0</v>
      </c>
      <c r="F70" s="3129">
        <f>290542-44724</f>
        <v>245818</v>
      </c>
      <c r="G70" s="3129">
        <f>282773+44724</f>
        <v>327497</v>
      </c>
      <c r="H70" s="3128">
        <v>0</v>
      </c>
      <c r="I70" s="3128">
        <v>0</v>
      </c>
      <c r="J70" s="3128">
        <v>0</v>
      </c>
      <c r="K70" s="3128">
        <v>0</v>
      </c>
      <c r="L70" s="3128">
        <v>0</v>
      </c>
      <c r="M70" s="1441">
        <f t="shared" ref="M70:M71" si="46">SUM(F70:K70)</f>
        <v>573315</v>
      </c>
      <c r="N70" s="3524"/>
      <c r="O70" s="3106"/>
    </row>
    <row r="71" spans="1:15" s="2516" customFormat="1" ht="12.75" hidden="1" customHeight="1">
      <c r="A71" s="3851"/>
      <c r="B71" s="3130" t="s">
        <v>279</v>
      </c>
      <c r="C71" s="3131"/>
      <c r="D71" s="3132">
        <f>SUM(E71:K71)</f>
        <v>552398</v>
      </c>
      <c r="E71" s="3133">
        <v>0</v>
      </c>
      <c r="F71" s="3134">
        <f>295621-150007</f>
        <v>145614</v>
      </c>
      <c r="G71" s="3134">
        <f>256777+150007</f>
        <v>406784</v>
      </c>
      <c r="H71" s="3133">
        <v>0</v>
      </c>
      <c r="I71" s="3133">
        <v>0</v>
      </c>
      <c r="J71" s="3133">
        <v>0</v>
      </c>
      <c r="K71" s="3133">
        <v>0</v>
      </c>
      <c r="L71" s="3133">
        <v>0</v>
      </c>
      <c r="M71" s="1441">
        <f t="shared" si="46"/>
        <v>552398</v>
      </c>
      <c r="N71" s="3524"/>
      <c r="O71" s="3106"/>
    </row>
    <row r="72" spans="1:15">
      <c r="A72" s="3894"/>
      <c r="B72" s="1587" t="s">
        <v>20</v>
      </c>
      <c r="C72" s="1256"/>
      <c r="D72" s="1442">
        <f t="shared" ref="D72:G72" si="47">+D73+D75</f>
        <v>1125713</v>
      </c>
      <c r="E72" s="2800">
        <f t="shared" ref="E72" si="48">+E73+E75</f>
        <v>0</v>
      </c>
      <c r="F72" s="1442">
        <f t="shared" si="47"/>
        <v>586163</v>
      </c>
      <c r="G72" s="1442">
        <f t="shared" si="47"/>
        <v>539550</v>
      </c>
      <c r="H72" s="2800">
        <f t="shared" ref="H72:K72" si="49">+H73+H75</f>
        <v>0</v>
      </c>
      <c r="I72" s="2800">
        <f t="shared" si="49"/>
        <v>0</v>
      </c>
      <c r="J72" s="2800">
        <f t="shared" si="49"/>
        <v>0</v>
      </c>
      <c r="K72" s="2800">
        <f t="shared" si="49"/>
        <v>0</v>
      </c>
      <c r="L72" s="2800">
        <f>+L73+L75</f>
        <v>0</v>
      </c>
      <c r="M72" s="3857" t="s">
        <v>52</v>
      </c>
      <c r="N72" s="3753" t="s">
        <v>279</v>
      </c>
      <c r="O72" s="3108">
        <f>F72-'[1]Tab. 6B Polit społ i rozwój prz'!$G$54</f>
        <v>0</v>
      </c>
    </row>
    <row r="73" spans="1:15" ht="13.5" customHeight="1">
      <c r="A73" s="3894"/>
      <c r="B73" s="1588" t="s">
        <v>22</v>
      </c>
      <c r="C73" s="3910" t="s">
        <v>280</v>
      </c>
      <c r="D73" s="1187">
        <f>+D74</f>
        <v>0</v>
      </c>
      <c r="E73" s="1227">
        <f t="shared" ref="E73:K73" si="50">+E74</f>
        <v>0</v>
      </c>
      <c r="F73" s="1187">
        <f t="shared" si="50"/>
        <v>0</v>
      </c>
      <c r="G73" s="1187">
        <f t="shared" si="50"/>
        <v>0</v>
      </c>
      <c r="H73" s="1227">
        <f t="shared" si="50"/>
        <v>0</v>
      </c>
      <c r="I73" s="1227">
        <f t="shared" si="50"/>
        <v>0</v>
      </c>
      <c r="J73" s="1227">
        <f t="shared" si="50"/>
        <v>0</v>
      </c>
      <c r="K73" s="1227">
        <f t="shared" si="50"/>
        <v>0</v>
      </c>
      <c r="L73" s="1227">
        <f>+L74</f>
        <v>0</v>
      </c>
      <c r="M73" s="3857"/>
      <c r="N73" s="3753"/>
      <c r="O73" s="3106"/>
    </row>
    <row r="74" spans="1:15" ht="13.5" customHeight="1">
      <c r="A74" s="3894"/>
      <c r="B74" s="1589" t="s">
        <v>12</v>
      </c>
      <c r="C74" s="3911"/>
      <c r="D74" s="1197">
        <f>SUM(E74:F74)</f>
        <v>0</v>
      </c>
      <c r="E74" s="2795"/>
      <c r="F74" s="1197"/>
      <c r="G74" s="1197"/>
      <c r="H74" s="2795"/>
      <c r="I74" s="2795"/>
      <c r="J74" s="2795"/>
      <c r="K74" s="2795"/>
      <c r="L74" s="2795"/>
      <c r="M74" s="3857"/>
      <c r="N74" s="3753"/>
      <c r="O74" s="3106"/>
    </row>
    <row r="75" spans="1:15" ht="12.75" customHeight="1">
      <c r="A75" s="3894"/>
      <c r="B75" s="1588" t="s">
        <v>17</v>
      </c>
      <c r="C75" s="3911"/>
      <c r="D75" s="1187">
        <f t="shared" ref="D75:K75" si="51">+D76</f>
        <v>1125713</v>
      </c>
      <c r="E75" s="1227">
        <f t="shared" si="51"/>
        <v>0</v>
      </c>
      <c r="F75" s="1187">
        <f t="shared" si="51"/>
        <v>586163</v>
      </c>
      <c r="G75" s="1187">
        <f t="shared" si="51"/>
        <v>539550</v>
      </c>
      <c r="H75" s="1227">
        <f t="shared" si="51"/>
        <v>0</v>
      </c>
      <c r="I75" s="1227">
        <f t="shared" si="51"/>
        <v>0</v>
      </c>
      <c r="J75" s="1227">
        <f t="shared" si="51"/>
        <v>0</v>
      </c>
      <c r="K75" s="1227">
        <f t="shared" si="51"/>
        <v>0</v>
      </c>
      <c r="L75" s="1227">
        <f>+L76</f>
        <v>0</v>
      </c>
      <c r="M75" s="3857"/>
      <c r="N75" s="3753"/>
      <c r="O75" s="3106"/>
    </row>
    <row r="76" spans="1:15" ht="11.25" customHeight="1" thickBot="1">
      <c r="A76" s="3895"/>
      <c r="B76" s="1679" t="s">
        <v>19</v>
      </c>
      <c r="C76" s="3912"/>
      <c r="D76" s="1410">
        <f>E76+L76+F76+G76+H76+I76+J76+K76</f>
        <v>1125713</v>
      </c>
      <c r="E76" s="1439">
        <v>0</v>
      </c>
      <c r="F76" s="1433">
        <v>586163</v>
      </c>
      <c r="G76" s="1433">
        <v>539550</v>
      </c>
      <c r="H76" s="1434">
        <v>0</v>
      </c>
      <c r="I76" s="1434">
        <v>0</v>
      </c>
      <c r="J76" s="1434">
        <v>0</v>
      </c>
      <c r="K76" s="1434">
        <v>0</v>
      </c>
      <c r="L76" s="1434">
        <v>0</v>
      </c>
      <c r="M76" s="3701"/>
      <c r="N76" s="3754"/>
      <c r="O76" s="3106"/>
    </row>
    <row r="77" spans="1:15" ht="0.6" customHeight="1" thickBot="1">
      <c r="A77" s="3039"/>
      <c r="B77" s="2096" t="s">
        <v>19</v>
      </c>
      <c r="C77" s="3040"/>
      <c r="D77" s="2107">
        <f>SUM(E77:F77)</f>
        <v>0</v>
      </c>
      <c r="E77" s="1210">
        <v>0</v>
      </c>
      <c r="F77" s="1210"/>
      <c r="G77" s="1210"/>
      <c r="H77" s="1210"/>
      <c r="I77" s="1210"/>
      <c r="J77" s="1210"/>
      <c r="K77" s="1210"/>
      <c r="L77" s="1210"/>
      <c r="M77" s="3038"/>
      <c r="N77" s="2801"/>
      <c r="O77" s="3106"/>
    </row>
    <row r="78" spans="1:15" ht="27" customHeight="1">
      <c r="A78" s="3869" t="s">
        <v>57</v>
      </c>
      <c r="B78" s="3110" t="s">
        <v>578</v>
      </c>
      <c r="C78" s="3111" t="s">
        <v>99</v>
      </c>
      <c r="D78" s="915"/>
      <c r="E78" s="2098"/>
      <c r="F78" s="2098"/>
      <c r="G78" s="2098"/>
      <c r="H78" s="2098"/>
      <c r="I78" s="2098"/>
      <c r="J78" s="2098"/>
      <c r="K78" s="34"/>
      <c r="L78" s="2098"/>
      <c r="M78" s="1223"/>
      <c r="N78" s="3858" t="s">
        <v>626</v>
      </c>
      <c r="O78" s="3106"/>
    </row>
    <row r="79" spans="1:15" ht="12" customHeight="1">
      <c r="A79" s="3869"/>
      <c r="B79" s="1587" t="s">
        <v>9</v>
      </c>
      <c r="C79" s="1256"/>
      <c r="D79" s="1222">
        <f t="shared" ref="D79:K79" si="52">+D80+D83</f>
        <v>12198050</v>
      </c>
      <c r="E79" s="1222">
        <f t="shared" ref="E79" si="53">+E80+E83</f>
        <v>3012582</v>
      </c>
      <c r="F79" s="1222">
        <f t="shared" si="52"/>
        <v>1786716</v>
      </c>
      <c r="G79" s="1222">
        <f t="shared" si="52"/>
        <v>1985382</v>
      </c>
      <c r="H79" s="1222">
        <f t="shared" si="52"/>
        <v>1785382</v>
      </c>
      <c r="I79" s="1222">
        <f t="shared" si="52"/>
        <v>1855719</v>
      </c>
      <c r="J79" s="1222">
        <f t="shared" si="52"/>
        <v>886134</v>
      </c>
      <c r="K79" s="1222">
        <f t="shared" si="52"/>
        <v>886135</v>
      </c>
      <c r="L79" s="1222">
        <f>+L80+L83</f>
        <v>0</v>
      </c>
      <c r="M79" s="1179">
        <f>+M80+M83</f>
        <v>7398752</v>
      </c>
      <c r="N79" s="3859"/>
      <c r="O79" s="3106"/>
    </row>
    <row r="80" spans="1:15" ht="12" customHeight="1">
      <c r="A80" s="3869"/>
      <c r="B80" s="1588" t="s">
        <v>22</v>
      </c>
      <c r="C80" s="3873" t="s">
        <v>110</v>
      </c>
      <c r="D80" s="1416">
        <f t="shared" ref="D80:K80" si="54">+D81+D82</f>
        <v>1917533</v>
      </c>
      <c r="E80" s="1416">
        <f t="shared" ref="E80" si="55">+E81+E82</f>
        <v>473578</v>
      </c>
      <c r="F80" s="1416">
        <f t="shared" si="54"/>
        <v>280872</v>
      </c>
      <c r="G80" s="1416">
        <f t="shared" si="54"/>
        <v>312102</v>
      </c>
      <c r="H80" s="1416">
        <f t="shared" si="54"/>
        <v>280662</v>
      </c>
      <c r="I80" s="1416">
        <f t="shared" si="54"/>
        <v>291719</v>
      </c>
      <c r="J80" s="1416">
        <f t="shared" si="54"/>
        <v>139300</v>
      </c>
      <c r="K80" s="1416">
        <f t="shared" si="54"/>
        <v>139300</v>
      </c>
      <c r="L80" s="1416">
        <f>+L81+L82</f>
        <v>0</v>
      </c>
      <c r="M80" s="1432">
        <f>+M81+M82</f>
        <v>1163083</v>
      </c>
      <c r="N80" s="3859"/>
      <c r="O80" s="3106"/>
    </row>
    <row r="81" spans="1:15" ht="12" customHeight="1">
      <c r="A81" s="3869"/>
      <c r="B81" s="1589" t="s">
        <v>11</v>
      </c>
      <c r="C81" s="3874"/>
      <c r="D81" s="1115">
        <f>E81+L81+F81+G81+H81+I81+J81+K81</f>
        <v>1917533</v>
      </c>
      <c r="E81" s="1155">
        <f>273708+199870</f>
        <v>473578</v>
      </c>
      <c r="F81" s="1190">
        <f>219137+40716-186+30030+29422-38247</f>
        <v>280872</v>
      </c>
      <c r="G81" s="1190">
        <f>354390-58008+15720</f>
        <v>312102</v>
      </c>
      <c r="H81" s="1190">
        <f>354390-58008-15720</f>
        <v>280662</v>
      </c>
      <c r="I81" s="1190">
        <v>291719</v>
      </c>
      <c r="J81" s="1190">
        <v>139300</v>
      </c>
      <c r="K81" s="1190">
        <v>139300</v>
      </c>
      <c r="L81" s="1190">
        <v>0</v>
      </c>
      <c r="M81" s="1441">
        <f>SUM(G81:K81)</f>
        <v>1163083</v>
      </c>
      <c r="N81" s="3859"/>
      <c r="O81" s="3106"/>
    </row>
    <row r="82" spans="1:15" ht="12" hidden="1" customHeight="1">
      <c r="A82" s="3869"/>
      <c r="B82" s="1589" t="s">
        <v>12</v>
      </c>
      <c r="C82" s="3874"/>
      <c r="D82" s="1197"/>
      <c r="E82" s="1190"/>
      <c r="F82" s="1190"/>
      <c r="G82" s="1190"/>
      <c r="H82" s="1190"/>
      <c r="I82" s="1190"/>
      <c r="J82" s="1190"/>
      <c r="K82" s="1190"/>
      <c r="L82" s="1190"/>
      <c r="M82" s="1441">
        <f>SUM(F82:K82)</f>
        <v>0</v>
      </c>
      <c r="N82" s="3859"/>
      <c r="O82" s="3106"/>
    </row>
    <row r="83" spans="1:15" ht="12" customHeight="1">
      <c r="A83" s="3869"/>
      <c r="B83" s="1590" t="s">
        <v>17</v>
      </c>
      <c r="C83" s="3874"/>
      <c r="D83" s="1187">
        <f>+D84</f>
        <v>10280517</v>
      </c>
      <c r="E83" s="1187">
        <f t="shared" ref="E83:K83" si="56">+E84</f>
        <v>2539004</v>
      </c>
      <c r="F83" s="1187">
        <f t="shared" si="56"/>
        <v>1505844</v>
      </c>
      <c r="G83" s="1187">
        <f t="shared" si="56"/>
        <v>1673280</v>
      </c>
      <c r="H83" s="1187">
        <f t="shared" si="56"/>
        <v>1504720</v>
      </c>
      <c r="I83" s="1187">
        <f t="shared" si="56"/>
        <v>1564000</v>
      </c>
      <c r="J83" s="1187">
        <f t="shared" si="56"/>
        <v>746834</v>
      </c>
      <c r="K83" s="1187">
        <f t="shared" si="56"/>
        <v>746835</v>
      </c>
      <c r="L83" s="1187">
        <f>+L84</f>
        <v>0</v>
      </c>
      <c r="M83" s="1255">
        <f>+M84</f>
        <v>6235669</v>
      </c>
      <c r="N83" s="3859"/>
      <c r="O83" s="3106"/>
    </row>
    <row r="84" spans="1:15" ht="11.25" customHeight="1">
      <c r="A84" s="3869"/>
      <c r="B84" s="1589" t="s">
        <v>19</v>
      </c>
      <c r="C84" s="3874"/>
      <c r="D84" s="1115">
        <f>E84+L84+F84+G84+H84+I84+J84+K84</f>
        <v>10280517</v>
      </c>
      <c r="E84" s="1155">
        <f>1467433+1071571</f>
        <v>2539004</v>
      </c>
      <c r="F84" s="1190">
        <f>1174863+218294-1000+161000+157741-205054</f>
        <v>1505844</v>
      </c>
      <c r="G84" s="1190">
        <f>1900000-311000+84280</f>
        <v>1673280</v>
      </c>
      <c r="H84" s="1190">
        <f>1900000-311000-84280</f>
        <v>1504720</v>
      </c>
      <c r="I84" s="1190">
        <v>1564000</v>
      </c>
      <c r="J84" s="1190">
        <v>746834</v>
      </c>
      <c r="K84" s="1190">
        <v>746835</v>
      </c>
      <c r="L84" s="1190">
        <v>0</v>
      </c>
      <c r="M84" s="1441">
        <f>SUM(G84:K84)</f>
        <v>6235669</v>
      </c>
      <c r="N84" s="3860"/>
      <c r="O84" s="3106"/>
    </row>
    <row r="85" spans="1:15" ht="24" customHeight="1">
      <c r="A85" s="3869"/>
      <c r="B85" s="1587" t="s">
        <v>20</v>
      </c>
      <c r="C85" s="1256"/>
      <c r="D85" s="1442">
        <f t="shared" ref="D85" si="57">+D86+D88</f>
        <v>10280517</v>
      </c>
      <c r="E85" s="1442">
        <f t="shared" ref="E85" si="58">+E86+E88</f>
        <v>2539004</v>
      </c>
      <c r="F85" s="1442">
        <f>+F86+F88</f>
        <v>1505844</v>
      </c>
      <c r="G85" s="1442">
        <f t="shared" ref="G85:K85" si="59">+G86+G88</f>
        <v>1673280</v>
      </c>
      <c r="H85" s="1442">
        <f t="shared" si="59"/>
        <v>1504720</v>
      </c>
      <c r="I85" s="1442">
        <f t="shared" si="59"/>
        <v>1564000</v>
      </c>
      <c r="J85" s="1442">
        <f t="shared" si="59"/>
        <v>746834</v>
      </c>
      <c r="K85" s="1442">
        <f t="shared" si="59"/>
        <v>746835</v>
      </c>
      <c r="L85" s="1442">
        <f>+L86+L88</f>
        <v>0</v>
      </c>
      <c r="M85" s="3857" t="s">
        <v>52</v>
      </c>
      <c r="N85" s="3865" t="s">
        <v>625</v>
      </c>
      <c r="O85" s="3135">
        <f>'[2]Tab. 6B Polit społ i rozwój prz'!$M$162+'[2]Tab. 6B Polit społ i rozwój prz'!$P$162-E85</f>
        <v>-1071571</v>
      </c>
    </row>
    <row r="86" spans="1:15" ht="12" hidden="1" customHeight="1">
      <c r="A86" s="3869"/>
      <c r="B86" s="1588" t="s">
        <v>22</v>
      </c>
      <c r="C86" s="3907" t="s">
        <v>110</v>
      </c>
      <c r="D86" s="1187">
        <f t="shared" ref="D86:K86" si="60">+D87</f>
        <v>0</v>
      </c>
      <c r="E86" s="1187">
        <f t="shared" si="60"/>
        <v>0</v>
      </c>
      <c r="F86" s="1187">
        <f t="shared" si="60"/>
        <v>0</v>
      </c>
      <c r="G86" s="1187">
        <f t="shared" si="60"/>
        <v>0</v>
      </c>
      <c r="H86" s="1187">
        <f t="shared" si="60"/>
        <v>0</v>
      </c>
      <c r="I86" s="1187">
        <f t="shared" si="60"/>
        <v>0</v>
      </c>
      <c r="J86" s="1187">
        <f t="shared" si="60"/>
        <v>0</v>
      </c>
      <c r="K86" s="1187">
        <f t="shared" si="60"/>
        <v>0</v>
      </c>
      <c r="L86" s="1187">
        <f>+L87</f>
        <v>0</v>
      </c>
      <c r="M86" s="3857"/>
      <c r="N86" s="3866"/>
      <c r="O86" s="3106"/>
    </row>
    <row r="87" spans="1:15" ht="12" hidden="1" customHeight="1">
      <c r="A87" s="3869"/>
      <c r="B87" s="1589" t="s">
        <v>12</v>
      </c>
      <c r="C87" s="3874"/>
      <c r="D87" s="1197"/>
      <c r="E87" s="1197">
        <v>0</v>
      </c>
      <c r="F87" s="1197"/>
      <c r="G87" s="1197"/>
      <c r="H87" s="1197"/>
      <c r="I87" s="1197"/>
      <c r="J87" s="1197"/>
      <c r="K87" s="1197"/>
      <c r="L87" s="1197"/>
      <c r="M87" s="3857"/>
      <c r="N87" s="3866"/>
      <c r="O87" s="3106"/>
    </row>
    <row r="88" spans="1:15" ht="12" customHeight="1">
      <c r="A88" s="3869"/>
      <c r="B88" s="1590" t="s">
        <v>17</v>
      </c>
      <c r="C88" s="3908"/>
      <c r="D88" s="1187">
        <f t="shared" ref="D88:K88" si="61">+D89</f>
        <v>10280517</v>
      </c>
      <c r="E88" s="1187">
        <f t="shared" si="61"/>
        <v>2539004</v>
      </c>
      <c r="F88" s="1187">
        <f t="shared" si="61"/>
        <v>1505844</v>
      </c>
      <c r="G88" s="1187">
        <f t="shared" si="61"/>
        <v>1673280</v>
      </c>
      <c r="H88" s="1187">
        <f t="shared" si="61"/>
        <v>1504720</v>
      </c>
      <c r="I88" s="1187">
        <f t="shared" si="61"/>
        <v>1564000</v>
      </c>
      <c r="J88" s="1187">
        <f t="shared" si="61"/>
        <v>746834</v>
      </c>
      <c r="K88" s="1187">
        <f t="shared" si="61"/>
        <v>746835</v>
      </c>
      <c r="L88" s="1187">
        <f>+L89</f>
        <v>0</v>
      </c>
      <c r="M88" s="3857"/>
      <c r="N88" s="3866"/>
      <c r="O88" s="3108">
        <f>F85-'[1]Tab. 6B Polit społ i rozwój prz'!$G$67</f>
        <v>-47313</v>
      </c>
    </row>
    <row r="89" spans="1:15" ht="12" customHeight="1" thickBot="1">
      <c r="A89" s="3870"/>
      <c r="B89" s="3136" t="s">
        <v>19</v>
      </c>
      <c r="C89" s="3909"/>
      <c r="D89" s="1636">
        <f>E89+L89+F89+G89+H89+I89+J89+K89</f>
        <v>10280517</v>
      </c>
      <c r="E89" s="1636">
        <f>1467433+1071571</f>
        <v>2539004</v>
      </c>
      <c r="F89" s="1433">
        <f>1174863+218294-1000+161000+157741-205054</f>
        <v>1505844</v>
      </c>
      <c r="G89" s="1433">
        <f>1900000-311000+84280</f>
        <v>1673280</v>
      </c>
      <c r="H89" s="1433">
        <f>1900000-311000-84280</f>
        <v>1504720</v>
      </c>
      <c r="I89" s="1433">
        <v>1564000</v>
      </c>
      <c r="J89" s="1433">
        <v>746834</v>
      </c>
      <c r="K89" s="1433">
        <v>746835</v>
      </c>
      <c r="L89" s="1433">
        <v>0</v>
      </c>
      <c r="M89" s="3701"/>
      <c r="N89" s="3867"/>
      <c r="O89" s="3106"/>
    </row>
    <row r="90" spans="1:15" ht="25.5" customHeight="1">
      <c r="A90" s="3868" t="s">
        <v>58</v>
      </c>
      <c r="B90" s="2288" t="s">
        <v>438</v>
      </c>
      <c r="C90" s="974" t="s">
        <v>72</v>
      </c>
      <c r="D90" s="915"/>
      <c r="E90" s="2098"/>
      <c r="F90" s="2098"/>
      <c r="G90" s="2098"/>
      <c r="H90" s="2098"/>
      <c r="I90" s="2098"/>
      <c r="J90" s="2098"/>
      <c r="K90" s="34"/>
      <c r="L90" s="2098"/>
      <c r="M90" s="470"/>
      <c r="N90" s="3861" t="s">
        <v>627</v>
      </c>
      <c r="O90" s="3106"/>
    </row>
    <row r="91" spans="1:15" ht="14.25" customHeight="1">
      <c r="A91" s="3869"/>
      <c r="B91" s="1587" t="s">
        <v>9</v>
      </c>
      <c r="C91" s="1256"/>
      <c r="D91" s="1222">
        <f t="shared" ref="D91" si="62">+D92+D95</f>
        <v>31387</v>
      </c>
      <c r="E91" s="1222">
        <f t="shared" ref="E91" si="63">+E92+E95</f>
        <v>31387</v>
      </c>
      <c r="F91" s="1222"/>
      <c r="G91" s="1222"/>
      <c r="H91" s="1222"/>
      <c r="I91" s="1222"/>
      <c r="J91" s="1222"/>
      <c r="K91" s="1222"/>
      <c r="L91" s="1222">
        <f>+L92+L95</f>
        <v>0</v>
      </c>
      <c r="M91" s="1179">
        <f>+M92+M95</f>
        <v>0</v>
      </c>
      <c r="N91" s="3859"/>
      <c r="O91" s="3106"/>
    </row>
    <row r="92" spans="1:15" ht="12" customHeight="1">
      <c r="A92" s="3869"/>
      <c r="B92" s="1588" t="s">
        <v>22</v>
      </c>
      <c r="C92" s="3873" t="s">
        <v>110</v>
      </c>
      <c r="D92" s="1416">
        <f t="shared" ref="D92" si="64">+D93+D94</f>
        <v>4934</v>
      </c>
      <c r="E92" s="1416">
        <f t="shared" ref="E92" si="65">+E93+E94</f>
        <v>4934</v>
      </c>
      <c r="F92" s="1416"/>
      <c r="G92" s="1416"/>
      <c r="H92" s="1416"/>
      <c r="I92" s="1416"/>
      <c r="J92" s="1416"/>
      <c r="K92" s="1416"/>
      <c r="L92" s="1416">
        <f>+L93+L94</f>
        <v>0</v>
      </c>
      <c r="M92" s="1432">
        <f>+M93+M94</f>
        <v>0</v>
      </c>
      <c r="N92" s="3859"/>
      <c r="O92" s="3106"/>
    </row>
    <row r="93" spans="1:15" ht="12" customHeight="1">
      <c r="A93" s="3869"/>
      <c r="B93" s="1589" t="s">
        <v>11</v>
      </c>
      <c r="C93" s="3874"/>
      <c r="D93" s="1115">
        <f>E93+L93+F93+G93+H93+I93+J93+K93</f>
        <v>4934</v>
      </c>
      <c r="E93" s="1155">
        <f>2940+1994</f>
        <v>4934</v>
      </c>
      <c r="F93" s="1190"/>
      <c r="G93" s="1190"/>
      <c r="H93" s="1190"/>
      <c r="I93" s="1190"/>
      <c r="J93" s="1190"/>
      <c r="K93" s="1190"/>
      <c r="L93" s="1190">
        <v>0</v>
      </c>
      <c r="M93" s="1441">
        <f>SUM(G93:K93)</f>
        <v>0</v>
      </c>
      <c r="N93" s="3859"/>
      <c r="O93" s="3106"/>
    </row>
    <row r="94" spans="1:15" ht="12" hidden="1" customHeight="1">
      <c r="A94" s="3869"/>
      <c r="B94" s="1589" t="s">
        <v>12</v>
      </c>
      <c r="C94" s="3874"/>
      <c r="D94" s="1197"/>
      <c r="E94" s="1190"/>
      <c r="F94" s="1190"/>
      <c r="G94" s="1190"/>
      <c r="H94" s="1190"/>
      <c r="I94" s="1190"/>
      <c r="J94" s="1190"/>
      <c r="K94" s="1190"/>
      <c r="L94" s="1190"/>
      <c r="M94" s="1441">
        <f>SUM(F94:K94)</f>
        <v>0</v>
      </c>
      <c r="N94" s="3859"/>
      <c r="O94" s="3106"/>
    </row>
    <row r="95" spans="1:15" ht="12" customHeight="1">
      <c r="A95" s="3869"/>
      <c r="B95" s="1590" t="s">
        <v>17</v>
      </c>
      <c r="C95" s="3874"/>
      <c r="D95" s="1187">
        <f>+D96</f>
        <v>26453</v>
      </c>
      <c r="E95" s="1187">
        <f t="shared" ref="E95" si="66">+E96</f>
        <v>26453</v>
      </c>
      <c r="F95" s="1187"/>
      <c r="G95" s="1187"/>
      <c r="H95" s="1187"/>
      <c r="I95" s="1187"/>
      <c r="J95" s="1187"/>
      <c r="K95" s="1187"/>
      <c r="L95" s="1187">
        <f>+L96</f>
        <v>0</v>
      </c>
      <c r="M95" s="1255">
        <f>+M96</f>
        <v>0</v>
      </c>
      <c r="N95" s="3859"/>
      <c r="O95" s="3106"/>
    </row>
    <row r="96" spans="1:15" ht="12" customHeight="1">
      <c r="A96" s="3869"/>
      <c r="B96" s="1589" t="s">
        <v>19</v>
      </c>
      <c r="C96" s="3874"/>
      <c r="D96" s="1115">
        <f>E96+L96+F96+G96+H96+I96+J96+K96</f>
        <v>26453</v>
      </c>
      <c r="E96" s="1155">
        <f>15765+10688</f>
        <v>26453</v>
      </c>
      <c r="F96" s="1190"/>
      <c r="G96" s="1190"/>
      <c r="H96" s="1190"/>
      <c r="I96" s="1190"/>
      <c r="J96" s="1190"/>
      <c r="K96" s="1190"/>
      <c r="L96" s="1190">
        <v>0</v>
      </c>
      <c r="M96" s="1441">
        <f>SUM(G96:K96)</f>
        <v>0</v>
      </c>
      <c r="N96" s="3860"/>
      <c r="O96" s="3106"/>
    </row>
    <row r="97" spans="1:18">
      <c r="A97" s="3869"/>
      <c r="B97" s="1587" t="s">
        <v>20</v>
      </c>
      <c r="C97" s="1256"/>
      <c r="D97" s="1442">
        <f t="shared" ref="D97" si="67">+D98+D100</f>
        <v>26453</v>
      </c>
      <c r="E97" s="1442">
        <f t="shared" ref="E97" si="68">+E98+E100</f>
        <v>26453</v>
      </c>
      <c r="F97" s="1442"/>
      <c r="G97" s="1442"/>
      <c r="H97" s="1442"/>
      <c r="I97" s="1442"/>
      <c r="J97" s="1442"/>
      <c r="K97" s="1442"/>
      <c r="L97" s="1442">
        <f>+L98+L100</f>
        <v>0</v>
      </c>
      <c r="M97" s="3857" t="s">
        <v>52</v>
      </c>
      <c r="N97" s="3865" t="s">
        <v>625</v>
      </c>
      <c r="O97" s="3106"/>
    </row>
    <row r="98" spans="1:18" ht="12" hidden="1" customHeight="1">
      <c r="A98" s="3869"/>
      <c r="B98" s="1588" t="s">
        <v>22</v>
      </c>
      <c r="C98" s="3907" t="s">
        <v>110</v>
      </c>
      <c r="D98" s="1187">
        <f t="shared" ref="D98:E98" si="69">+D99</f>
        <v>0</v>
      </c>
      <c r="E98" s="1187">
        <f t="shared" si="69"/>
        <v>0</v>
      </c>
      <c r="F98" s="1187"/>
      <c r="G98" s="1187"/>
      <c r="H98" s="1187"/>
      <c r="I98" s="1187"/>
      <c r="J98" s="1187"/>
      <c r="K98" s="1187"/>
      <c r="L98" s="1187"/>
      <c r="M98" s="3857"/>
      <c r="N98" s="3866"/>
      <c r="O98" s="3106"/>
    </row>
    <row r="99" spans="1:18" ht="12" hidden="1" customHeight="1">
      <c r="A99" s="3869"/>
      <c r="B99" s="1589" t="s">
        <v>12</v>
      </c>
      <c r="C99" s="3874"/>
      <c r="D99" s="1197"/>
      <c r="E99" s="1197">
        <v>0</v>
      </c>
      <c r="F99" s="1197"/>
      <c r="G99" s="1197"/>
      <c r="H99" s="1197"/>
      <c r="I99" s="1197"/>
      <c r="J99" s="1197"/>
      <c r="K99" s="1197"/>
      <c r="L99" s="1197"/>
      <c r="M99" s="3857"/>
      <c r="N99" s="3866"/>
      <c r="O99" s="3106"/>
    </row>
    <row r="100" spans="1:18" ht="12" customHeight="1">
      <c r="A100" s="3869"/>
      <c r="B100" s="1590" t="s">
        <v>17</v>
      </c>
      <c r="C100" s="3908"/>
      <c r="D100" s="1187">
        <f t="shared" ref="D100:E100" si="70">+D101</f>
        <v>26453</v>
      </c>
      <c r="E100" s="1187">
        <f t="shared" si="70"/>
        <v>26453</v>
      </c>
      <c r="F100" s="1187"/>
      <c r="G100" s="1187"/>
      <c r="H100" s="1187"/>
      <c r="I100" s="1187"/>
      <c r="J100" s="1187"/>
      <c r="K100" s="1187"/>
      <c r="L100" s="1187">
        <f>+L101</f>
        <v>0</v>
      </c>
      <c r="M100" s="3879"/>
      <c r="N100" s="3866"/>
      <c r="O100" s="3106"/>
    </row>
    <row r="101" spans="1:18" ht="12" customHeight="1" thickBot="1">
      <c r="A101" s="3870"/>
      <c r="B101" s="1261" t="s">
        <v>19</v>
      </c>
      <c r="C101" s="3909"/>
      <c r="D101" s="1410">
        <f>E101+L101+F101+G101+H101+I101+J101+K101</f>
        <v>26453</v>
      </c>
      <c r="E101" s="1410">
        <f>15765+10688</f>
        <v>26453</v>
      </c>
      <c r="F101" s="1433"/>
      <c r="G101" s="1433"/>
      <c r="H101" s="1433"/>
      <c r="I101" s="1433"/>
      <c r="J101" s="1433"/>
      <c r="K101" s="1433"/>
      <c r="L101" s="1433">
        <v>0</v>
      </c>
      <c r="M101" s="3880"/>
      <c r="N101" s="3867"/>
      <c r="O101" s="3106"/>
    </row>
    <row r="102" spans="1:18" ht="18" customHeight="1">
      <c r="A102" s="3868" t="s">
        <v>105</v>
      </c>
      <c r="B102" s="2288" t="s">
        <v>274</v>
      </c>
      <c r="C102" s="974" t="s">
        <v>99</v>
      </c>
      <c r="D102" s="915"/>
      <c r="E102" s="2098"/>
      <c r="F102" s="2098"/>
      <c r="G102" s="2098"/>
      <c r="H102" s="2098"/>
      <c r="I102" s="2098"/>
      <c r="J102" s="2098"/>
      <c r="K102" s="34"/>
      <c r="L102" s="2098"/>
      <c r="M102" s="2374"/>
      <c r="N102" s="3861" t="s">
        <v>628</v>
      </c>
      <c r="O102" s="3106"/>
      <c r="R102" s="2517"/>
    </row>
    <row r="103" spans="1:18" ht="12" customHeight="1">
      <c r="A103" s="3869"/>
      <c r="B103" s="1587" t="s">
        <v>9</v>
      </c>
      <c r="C103" s="1256"/>
      <c r="D103" s="1222">
        <f>+D104+D107</f>
        <v>75113491</v>
      </c>
      <c r="E103" s="1222">
        <f t="shared" ref="E103" si="71">+E104+E107</f>
        <v>18142963</v>
      </c>
      <c r="F103" s="1222">
        <f t="shared" ref="F103:M103" si="72">+F104+F107</f>
        <v>10139448</v>
      </c>
      <c r="G103" s="1222">
        <f t="shared" si="72"/>
        <v>10942702</v>
      </c>
      <c r="H103" s="1222">
        <f t="shared" si="72"/>
        <v>9701275</v>
      </c>
      <c r="I103" s="1222">
        <f t="shared" si="72"/>
        <v>9597275</v>
      </c>
      <c r="J103" s="1222">
        <f t="shared" si="72"/>
        <v>8877275</v>
      </c>
      <c r="K103" s="1222">
        <f t="shared" si="72"/>
        <v>7712553</v>
      </c>
      <c r="L103" s="1222">
        <f>+L104+L107</f>
        <v>0</v>
      </c>
      <c r="M103" s="2036">
        <f t="shared" si="72"/>
        <v>46831080</v>
      </c>
      <c r="N103" s="3859"/>
      <c r="O103" s="3108"/>
      <c r="P103" s="2511"/>
      <c r="Q103" s="2511"/>
      <c r="R103" s="2511"/>
    </row>
    <row r="104" spans="1:18" ht="14.25" customHeight="1">
      <c r="A104" s="3869"/>
      <c r="B104" s="1588" t="s">
        <v>22</v>
      </c>
      <c r="C104" s="3873" t="s">
        <v>110</v>
      </c>
      <c r="D104" s="1416">
        <f t="shared" ref="D104" si="73">+D105+D106</f>
        <v>11267023</v>
      </c>
      <c r="E104" s="1416">
        <f t="shared" ref="E104" si="74">+E105+E106</f>
        <v>2721444</v>
      </c>
      <c r="F104" s="1416">
        <f t="shared" ref="F104:M104" si="75">+F105+F106</f>
        <v>1520917</v>
      </c>
      <c r="G104" s="1416">
        <f t="shared" si="75"/>
        <v>1641404</v>
      </c>
      <c r="H104" s="1416">
        <f t="shared" si="75"/>
        <v>1455191</v>
      </c>
      <c r="I104" s="1416">
        <f t="shared" si="75"/>
        <v>1439591</v>
      </c>
      <c r="J104" s="1416">
        <f t="shared" si="75"/>
        <v>1331592</v>
      </c>
      <c r="K104" s="1416">
        <f t="shared" si="75"/>
        <v>1156884</v>
      </c>
      <c r="L104" s="1416">
        <f>+L105+L106</f>
        <v>0</v>
      </c>
      <c r="M104" s="2048">
        <f t="shared" si="75"/>
        <v>7024662</v>
      </c>
      <c r="N104" s="3859"/>
      <c r="O104" s="3106"/>
    </row>
    <row r="105" spans="1:18" ht="13.5" customHeight="1" thickBot="1">
      <c r="A105" s="3869"/>
      <c r="B105" s="1589" t="s">
        <v>11</v>
      </c>
      <c r="C105" s="3874"/>
      <c r="D105" s="1115">
        <f>E105+L105+F105+G105+H105+I105+J105+K105</f>
        <v>11267023</v>
      </c>
      <c r="E105" s="1155">
        <f>1301102+1420342</f>
        <v>2721444</v>
      </c>
      <c r="F105" s="1142">
        <f>1467941+12137+74749+18353-52263</f>
        <v>1520917</v>
      </c>
      <c r="G105" s="1142">
        <f>1452191+69000+67950+52263</f>
        <v>1641404</v>
      </c>
      <c r="H105" s="1142">
        <v>1455191</v>
      </c>
      <c r="I105" s="1142">
        <v>1439591</v>
      </c>
      <c r="J105" s="1142">
        <v>1331592</v>
      </c>
      <c r="K105" s="1142">
        <f>1299583-74749-67950</f>
        <v>1156884</v>
      </c>
      <c r="L105" s="1142"/>
      <c r="M105" s="1441">
        <f>SUM(G105:K105)</f>
        <v>7024662</v>
      </c>
      <c r="N105" s="3859"/>
      <c r="O105" s="3108">
        <f>+M105-D105</f>
        <v>-4242361</v>
      </c>
    </row>
    <row r="106" spans="1:18" ht="13.5" hidden="1" customHeight="1" thickBot="1">
      <c r="A106" s="3875"/>
      <c r="B106" s="1589" t="s">
        <v>12</v>
      </c>
      <c r="C106" s="3874"/>
      <c r="D106" s="1115">
        <f>E106+L106+F106+G106+H106+I106+J106+K106</f>
        <v>0</v>
      </c>
      <c r="E106" s="1190">
        <v>0</v>
      </c>
      <c r="F106" s="1190"/>
      <c r="G106" s="1190"/>
      <c r="H106" s="1190"/>
      <c r="I106" s="1190"/>
      <c r="J106" s="1190"/>
      <c r="K106" s="1190"/>
      <c r="L106" s="1190"/>
      <c r="M106" s="2049">
        <f>SUM(F106:K106)</f>
        <v>0</v>
      </c>
      <c r="N106" s="3862"/>
      <c r="O106" s="3106"/>
    </row>
    <row r="107" spans="1:18" ht="13.5" customHeight="1" thickBot="1">
      <c r="A107" s="3876"/>
      <c r="B107" s="1590" t="s">
        <v>17</v>
      </c>
      <c r="C107" s="3874"/>
      <c r="D107" s="1187">
        <f>+D108</f>
        <v>63846468</v>
      </c>
      <c r="E107" s="1187">
        <f t="shared" ref="E107:M107" si="76">+E108</f>
        <v>15421519</v>
      </c>
      <c r="F107" s="1187">
        <f t="shared" si="76"/>
        <v>8618531</v>
      </c>
      <c r="G107" s="1187">
        <f t="shared" si="76"/>
        <v>9301298</v>
      </c>
      <c r="H107" s="1187">
        <f t="shared" si="76"/>
        <v>8246084</v>
      </c>
      <c r="I107" s="1187">
        <f t="shared" si="76"/>
        <v>8157684</v>
      </c>
      <c r="J107" s="1187">
        <f t="shared" si="76"/>
        <v>7545683</v>
      </c>
      <c r="K107" s="1187">
        <f t="shared" si="76"/>
        <v>6555669</v>
      </c>
      <c r="L107" s="1187">
        <f>+L108</f>
        <v>0</v>
      </c>
      <c r="M107" s="2050">
        <f t="shared" si="76"/>
        <v>39806418</v>
      </c>
      <c r="N107" s="3863"/>
      <c r="O107" s="3108">
        <f>+M107-D107</f>
        <v>-24040050</v>
      </c>
    </row>
    <row r="108" spans="1:18" ht="13.5" customHeight="1">
      <c r="A108" s="3876"/>
      <c r="B108" s="1589" t="s">
        <v>19</v>
      </c>
      <c r="C108" s="3874"/>
      <c r="D108" s="1115">
        <f>E108+L108+F108+G108+H108+I108+J108+K108</f>
        <v>63846468</v>
      </c>
      <c r="E108" s="1155">
        <f>7372915+8048604</f>
        <v>15421519</v>
      </c>
      <c r="F108" s="1600">
        <f>8318334+68767+423581+104013-296164</f>
        <v>8618531</v>
      </c>
      <c r="G108" s="1600">
        <f>8229084+391000+385050+296164</f>
        <v>9301298</v>
      </c>
      <c r="H108" s="1600">
        <v>8246084</v>
      </c>
      <c r="I108" s="1600">
        <v>8157684</v>
      </c>
      <c r="J108" s="1600">
        <v>7545683</v>
      </c>
      <c r="K108" s="1600">
        <f>7364300-423581-385050</f>
        <v>6555669</v>
      </c>
      <c r="L108" s="2518"/>
      <c r="M108" s="1441">
        <f>SUM(G108:K108)</f>
        <v>39806418</v>
      </c>
      <c r="N108" s="3864"/>
      <c r="O108" s="3106"/>
    </row>
    <row r="109" spans="1:18" s="2510" customFormat="1" ht="13.5" customHeight="1" thickBot="1">
      <c r="A109" s="3876"/>
      <c r="B109" s="1587" t="s">
        <v>20</v>
      </c>
      <c r="C109" s="1256"/>
      <c r="D109" s="1228">
        <f t="shared" ref="D109" si="77">+D110+D112</f>
        <v>63846468</v>
      </c>
      <c r="E109" s="1228">
        <f t="shared" ref="E109" si="78">+E110+E112</f>
        <v>15421519</v>
      </c>
      <c r="F109" s="1228">
        <f t="shared" ref="F109:K109" si="79">+F110+F112</f>
        <v>8618531</v>
      </c>
      <c r="G109" s="1228">
        <f t="shared" si="79"/>
        <v>9301298</v>
      </c>
      <c r="H109" s="1228">
        <f t="shared" si="79"/>
        <v>8246084</v>
      </c>
      <c r="I109" s="1228">
        <f t="shared" si="79"/>
        <v>8157684</v>
      </c>
      <c r="J109" s="1228">
        <f t="shared" si="79"/>
        <v>7545683</v>
      </c>
      <c r="K109" s="1228">
        <f t="shared" si="79"/>
        <v>6555669</v>
      </c>
      <c r="L109" s="1228">
        <f>+L110+L112</f>
        <v>0</v>
      </c>
      <c r="M109" s="3879" t="s">
        <v>52</v>
      </c>
      <c r="N109" s="3865" t="s">
        <v>286</v>
      </c>
      <c r="O109" s="3112">
        <f>F109-'[1]Tab. 6B Polit społ i rozwój prz'!$G$91</f>
        <v>-192151</v>
      </c>
    </row>
    <row r="110" spans="1:18" ht="11.25" hidden="1" customHeight="1" thickBot="1">
      <c r="A110" s="3877"/>
      <c r="B110" s="1588" t="s">
        <v>22</v>
      </c>
      <c r="C110" s="3871" t="s">
        <v>225</v>
      </c>
      <c r="D110" s="1187">
        <f t="shared" ref="D110:K110" si="80">+D111</f>
        <v>0</v>
      </c>
      <c r="E110" s="1187">
        <f t="shared" si="80"/>
        <v>0</v>
      </c>
      <c r="F110" s="1187">
        <f t="shared" si="80"/>
        <v>0</v>
      </c>
      <c r="G110" s="1187">
        <f t="shared" si="80"/>
        <v>0</v>
      </c>
      <c r="H110" s="1187">
        <f t="shared" si="80"/>
        <v>0</v>
      </c>
      <c r="I110" s="1187">
        <f t="shared" si="80"/>
        <v>0</v>
      </c>
      <c r="J110" s="1187">
        <f t="shared" si="80"/>
        <v>0</v>
      </c>
      <c r="K110" s="1187">
        <f t="shared" si="80"/>
        <v>0</v>
      </c>
      <c r="L110" s="1187">
        <f>+L111</f>
        <v>0</v>
      </c>
      <c r="M110" s="3879"/>
      <c r="N110" s="3866"/>
      <c r="O110" s="3106"/>
    </row>
    <row r="111" spans="1:18" ht="11.25" hidden="1" customHeight="1" thickBot="1">
      <c r="A111" s="3878"/>
      <c r="B111" s="1589" t="s">
        <v>12</v>
      </c>
      <c r="C111" s="3871"/>
      <c r="D111" s="1115">
        <f>E111+L111+F111+G111+H111+I111+J111+K111</f>
        <v>0</v>
      </c>
      <c r="E111" s="1197"/>
      <c r="F111" s="1197"/>
      <c r="G111" s="1197"/>
      <c r="H111" s="1197"/>
      <c r="I111" s="1197"/>
      <c r="J111" s="1197"/>
      <c r="K111" s="1197"/>
      <c r="L111" s="1197"/>
      <c r="M111" s="3879"/>
      <c r="N111" s="3866"/>
      <c r="O111" s="3106"/>
    </row>
    <row r="112" spans="1:18" ht="13.5" customHeight="1" thickBot="1">
      <c r="A112" s="3878"/>
      <c r="B112" s="1590" t="s">
        <v>17</v>
      </c>
      <c r="C112" s="3871"/>
      <c r="D112" s="1187">
        <f t="shared" ref="D112:K112" si="81">+D113</f>
        <v>63846468</v>
      </c>
      <c r="E112" s="1187">
        <f t="shared" si="81"/>
        <v>15421519</v>
      </c>
      <c r="F112" s="1187">
        <f t="shared" si="81"/>
        <v>8618531</v>
      </c>
      <c r="G112" s="1187">
        <f t="shared" si="81"/>
        <v>9301298</v>
      </c>
      <c r="H112" s="1187">
        <f t="shared" si="81"/>
        <v>8246084</v>
      </c>
      <c r="I112" s="1187">
        <f t="shared" si="81"/>
        <v>8157684</v>
      </c>
      <c r="J112" s="1187">
        <f t="shared" si="81"/>
        <v>7545683</v>
      </c>
      <c r="K112" s="1187">
        <f t="shared" si="81"/>
        <v>6555669</v>
      </c>
      <c r="L112" s="1187">
        <f>+L113</f>
        <v>0</v>
      </c>
      <c r="M112" s="3879"/>
      <c r="N112" s="3866"/>
      <c r="O112" s="3106"/>
    </row>
    <row r="113" spans="1:15" ht="15" customHeight="1" thickBot="1">
      <c r="A113" s="3878"/>
      <c r="B113" s="1679" t="s">
        <v>19</v>
      </c>
      <c r="C113" s="3872"/>
      <c r="D113" s="1410">
        <f>E113+L113+F113+G113+H113+I113+J113+K113</f>
        <v>63846468</v>
      </c>
      <c r="E113" s="1410">
        <f>7372915+8048604</f>
        <v>15421519</v>
      </c>
      <c r="F113" s="1382">
        <f>8318334+68767+423581+104013-296164</f>
        <v>8618531</v>
      </c>
      <c r="G113" s="1382">
        <f>8229084+391000+385050+296164</f>
        <v>9301298</v>
      </c>
      <c r="H113" s="1382">
        <v>8246084</v>
      </c>
      <c r="I113" s="1382">
        <v>8157684</v>
      </c>
      <c r="J113" s="1382">
        <v>7545683</v>
      </c>
      <c r="K113" s="1382">
        <f>7364300-423581-385050</f>
        <v>6555669</v>
      </c>
      <c r="L113" s="1382"/>
      <c r="M113" s="3880"/>
      <c r="N113" s="3867"/>
      <c r="O113" s="3106"/>
    </row>
    <row r="114" spans="1:15" ht="24" customHeight="1" thickBot="1">
      <c r="A114" s="3878" t="s">
        <v>78</v>
      </c>
      <c r="B114" s="1591" t="s">
        <v>301</v>
      </c>
      <c r="C114" s="1592" t="s">
        <v>72</v>
      </c>
      <c r="D114" s="915"/>
      <c r="E114" s="2098"/>
      <c r="F114" s="2098"/>
      <c r="G114" s="2098"/>
      <c r="H114" s="2098"/>
      <c r="I114" s="2098"/>
      <c r="J114" s="2098"/>
      <c r="K114" s="34"/>
      <c r="L114" s="2098"/>
      <c r="M114" s="1935"/>
      <c r="N114" s="3862" t="s">
        <v>628</v>
      </c>
      <c r="O114" s="3106"/>
    </row>
    <row r="115" spans="1:15">
      <c r="A115" s="3913"/>
      <c r="B115" s="1587" t="s">
        <v>9</v>
      </c>
      <c r="C115" s="1256"/>
      <c r="D115" s="1222">
        <f t="shared" ref="D115:M115" si="82">+D116+D119</f>
        <v>65574</v>
      </c>
      <c r="E115" s="1222">
        <f t="shared" ref="E115" si="83">+E116+E119</f>
        <v>65574</v>
      </c>
      <c r="F115" s="1222">
        <f t="shared" si="82"/>
        <v>0</v>
      </c>
      <c r="G115" s="1222">
        <f t="shared" si="82"/>
        <v>0</v>
      </c>
      <c r="H115" s="1222">
        <f t="shared" si="82"/>
        <v>0</v>
      </c>
      <c r="I115" s="1222">
        <f t="shared" si="82"/>
        <v>0</v>
      </c>
      <c r="J115" s="1222">
        <f t="shared" si="82"/>
        <v>0</v>
      </c>
      <c r="K115" s="1222">
        <f t="shared" si="82"/>
        <v>0</v>
      </c>
      <c r="L115" s="1222">
        <f>+L116+L119</f>
        <v>0</v>
      </c>
      <c r="M115" s="2060">
        <f t="shared" si="82"/>
        <v>0</v>
      </c>
      <c r="N115" s="3861"/>
      <c r="O115" s="3106"/>
    </row>
    <row r="116" spans="1:15" ht="13.5" thickBot="1">
      <c r="A116" s="3877"/>
      <c r="B116" s="1588" t="s">
        <v>22</v>
      </c>
      <c r="C116" s="3873" t="s">
        <v>110</v>
      </c>
      <c r="D116" s="1416">
        <f t="shared" ref="D116:M116" si="84">+D117+D118</f>
        <v>9836</v>
      </c>
      <c r="E116" s="1416">
        <f t="shared" ref="E116" si="85">+E117+E118</f>
        <v>9836</v>
      </c>
      <c r="F116" s="1416">
        <f t="shared" si="84"/>
        <v>0</v>
      </c>
      <c r="G116" s="1416">
        <f t="shared" si="84"/>
        <v>0</v>
      </c>
      <c r="H116" s="1416">
        <f t="shared" si="84"/>
        <v>0</v>
      </c>
      <c r="I116" s="1416">
        <f t="shared" si="84"/>
        <v>0</v>
      </c>
      <c r="J116" s="1416">
        <f t="shared" si="84"/>
        <v>0</v>
      </c>
      <c r="K116" s="1416">
        <f t="shared" si="84"/>
        <v>0</v>
      </c>
      <c r="L116" s="1416">
        <f>+L117+L118</f>
        <v>0</v>
      </c>
      <c r="M116" s="2061">
        <f t="shared" si="84"/>
        <v>0</v>
      </c>
      <c r="N116" s="3862"/>
      <c r="O116" s="3106"/>
    </row>
    <row r="117" spans="1:15" ht="13.5" thickBot="1">
      <c r="A117" s="3878"/>
      <c r="B117" s="1589" t="s">
        <v>11</v>
      </c>
      <c r="C117" s="3914"/>
      <c r="D117" s="1155">
        <f>E117+L117+F117+G117+H117+I117+J117+K117</f>
        <v>9836</v>
      </c>
      <c r="E117" s="1155">
        <f>1087+8749</f>
        <v>9836</v>
      </c>
      <c r="F117" s="1142"/>
      <c r="G117" s="1142"/>
      <c r="H117" s="1142"/>
      <c r="I117" s="1142"/>
      <c r="J117" s="1142"/>
      <c r="K117" s="1142"/>
      <c r="L117" s="1142"/>
      <c r="M117" s="1441">
        <f>SUM(G117:K117)</f>
        <v>0</v>
      </c>
      <c r="N117" s="3864"/>
      <c r="O117" s="3106"/>
    </row>
    <row r="118" spans="1:15" ht="12.75" hidden="1" customHeight="1" thickBot="1">
      <c r="A118" s="3878"/>
      <c r="B118" s="2001" t="s">
        <v>12</v>
      </c>
      <c r="C118" s="3915"/>
      <c r="D118" s="1845">
        <f>E118+L118+F118+G118+H118+I118+J118+K118</f>
        <v>0</v>
      </c>
      <c r="E118" s="46">
        <v>0</v>
      </c>
      <c r="F118" s="46"/>
      <c r="G118" s="46"/>
      <c r="H118" s="46"/>
      <c r="I118" s="46"/>
      <c r="J118" s="46"/>
      <c r="K118" s="46"/>
      <c r="L118" s="46"/>
      <c r="M118" s="2010">
        <f>SUM(F118:K118)</f>
        <v>0</v>
      </c>
      <c r="N118" s="3862"/>
      <c r="O118" s="3106"/>
    </row>
    <row r="119" spans="1:15">
      <c r="A119" s="3876"/>
      <c r="B119" s="1590" t="s">
        <v>17</v>
      </c>
      <c r="C119" s="3916"/>
      <c r="D119" s="1187">
        <f>+D120</f>
        <v>55738</v>
      </c>
      <c r="E119" s="1187">
        <f t="shared" ref="E119:M119" si="86">+E120</f>
        <v>55738</v>
      </c>
      <c r="F119" s="1187">
        <f t="shared" si="86"/>
        <v>0</v>
      </c>
      <c r="G119" s="1187">
        <f t="shared" si="86"/>
        <v>0</v>
      </c>
      <c r="H119" s="1187">
        <f t="shared" si="86"/>
        <v>0</v>
      </c>
      <c r="I119" s="1187">
        <f t="shared" si="86"/>
        <v>0</v>
      </c>
      <c r="J119" s="1187">
        <f t="shared" si="86"/>
        <v>0</v>
      </c>
      <c r="K119" s="1187">
        <f t="shared" si="86"/>
        <v>0</v>
      </c>
      <c r="L119" s="1187">
        <f>+L120</f>
        <v>0</v>
      </c>
      <c r="M119" s="1255">
        <f t="shared" si="86"/>
        <v>0</v>
      </c>
      <c r="N119" s="3859"/>
      <c r="O119" s="3106"/>
    </row>
    <row r="120" spans="1:15">
      <c r="A120" s="3791"/>
      <c r="B120" s="1589" t="s">
        <v>19</v>
      </c>
      <c r="C120" s="3917"/>
      <c r="D120" s="1160">
        <f>E120+L120+F120+G120+H120+I120+J120+K120</f>
        <v>55738</v>
      </c>
      <c r="E120" s="1160">
        <f>6163+49575</f>
        <v>55738</v>
      </c>
      <c r="F120" s="1600"/>
      <c r="G120" s="1600"/>
      <c r="H120" s="1600"/>
      <c r="I120" s="1600"/>
      <c r="J120" s="1600"/>
      <c r="K120" s="1600"/>
      <c r="L120" s="2518"/>
      <c r="M120" s="1441">
        <f>SUM(G120:K120)</f>
        <v>0</v>
      </c>
      <c r="N120" s="3860"/>
      <c r="O120" s="3106"/>
    </row>
    <row r="121" spans="1:15" ht="13.5" thickBot="1">
      <c r="A121" s="3791"/>
      <c r="B121" s="1986" t="s">
        <v>20</v>
      </c>
      <c r="C121" s="1256"/>
      <c r="D121" s="1228">
        <f t="shared" ref="D121" si="87">+D122+D124</f>
        <v>55738</v>
      </c>
      <c r="E121" s="1228">
        <f t="shared" ref="E121" si="88">+E122+E124</f>
        <v>55738</v>
      </c>
      <c r="F121" s="1228">
        <f t="shared" ref="F121:K121" si="89">+F122+F124</f>
        <v>0</v>
      </c>
      <c r="G121" s="1228">
        <f t="shared" si="89"/>
        <v>0</v>
      </c>
      <c r="H121" s="1228">
        <f t="shared" si="89"/>
        <v>0</v>
      </c>
      <c r="I121" s="1228">
        <f t="shared" si="89"/>
        <v>0</v>
      </c>
      <c r="J121" s="1228">
        <f t="shared" si="89"/>
        <v>0</v>
      </c>
      <c r="K121" s="1228">
        <f t="shared" si="89"/>
        <v>0</v>
      </c>
      <c r="L121" s="1228">
        <f>+L122+L124</f>
        <v>0</v>
      </c>
      <c r="M121" s="3918" t="s">
        <v>52</v>
      </c>
      <c r="N121" s="3865" t="s">
        <v>286</v>
      </c>
      <c r="O121" s="3106"/>
    </row>
    <row r="122" spans="1:15" ht="12.75" hidden="1" customHeight="1">
      <c r="A122" s="3791"/>
      <c r="B122" s="2032" t="s">
        <v>22</v>
      </c>
      <c r="C122" s="3920" t="s">
        <v>225</v>
      </c>
      <c r="D122" s="1971">
        <f t="shared" ref="D122:K122" si="90">+D123</f>
        <v>0</v>
      </c>
      <c r="E122" s="1971">
        <f t="shared" si="90"/>
        <v>0</v>
      </c>
      <c r="F122" s="1971">
        <f t="shared" si="90"/>
        <v>0</v>
      </c>
      <c r="G122" s="1971">
        <f t="shared" si="90"/>
        <v>0</v>
      </c>
      <c r="H122" s="1971">
        <f t="shared" si="90"/>
        <v>0</v>
      </c>
      <c r="I122" s="1971">
        <f t="shared" si="90"/>
        <v>0</v>
      </c>
      <c r="J122" s="1971">
        <f t="shared" si="90"/>
        <v>0</v>
      </c>
      <c r="K122" s="1971">
        <f t="shared" si="90"/>
        <v>0</v>
      </c>
      <c r="L122" s="1971">
        <f>+L123</f>
        <v>0</v>
      </c>
      <c r="M122" s="3918"/>
      <c r="N122" s="3866"/>
      <c r="O122" s="3106"/>
    </row>
    <row r="123" spans="1:15" ht="12.75" hidden="1" customHeight="1" thickBot="1">
      <c r="A123" s="3877"/>
      <c r="B123" s="2022" t="s">
        <v>12</v>
      </c>
      <c r="C123" s="3921"/>
      <c r="D123" s="730">
        <f>E123+L123+F123+G123+H123+I123+J123+K123</f>
        <v>0</v>
      </c>
      <c r="E123" s="2023"/>
      <c r="F123" s="2023"/>
      <c r="G123" s="2023"/>
      <c r="H123" s="2023"/>
      <c r="I123" s="2023"/>
      <c r="J123" s="2023"/>
      <c r="K123" s="2023"/>
      <c r="L123" s="2023"/>
      <c r="M123" s="3919"/>
      <c r="N123" s="3866"/>
      <c r="O123" s="3106"/>
    </row>
    <row r="124" spans="1:15" ht="13.5" thickBot="1">
      <c r="A124" s="3878"/>
      <c r="B124" s="1590" t="s">
        <v>17</v>
      </c>
      <c r="C124" s="3871"/>
      <c r="D124" s="1187">
        <f t="shared" ref="D124:K124" si="91">+D125</f>
        <v>55738</v>
      </c>
      <c r="E124" s="1187">
        <f t="shared" si="91"/>
        <v>55738</v>
      </c>
      <c r="F124" s="1187">
        <f t="shared" si="91"/>
        <v>0</v>
      </c>
      <c r="G124" s="1187">
        <f t="shared" si="91"/>
        <v>0</v>
      </c>
      <c r="H124" s="1187">
        <f t="shared" si="91"/>
        <v>0</v>
      </c>
      <c r="I124" s="1187">
        <f t="shared" si="91"/>
        <v>0</v>
      </c>
      <c r="J124" s="1187">
        <f t="shared" si="91"/>
        <v>0</v>
      </c>
      <c r="K124" s="1187">
        <f t="shared" si="91"/>
        <v>0</v>
      </c>
      <c r="L124" s="1187">
        <f>+L125</f>
        <v>0</v>
      </c>
      <c r="M124" s="3879"/>
      <c r="N124" s="3866"/>
      <c r="O124" s="3106"/>
    </row>
    <row r="125" spans="1:15" ht="13.5" thickBot="1">
      <c r="A125" s="3878"/>
      <c r="B125" s="1679" t="s">
        <v>19</v>
      </c>
      <c r="C125" s="3872"/>
      <c r="D125" s="1410">
        <f>E125+L125+F125+G125+H125+I125+J125+K125</f>
        <v>55738</v>
      </c>
      <c r="E125" s="1636">
        <f>6163+49575</f>
        <v>55738</v>
      </c>
      <c r="F125" s="1382"/>
      <c r="G125" s="1382"/>
      <c r="H125" s="1382"/>
      <c r="I125" s="1382"/>
      <c r="J125" s="1382"/>
      <c r="K125" s="1382"/>
      <c r="L125" s="1382"/>
      <c r="M125" s="3880"/>
      <c r="N125" s="3867"/>
      <c r="O125" s="3106"/>
    </row>
    <row r="126" spans="1:15" s="2512" customFormat="1" ht="24.75" thickBot="1">
      <c r="A126" s="3878" t="s">
        <v>79</v>
      </c>
      <c r="B126" s="1591" t="s">
        <v>548</v>
      </c>
      <c r="C126" s="1592" t="s">
        <v>99</v>
      </c>
      <c r="D126" s="915"/>
      <c r="E126" s="2098"/>
      <c r="F126" s="2098"/>
      <c r="G126" s="2098"/>
      <c r="H126" s="2098"/>
      <c r="I126" s="2098"/>
      <c r="J126" s="2098"/>
      <c r="K126" s="34"/>
      <c r="L126" s="2098"/>
      <c r="M126" s="470"/>
      <c r="N126" s="3863" t="s">
        <v>628</v>
      </c>
      <c r="O126" s="3106"/>
    </row>
    <row r="127" spans="1:15" s="2512" customFormat="1" ht="13.5" thickBot="1">
      <c r="A127" s="3878"/>
      <c r="B127" s="1587" t="s">
        <v>9</v>
      </c>
      <c r="C127" s="1256"/>
      <c r="D127" s="1222">
        <f t="shared" ref="D127:M127" si="92">+D128+D132</f>
        <v>13992000</v>
      </c>
      <c r="E127" s="2792">
        <f t="shared" si="92"/>
        <v>0</v>
      </c>
      <c r="F127" s="1222">
        <f t="shared" si="92"/>
        <v>1365962</v>
      </c>
      <c r="G127" s="1222">
        <f t="shared" si="92"/>
        <v>12455876</v>
      </c>
      <c r="H127" s="1222">
        <f t="shared" si="92"/>
        <v>170162</v>
      </c>
      <c r="I127" s="1222">
        <f t="shared" si="92"/>
        <v>0</v>
      </c>
      <c r="J127" s="1222">
        <f t="shared" si="92"/>
        <v>0</v>
      </c>
      <c r="K127" s="1222">
        <f t="shared" si="92"/>
        <v>0</v>
      </c>
      <c r="L127" s="1222">
        <f>+L128+L132</f>
        <v>0</v>
      </c>
      <c r="M127" s="2036">
        <f t="shared" si="92"/>
        <v>12050082</v>
      </c>
      <c r="N127" s="3863"/>
      <c r="O127" s="3106" t="s">
        <v>475</v>
      </c>
    </row>
    <row r="128" spans="1:15" s="2512" customFormat="1" ht="12.75" customHeight="1" thickBot="1">
      <c r="A128" s="3878"/>
      <c r="B128" s="1588" t="s">
        <v>22</v>
      </c>
      <c r="C128" s="3873" t="s">
        <v>417</v>
      </c>
      <c r="D128" s="1416">
        <f>+D129+D130+D131</f>
        <v>2098800</v>
      </c>
      <c r="E128" s="2793">
        <f t="shared" ref="E128:K128" si="93">+E129+E130+E131</f>
        <v>0</v>
      </c>
      <c r="F128" s="1416">
        <f t="shared" si="93"/>
        <v>254460</v>
      </c>
      <c r="G128" s="1416">
        <f t="shared" si="93"/>
        <v>1819967</v>
      </c>
      <c r="H128" s="1416">
        <f t="shared" si="93"/>
        <v>24373</v>
      </c>
      <c r="I128" s="1416">
        <f t="shared" si="93"/>
        <v>0</v>
      </c>
      <c r="J128" s="1416">
        <f t="shared" si="93"/>
        <v>0</v>
      </c>
      <c r="K128" s="1416">
        <f t="shared" si="93"/>
        <v>0</v>
      </c>
      <c r="L128" s="1416">
        <f>+L129+L130+L131</f>
        <v>0</v>
      </c>
      <c r="M128" s="2048">
        <f t="shared" ref="M128" si="94">+M129+M130</f>
        <v>1268384</v>
      </c>
      <c r="N128" s="3863"/>
      <c r="O128" s="3106"/>
    </row>
    <row r="129" spans="1:15" s="2512" customFormat="1" ht="13.5" thickBot="1">
      <c r="A129" s="3878"/>
      <c r="B129" s="1589" t="s">
        <v>11</v>
      </c>
      <c r="C129" s="3874"/>
      <c r="D129" s="1115">
        <f>E129+L129+F129+G129+H129+I129+J129+K129</f>
        <v>63600</v>
      </c>
      <c r="E129" s="2802"/>
      <c r="F129" s="1142">
        <v>63600</v>
      </c>
      <c r="G129" s="1142">
        <v>0</v>
      </c>
      <c r="H129" s="1142">
        <v>0</v>
      </c>
      <c r="I129" s="1142"/>
      <c r="J129" s="1142"/>
      <c r="K129" s="1142"/>
      <c r="L129" s="1142"/>
      <c r="M129" s="1441">
        <f>SUM(G129:K129)</f>
        <v>0</v>
      </c>
      <c r="N129" s="3863"/>
      <c r="O129" s="3106"/>
    </row>
    <row r="130" spans="1:15" s="2512" customFormat="1" ht="13.5" thickBot="1">
      <c r="A130" s="3878"/>
      <c r="B130" s="1589" t="s">
        <v>12</v>
      </c>
      <c r="C130" s="3874"/>
      <c r="D130" s="1115">
        <f>E130+L130+F130+G130+H130+I130+J130+K130</f>
        <v>1399200</v>
      </c>
      <c r="E130" s="2246">
        <v>0</v>
      </c>
      <c r="F130" s="1190">
        <f>147420-16604</f>
        <v>130816</v>
      </c>
      <c r="G130" s="1190">
        <f>684450+567323</f>
        <v>1251773</v>
      </c>
      <c r="H130" s="1190">
        <f>567330-550719</f>
        <v>16611</v>
      </c>
      <c r="I130" s="1190"/>
      <c r="J130" s="1190"/>
      <c r="K130" s="1190"/>
      <c r="L130" s="1190"/>
      <c r="M130" s="1441">
        <f>SUM(G130:K130)</f>
        <v>1268384</v>
      </c>
      <c r="N130" s="3863"/>
      <c r="O130" s="3106"/>
    </row>
    <row r="131" spans="1:15" s="2512" customFormat="1">
      <c r="A131" s="3868"/>
      <c r="B131" s="1589" t="s">
        <v>446</v>
      </c>
      <c r="C131" s="3874"/>
      <c r="D131" s="1115">
        <f>E131+L131+F131+G131+H131+I131+J131+K131</f>
        <v>636000</v>
      </c>
      <c r="E131" s="2246"/>
      <c r="F131" s="1190">
        <f>66986-6942</f>
        <v>60044</v>
      </c>
      <c r="G131" s="1190">
        <f>311005+257189</f>
        <v>568194</v>
      </c>
      <c r="H131" s="1190">
        <f>258009-250247</f>
        <v>7762</v>
      </c>
      <c r="I131" s="1190"/>
      <c r="J131" s="1190"/>
      <c r="K131" s="1190"/>
      <c r="L131" s="1190"/>
      <c r="M131" s="3137">
        <v>0</v>
      </c>
      <c r="N131" s="3861"/>
      <c r="O131" s="3106"/>
    </row>
    <row r="132" spans="1:15" s="2512" customFormat="1">
      <c r="A132" s="3869"/>
      <c r="B132" s="1590" t="s">
        <v>17</v>
      </c>
      <c r="C132" s="3874"/>
      <c r="D132" s="1187">
        <f>+D133</f>
        <v>11893200</v>
      </c>
      <c r="E132" s="1227">
        <f t="shared" ref="E132:M132" si="95">+E133</f>
        <v>0</v>
      </c>
      <c r="F132" s="1187">
        <f t="shared" si="95"/>
        <v>1111502</v>
      </c>
      <c r="G132" s="1187">
        <f t="shared" si="95"/>
        <v>10635909</v>
      </c>
      <c r="H132" s="1187">
        <f t="shared" si="95"/>
        <v>145789</v>
      </c>
      <c r="I132" s="1187">
        <f t="shared" si="95"/>
        <v>0</v>
      </c>
      <c r="J132" s="1187">
        <f t="shared" si="95"/>
        <v>0</v>
      </c>
      <c r="K132" s="1187">
        <f t="shared" si="95"/>
        <v>0</v>
      </c>
      <c r="L132" s="1187">
        <f>+L133</f>
        <v>0</v>
      </c>
      <c r="M132" s="2050">
        <f t="shared" si="95"/>
        <v>10781698</v>
      </c>
      <c r="N132" s="3859"/>
      <c r="O132" s="3106"/>
    </row>
    <row r="133" spans="1:15" s="2512" customFormat="1">
      <c r="A133" s="3869"/>
      <c r="B133" s="1589" t="s">
        <v>19</v>
      </c>
      <c r="C133" s="3874"/>
      <c r="D133" s="1115">
        <f>E133+L133+F133+G133+H133+I133+J133+K133</f>
        <v>11893200</v>
      </c>
      <c r="E133" s="2802"/>
      <c r="F133" s="1600">
        <f>1252580-141078</f>
        <v>1111502</v>
      </c>
      <c r="G133" s="1600">
        <f>5815550+4820359</f>
        <v>10635909</v>
      </c>
      <c r="H133" s="1600">
        <f>4825070-4679281</f>
        <v>145789</v>
      </c>
      <c r="I133" s="1600"/>
      <c r="J133" s="1600"/>
      <c r="K133" s="1600"/>
      <c r="L133" s="2518"/>
      <c r="M133" s="1441">
        <f>SUM(G133:K133)</f>
        <v>10781698</v>
      </c>
      <c r="N133" s="3860"/>
      <c r="O133" s="3106"/>
    </row>
    <row r="134" spans="1:15" s="2512" customFormat="1">
      <c r="A134" s="3869"/>
      <c r="B134" s="1587" t="s">
        <v>20</v>
      </c>
      <c r="C134" s="1256"/>
      <c r="D134" s="1228">
        <f t="shared" ref="D134:E134" si="96">+D135+D137</f>
        <v>13292400</v>
      </c>
      <c r="E134" s="3116">
        <f t="shared" si="96"/>
        <v>0</v>
      </c>
      <c r="F134" s="1228">
        <f t="shared" ref="F134:K134" si="97">+F135+F137</f>
        <v>1400000</v>
      </c>
      <c r="G134" s="1228">
        <f t="shared" si="97"/>
        <v>11730000</v>
      </c>
      <c r="H134" s="1228">
        <f t="shared" si="97"/>
        <v>162400</v>
      </c>
      <c r="I134" s="1228">
        <f t="shared" si="97"/>
        <v>0</v>
      </c>
      <c r="J134" s="1228">
        <f t="shared" si="97"/>
        <v>0</v>
      </c>
      <c r="K134" s="1228">
        <f t="shared" si="97"/>
        <v>0</v>
      </c>
      <c r="L134" s="1228">
        <f>+L135+L137</f>
        <v>0</v>
      </c>
      <c r="M134" s="3857" t="s">
        <v>52</v>
      </c>
      <c r="N134" s="3525"/>
      <c r="O134" s="3106"/>
    </row>
    <row r="135" spans="1:15" s="2512" customFormat="1">
      <c r="A135" s="3869"/>
      <c r="B135" s="1588" t="s">
        <v>22</v>
      </c>
      <c r="C135" s="3871" t="s">
        <v>225</v>
      </c>
      <c r="D135" s="1187">
        <f t="shared" ref="D135:K135" si="98">+D136</f>
        <v>1399200</v>
      </c>
      <c r="E135" s="1227">
        <f t="shared" si="98"/>
        <v>0</v>
      </c>
      <c r="F135" s="1187">
        <f t="shared" si="98"/>
        <v>147420</v>
      </c>
      <c r="G135" s="1187">
        <f t="shared" si="98"/>
        <v>1235169</v>
      </c>
      <c r="H135" s="1187">
        <f t="shared" si="98"/>
        <v>16611</v>
      </c>
      <c r="I135" s="1187">
        <f t="shared" si="98"/>
        <v>0</v>
      </c>
      <c r="J135" s="1187">
        <f t="shared" si="98"/>
        <v>0</v>
      </c>
      <c r="K135" s="1187">
        <f t="shared" si="98"/>
        <v>0</v>
      </c>
      <c r="L135" s="1187">
        <f>+L136</f>
        <v>0</v>
      </c>
      <c r="M135" s="3857"/>
      <c r="N135" s="3525"/>
      <c r="O135" s="3106"/>
    </row>
    <row r="136" spans="1:15" s="2512" customFormat="1">
      <c r="A136" s="3869"/>
      <c r="B136" s="1589" t="s">
        <v>12</v>
      </c>
      <c r="C136" s="3871"/>
      <c r="D136" s="1115">
        <f>E136+L136+F136+G136+H136+I136+J136+K136</f>
        <v>1399200</v>
      </c>
      <c r="E136" s="2795"/>
      <c r="F136" s="1197">
        <v>147420</v>
      </c>
      <c r="G136" s="1197">
        <f>684450+550719</f>
        <v>1235169</v>
      </c>
      <c r="H136" s="1197">
        <f>567330-550719</f>
        <v>16611</v>
      </c>
      <c r="I136" s="1197"/>
      <c r="J136" s="1197"/>
      <c r="K136" s="1197"/>
      <c r="L136" s="1197"/>
      <c r="M136" s="3857"/>
      <c r="N136" s="3525"/>
      <c r="O136" s="3106"/>
    </row>
    <row r="137" spans="1:15" s="2512" customFormat="1">
      <c r="A137" s="3869"/>
      <c r="B137" s="1590" t="s">
        <v>17</v>
      </c>
      <c r="C137" s="3871"/>
      <c r="D137" s="1187">
        <f t="shared" ref="D137:K137" si="99">+D138</f>
        <v>11893200</v>
      </c>
      <c r="E137" s="1227">
        <f t="shared" si="99"/>
        <v>0</v>
      </c>
      <c r="F137" s="1187">
        <f t="shared" si="99"/>
        <v>1252580</v>
      </c>
      <c r="G137" s="1187">
        <f t="shared" si="99"/>
        <v>10494831</v>
      </c>
      <c r="H137" s="1187">
        <f t="shared" si="99"/>
        <v>145789</v>
      </c>
      <c r="I137" s="1187">
        <f t="shared" si="99"/>
        <v>0</v>
      </c>
      <c r="J137" s="1187">
        <f t="shared" si="99"/>
        <v>0</v>
      </c>
      <c r="K137" s="1187">
        <f t="shared" si="99"/>
        <v>0</v>
      </c>
      <c r="L137" s="1187">
        <f>+L138</f>
        <v>0</v>
      </c>
      <c r="M137" s="3857"/>
      <c r="N137" s="3526" t="s">
        <v>286</v>
      </c>
      <c r="O137" s="3106"/>
    </row>
    <row r="138" spans="1:15" s="2512" customFormat="1" ht="12.75" customHeight="1" thickBot="1">
      <c r="A138" s="3870"/>
      <c r="B138" s="1679" t="s">
        <v>19</v>
      </c>
      <c r="C138" s="3872"/>
      <c r="D138" s="1115">
        <f>E138+L138+F138+G138+H138+I138+J138+K138</f>
        <v>11893200</v>
      </c>
      <c r="E138" s="1155"/>
      <c r="F138" s="1382">
        <v>1252580</v>
      </c>
      <c r="G138" s="1382">
        <f>5815550+4679281</f>
        <v>10494831</v>
      </c>
      <c r="H138" s="1382">
        <f>4825070-4679281</f>
        <v>145789</v>
      </c>
      <c r="I138" s="1382"/>
      <c r="J138" s="1382"/>
      <c r="K138" s="1382"/>
      <c r="L138" s="1382"/>
      <c r="M138" s="3701"/>
      <c r="N138" s="3527"/>
      <c r="O138" s="3106"/>
    </row>
    <row r="139" spans="1:15" ht="36" customHeight="1">
      <c r="A139" s="3893" t="s">
        <v>80</v>
      </c>
      <c r="B139" s="973" t="s">
        <v>557</v>
      </c>
      <c r="C139" s="974" t="s">
        <v>99</v>
      </c>
      <c r="D139" s="915"/>
      <c r="E139" s="2098"/>
      <c r="F139" s="2098"/>
      <c r="G139" s="2098"/>
      <c r="H139" s="2098"/>
      <c r="I139" s="2098"/>
      <c r="J139" s="2098"/>
      <c r="K139" s="34"/>
      <c r="L139" s="2098"/>
      <c r="M139" s="470"/>
      <c r="N139" s="3861" t="s">
        <v>284</v>
      </c>
      <c r="O139" s="3106"/>
    </row>
    <row r="140" spans="1:15">
      <c r="A140" s="3851"/>
      <c r="B140" s="1587" t="s">
        <v>9</v>
      </c>
      <c r="C140" s="975"/>
      <c r="D140" s="1594">
        <f t="shared" ref="D140:M140" si="100">+D141+D145</f>
        <v>1698344</v>
      </c>
      <c r="E140" s="1222">
        <f t="shared" ref="E140" si="101">+E141+E145</f>
        <v>667359</v>
      </c>
      <c r="F140" s="1222">
        <f t="shared" si="100"/>
        <v>818626</v>
      </c>
      <c r="G140" s="1222">
        <f t="shared" si="100"/>
        <v>212359</v>
      </c>
      <c r="H140" s="1222">
        <f t="shared" si="100"/>
        <v>0</v>
      </c>
      <c r="I140" s="1222">
        <f t="shared" si="100"/>
        <v>0</v>
      </c>
      <c r="J140" s="1222">
        <f t="shared" si="100"/>
        <v>0</v>
      </c>
      <c r="K140" s="1222">
        <f t="shared" si="100"/>
        <v>0</v>
      </c>
      <c r="L140" s="1222">
        <f>+L141+L145</f>
        <v>0</v>
      </c>
      <c r="M140" s="1179">
        <f t="shared" si="100"/>
        <v>212359</v>
      </c>
      <c r="N140" s="3859"/>
      <c r="O140" s="3106"/>
    </row>
    <row r="141" spans="1:15">
      <c r="A141" s="3851"/>
      <c r="B141" s="1588" t="s">
        <v>22</v>
      </c>
      <c r="C141" s="3891" t="s">
        <v>281</v>
      </c>
      <c r="D141" s="1416">
        <f>+D142</f>
        <v>254752</v>
      </c>
      <c r="E141" s="1416">
        <f t="shared" ref="E141:M141" si="102">+E142</f>
        <v>100104</v>
      </c>
      <c r="F141" s="1416">
        <f t="shared" si="102"/>
        <v>122794</v>
      </c>
      <c r="G141" s="1416">
        <f t="shared" si="102"/>
        <v>31854</v>
      </c>
      <c r="H141" s="1416">
        <f t="shared" si="102"/>
        <v>0</v>
      </c>
      <c r="I141" s="1416">
        <f t="shared" si="102"/>
        <v>0</v>
      </c>
      <c r="J141" s="1416">
        <f t="shared" si="102"/>
        <v>0</v>
      </c>
      <c r="K141" s="1416">
        <f t="shared" si="102"/>
        <v>0</v>
      </c>
      <c r="L141" s="1416">
        <f>+L142</f>
        <v>0</v>
      </c>
      <c r="M141" s="1680">
        <f t="shared" si="102"/>
        <v>31854</v>
      </c>
      <c r="N141" s="3859"/>
      <c r="O141" s="3106"/>
    </row>
    <row r="142" spans="1:15">
      <c r="A142" s="3851"/>
      <c r="B142" s="1589" t="s">
        <v>11</v>
      </c>
      <c r="C142" s="3892"/>
      <c r="D142" s="1115">
        <f>E142+L142+F142+G142+H142+I142+J142+K142</f>
        <v>254752</v>
      </c>
      <c r="E142" s="1470">
        <f t="shared" ref="E142" si="103">+E143+E144</f>
        <v>100104</v>
      </c>
      <c r="F142" s="1470">
        <f t="shared" ref="F142:K142" si="104">+F143+F144</f>
        <v>122794</v>
      </c>
      <c r="G142" s="1190">
        <f t="shared" si="104"/>
        <v>31854</v>
      </c>
      <c r="H142" s="1190">
        <f t="shared" si="104"/>
        <v>0</v>
      </c>
      <c r="I142" s="1190">
        <f t="shared" si="104"/>
        <v>0</v>
      </c>
      <c r="J142" s="1190">
        <f t="shared" si="104"/>
        <v>0</v>
      </c>
      <c r="K142" s="1190">
        <f t="shared" si="104"/>
        <v>0</v>
      </c>
      <c r="L142" s="1470">
        <f>+L143+L144</f>
        <v>0</v>
      </c>
      <c r="M142" s="1441">
        <f>SUM(G142:K142)</f>
        <v>31854</v>
      </c>
      <c r="N142" s="3859"/>
      <c r="O142" s="3106"/>
    </row>
    <row r="143" spans="1:15" ht="12.75" hidden="1" customHeight="1">
      <c r="A143" s="3851"/>
      <c r="B143" s="3138" t="s">
        <v>269</v>
      </c>
      <c r="C143" s="3892"/>
      <c r="D143" s="3139">
        <f>SUM(E143:K143)</f>
        <v>70006</v>
      </c>
      <c r="E143" s="3140">
        <f>31970-5265</f>
        <v>26705</v>
      </c>
      <c r="F143" s="3140">
        <f>34149+5265-9915</f>
        <v>29499</v>
      </c>
      <c r="G143" s="3141">
        <v>13802</v>
      </c>
      <c r="H143" s="3141"/>
      <c r="I143" s="3141"/>
      <c r="J143" s="3141"/>
      <c r="K143" s="3141"/>
      <c r="L143" s="3140"/>
      <c r="M143" s="1681"/>
      <c r="N143" s="3859"/>
      <c r="O143" s="3106"/>
    </row>
    <row r="144" spans="1:15" ht="12.75" hidden="1" customHeight="1">
      <c r="A144" s="3851"/>
      <c r="B144" s="3125" t="s">
        <v>279</v>
      </c>
      <c r="C144" s="3892"/>
      <c r="D144" s="3127">
        <f>SUM(E144:K144)</f>
        <v>184746</v>
      </c>
      <c r="E144" s="3142">
        <f>86239-12840</f>
        <v>73399</v>
      </c>
      <c r="F144" s="3142">
        <f>102394+12840-21939</f>
        <v>93295</v>
      </c>
      <c r="G144" s="3129">
        <f>18052</f>
        <v>18052</v>
      </c>
      <c r="H144" s="3129"/>
      <c r="I144" s="3129"/>
      <c r="J144" s="3129"/>
      <c r="K144" s="3129"/>
      <c r="L144" s="3142"/>
      <c r="M144" s="1681"/>
      <c r="N144" s="3859"/>
      <c r="O144" s="3106"/>
    </row>
    <row r="145" spans="1:15">
      <c r="A145" s="3851"/>
      <c r="B145" s="1588" t="s">
        <v>17</v>
      </c>
      <c r="C145" s="3892"/>
      <c r="D145" s="1187">
        <f>+D146</f>
        <v>1443592</v>
      </c>
      <c r="E145" s="1187">
        <f t="shared" ref="E145:K145" si="105">+E146</f>
        <v>567255</v>
      </c>
      <c r="F145" s="1187">
        <f t="shared" si="105"/>
        <v>695832</v>
      </c>
      <c r="G145" s="1187">
        <f t="shared" si="105"/>
        <v>180505</v>
      </c>
      <c r="H145" s="1187">
        <f t="shared" si="105"/>
        <v>0</v>
      </c>
      <c r="I145" s="1187">
        <f t="shared" si="105"/>
        <v>0</v>
      </c>
      <c r="J145" s="1187">
        <f t="shared" si="105"/>
        <v>0</v>
      </c>
      <c r="K145" s="1187">
        <f t="shared" si="105"/>
        <v>0</v>
      </c>
      <c r="L145" s="1187">
        <f>+L146</f>
        <v>0</v>
      </c>
      <c r="M145" s="1443">
        <f>+M146</f>
        <v>180505</v>
      </c>
      <c r="N145" s="3859"/>
      <c r="O145" s="3106"/>
    </row>
    <row r="146" spans="1:15">
      <c r="A146" s="3851"/>
      <c r="B146" s="1589" t="s">
        <v>19</v>
      </c>
      <c r="C146" s="3892"/>
      <c r="D146" s="1115">
        <f>E146+L146+F146+G146+H146+I146+J146+K146</f>
        <v>1443592</v>
      </c>
      <c r="E146" s="1190">
        <f t="shared" ref="E146" si="106">+E147+E148</f>
        <v>567255</v>
      </c>
      <c r="F146" s="1190">
        <f>+F147+F148</f>
        <v>695832</v>
      </c>
      <c r="G146" s="1190">
        <f t="shared" ref="G146:K146" si="107">+G147+G148</f>
        <v>180505</v>
      </c>
      <c r="H146" s="1190">
        <f t="shared" si="107"/>
        <v>0</v>
      </c>
      <c r="I146" s="1190">
        <f t="shared" si="107"/>
        <v>0</v>
      </c>
      <c r="J146" s="1190">
        <f t="shared" si="107"/>
        <v>0</v>
      </c>
      <c r="K146" s="1190">
        <f t="shared" si="107"/>
        <v>0</v>
      </c>
      <c r="L146" s="1190">
        <f>+L147+L148</f>
        <v>0</v>
      </c>
      <c r="M146" s="1441">
        <f>SUM(G146:K146)</f>
        <v>180505</v>
      </c>
      <c r="N146" s="3860"/>
      <c r="O146" s="3106"/>
    </row>
    <row r="147" spans="1:15" ht="12.75" hidden="1" customHeight="1">
      <c r="A147" s="3851"/>
      <c r="B147" s="3138" t="s">
        <v>269</v>
      </c>
      <c r="C147" s="3041"/>
      <c r="D147" s="3139">
        <f>SUM(E147:K147)</f>
        <v>396698</v>
      </c>
      <c r="E147" s="3141">
        <f>181163-29833</f>
        <v>151330</v>
      </c>
      <c r="F147" s="3141">
        <f>193514+29833-56189</f>
        <v>167158</v>
      </c>
      <c r="G147" s="3141">
        <v>78210</v>
      </c>
      <c r="H147" s="3141"/>
      <c r="I147" s="3141"/>
      <c r="J147" s="3141"/>
      <c r="K147" s="3141"/>
      <c r="L147" s="3141"/>
      <c r="M147" s="1681"/>
      <c r="N147" s="1567"/>
      <c r="O147" s="3106"/>
    </row>
    <row r="148" spans="1:15" ht="12.75" hidden="1" customHeight="1">
      <c r="A148" s="3851"/>
      <c r="B148" s="3125" t="s">
        <v>279</v>
      </c>
      <c r="C148" s="3126"/>
      <c r="D148" s="3127">
        <f>SUM(E148:K148)</f>
        <v>1046894</v>
      </c>
      <c r="E148" s="3129">
        <f>488685-72760</f>
        <v>415925</v>
      </c>
      <c r="F148" s="3129">
        <f>580230+72760-124316</f>
        <v>528674</v>
      </c>
      <c r="G148" s="3129">
        <v>102295</v>
      </c>
      <c r="H148" s="3129"/>
      <c r="I148" s="3129"/>
      <c r="J148" s="3129"/>
      <c r="K148" s="3129"/>
      <c r="L148" s="3129"/>
      <c r="M148" s="1681"/>
      <c r="N148" s="1567"/>
      <c r="O148" s="3106"/>
    </row>
    <row r="149" spans="1:15">
      <c r="A149" s="3894"/>
      <c r="B149" s="1587" t="s">
        <v>20</v>
      </c>
      <c r="C149" s="1256"/>
      <c r="D149" s="1442">
        <f>D150</f>
        <v>1443592</v>
      </c>
      <c r="E149" s="1442">
        <f>+E150</f>
        <v>669848</v>
      </c>
      <c r="F149" s="1442">
        <f>+F150</f>
        <v>773743</v>
      </c>
      <c r="G149" s="1442">
        <f>+G150</f>
        <v>1</v>
      </c>
      <c r="H149" s="1442">
        <f>H150</f>
        <v>0</v>
      </c>
      <c r="I149" s="1442">
        <f>+I150</f>
        <v>0</v>
      </c>
      <c r="J149" s="1442">
        <f>+J150</f>
        <v>0</v>
      </c>
      <c r="K149" s="1442">
        <f>K150</f>
        <v>0</v>
      </c>
      <c r="L149" s="1442">
        <f>+L150</f>
        <v>0</v>
      </c>
      <c r="M149" s="3857" t="s">
        <v>52</v>
      </c>
      <c r="N149" s="3753" t="s">
        <v>279</v>
      </c>
      <c r="O149" s="3106"/>
    </row>
    <row r="150" spans="1:15">
      <c r="A150" s="3894"/>
      <c r="B150" s="1588" t="s">
        <v>17</v>
      </c>
      <c r="C150" s="3883" t="s">
        <v>336</v>
      </c>
      <c r="D150" s="1187">
        <f t="shared" ref="D150:K150" si="108">+D151</f>
        <v>1443592</v>
      </c>
      <c r="E150" s="1187">
        <f t="shared" si="108"/>
        <v>669848</v>
      </c>
      <c r="F150" s="1187">
        <f t="shared" si="108"/>
        <v>773743</v>
      </c>
      <c r="G150" s="1187">
        <f t="shared" si="108"/>
        <v>1</v>
      </c>
      <c r="H150" s="1187">
        <f t="shared" si="108"/>
        <v>0</v>
      </c>
      <c r="I150" s="1187">
        <f t="shared" si="108"/>
        <v>0</v>
      </c>
      <c r="J150" s="1187">
        <f t="shared" si="108"/>
        <v>0</v>
      </c>
      <c r="K150" s="1187">
        <f t="shared" si="108"/>
        <v>0</v>
      </c>
      <c r="L150" s="1187">
        <f>+L151</f>
        <v>0</v>
      </c>
      <c r="M150" s="3857"/>
      <c r="N150" s="3753"/>
      <c r="O150" s="3106"/>
    </row>
    <row r="151" spans="1:15" ht="13.5" thickBot="1">
      <c r="A151" s="3895"/>
      <c r="B151" s="1679" t="s">
        <v>19</v>
      </c>
      <c r="C151" s="3884"/>
      <c r="D151" s="1636">
        <f>E151+L151+F151+G151+H151+I151+J151+K151</f>
        <v>1443592</v>
      </c>
      <c r="E151" s="1433">
        <v>669848</v>
      </c>
      <c r="F151" s="1433">
        <f>773744-1</f>
        <v>773743</v>
      </c>
      <c r="G151" s="1433">
        <v>1</v>
      </c>
      <c r="H151" s="1433">
        <v>0</v>
      </c>
      <c r="I151" s="1433">
        <v>0</v>
      </c>
      <c r="J151" s="1433">
        <v>0</v>
      </c>
      <c r="K151" s="1433">
        <v>0</v>
      </c>
      <c r="L151" s="1433"/>
      <c r="M151" s="3701"/>
      <c r="N151" s="3754"/>
      <c r="O151" s="3106"/>
    </row>
    <row r="152" spans="1:15" ht="37.5" customHeight="1">
      <c r="A152" s="3893" t="s">
        <v>81</v>
      </c>
      <c r="B152" s="973" t="s">
        <v>389</v>
      </c>
      <c r="C152" s="974" t="s">
        <v>99</v>
      </c>
      <c r="D152" s="915"/>
      <c r="E152" s="2098"/>
      <c r="F152" s="2098"/>
      <c r="G152" s="2098"/>
      <c r="H152" s="2098"/>
      <c r="I152" s="2098"/>
      <c r="J152" s="2098"/>
      <c r="K152" s="34"/>
      <c r="L152" s="2098"/>
      <c r="M152" s="470"/>
      <c r="N152" s="3896" t="s">
        <v>624</v>
      </c>
      <c r="O152" s="3106"/>
    </row>
    <row r="153" spans="1:15" ht="16.149999999999999" customHeight="1">
      <c r="A153" s="3851"/>
      <c r="B153" s="1587" t="s">
        <v>9</v>
      </c>
      <c r="C153" s="975"/>
      <c r="D153" s="1594">
        <f>+D154</f>
        <v>13580278</v>
      </c>
      <c r="E153" s="1222">
        <f t="shared" ref="E153:G153" si="109">+E154</f>
        <v>262804</v>
      </c>
      <c r="F153" s="1222">
        <f t="shared" si="109"/>
        <v>3157862</v>
      </c>
      <c r="G153" s="1222">
        <f t="shared" si="109"/>
        <v>9439249</v>
      </c>
      <c r="H153" s="1222">
        <f t="shared" ref="H153" si="110">+H154</f>
        <v>720363</v>
      </c>
      <c r="I153" s="1222">
        <f t="shared" ref="I153" si="111">+I154</f>
        <v>0</v>
      </c>
      <c r="J153" s="1222">
        <f t="shared" ref="J153" si="112">+J154</f>
        <v>0</v>
      </c>
      <c r="K153" s="1222">
        <f t="shared" ref="K153" si="113">+K154</f>
        <v>0</v>
      </c>
      <c r="L153" s="1222">
        <f>+L154</f>
        <v>0</v>
      </c>
      <c r="M153" s="1179">
        <f>+M154</f>
        <v>10159612</v>
      </c>
      <c r="N153" s="3897"/>
      <c r="O153" s="3108">
        <f>F153-'[1]Tab. 6B Polit społ i rozwój prz'!$G$122</f>
        <v>-4661838</v>
      </c>
    </row>
    <row r="154" spans="1:15" ht="20.25" customHeight="1">
      <c r="A154" s="3851"/>
      <c r="B154" s="1595" t="s">
        <v>17</v>
      </c>
      <c r="C154" s="3885" t="s">
        <v>340</v>
      </c>
      <c r="D154" s="1187">
        <f>+D155</f>
        <v>13580278</v>
      </c>
      <c r="E154" s="1187">
        <f>+E155</f>
        <v>262804</v>
      </c>
      <c r="F154" s="1187">
        <f t="shared" ref="F154:K154" si="114">+F155</f>
        <v>3157862</v>
      </c>
      <c r="G154" s="1187">
        <f t="shared" si="114"/>
        <v>9439249</v>
      </c>
      <c r="H154" s="1187">
        <f t="shared" si="114"/>
        <v>720363</v>
      </c>
      <c r="I154" s="1187">
        <f t="shared" si="114"/>
        <v>0</v>
      </c>
      <c r="J154" s="1187">
        <f t="shared" si="114"/>
        <v>0</v>
      </c>
      <c r="K154" s="1187">
        <f t="shared" si="114"/>
        <v>0</v>
      </c>
      <c r="L154" s="1187">
        <f>+L155</f>
        <v>0</v>
      </c>
      <c r="M154" s="1443">
        <f>+M155</f>
        <v>10159612</v>
      </c>
      <c r="N154" s="3897"/>
      <c r="O154" s="3106"/>
    </row>
    <row r="155" spans="1:15" ht="15.75" customHeight="1" thickBot="1">
      <c r="A155" s="3899"/>
      <c r="B155" s="2096" t="s">
        <v>19</v>
      </c>
      <c r="C155" s="3886"/>
      <c r="D155" s="1160">
        <f>E155+L155+F155+G155+H155+I155+J155+K155</f>
        <v>13580278</v>
      </c>
      <c r="E155" s="1190">
        <f>+E156+E157+E158+E159+E160</f>
        <v>262804</v>
      </c>
      <c r="F155" s="1190">
        <f t="shared" ref="F155:G155" si="115">+F156+F157+F158+F159+F160</f>
        <v>3157862</v>
      </c>
      <c r="G155" s="1190">
        <f t="shared" si="115"/>
        <v>9439249</v>
      </c>
      <c r="H155" s="1190">
        <f t="shared" ref="H155" si="116">+H156+H157+H158+H159+H160</f>
        <v>720363</v>
      </c>
      <c r="I155" s="1190">
        <f t="shared" ref="I155" si="117">+I156+I157+I158+I159+I160</f>
        <v>0</v>
      </c>
      <c r="J155" s="1190">
        <f t="shared" ref="J155" si="118">+J156+J157+J158+J159+J160</f>
        <v>0</v>
      </c>
      <c r="K155" s="1190">
        <f t="shared" ref="K155" si="119">+K156+K157+K158+K159+K160</f>
        <v>0</v>
      </c>
      <c r="L155" s="1190">
        <f>+L156+L157+L158+L159+L160</f>
        <v>0</v>
      </c>
      <c r="M155" s="1441">
        <f>SUM(G155:K155)</f>
        <v>10159612</v>
      </c>
      <c r="N155" s="3897"/>
      <c r="O155" s="3106"/>
    </row>
    <row r="156" spans="1:15" s="324" customFormat="1" ht="12.75" hidden="1" customHeight="1">
      <c r="A156" s="3900"/>
      <c r="B156" s="1657" t="s">
        <v>338</v>
      </c>
      <c r="C156" s="3887"/>
      <c r="D156" s="1658">
        <f>SUM(E156:K156)</f>
        <v>9576521</v>
      </c>
      <c r="E156" s="1659">
        <f>2700000-2610000</f>
        <v>90000</v>
      </c>
      <c r="F156" s="1659">
        <f>3169000+2619500+1103984-4102953-459445</f>
        <v>2330086</v>
      </c>
      <c r="G156" s="1659">
        <f>2044159+946725-929847+3957590+459445</f>
        <v>6478072</v>
      </c>
      <c r="H156" s="1659">
        <f>0+537137-4137+145363</f>
        <v>678363</v>
      </c>
      <c r="I156" s="1659">
        <v>0</v>
      </c>
      <c r="J156" s="1659">
        <v>0</v>
      </c>
      <c r="K156" s="1659">
        <v>0</v>
      </c>
      <c r="L156" s="1659"/>
      <c r="M156" s="1441">
        <f>SUM(F156:K156)</f>
        <v>9486521</v>
      </c>
      <c r="N156" s="3897"/>
      <c r="O156" s="2961"/>
    </row>
    <row r="157" spans="1:15" s="324" customFormat="1" ht="12.75" hidden="1" customHeight="1">
      <c r="A157" s="3851"/>
      <c r="B157" s="1777" t="s">
        <v>623</v>
      </c>
      <c r="C157" s="3887"/>
      <c r="D157" s="1778">
        <f>SUM(E157:K157)</f>
        <v>1008500</v>
      </c>
      <c r="E157" s="1563">
        <f>293500-190200-8805</f>
        <v>94495</v>
      </c>
      <c r="F157" s="1563">
        <f>483000-13800+130805-259123-121736</f>
        <v>219146</v>
      </c>
      <c r="G157" s="1563">
        <f>378000-92000+28000+259123+121736</f>
        <v>694859</v>
      </c>
      <c r="H157" s="1563">
        <v>0</v>
      </c>
      <c r="I157" s="1563">
        <v>0</v>
      </c>
      <c r="J157" s="1563">
        <v>0</v>
      </c>
      <c r="K157" s="1563">
        <v>0</v>
      </c>
      <c r="L157" s="1563"/>
      <c r="M157" s="1441">
        <f>SUM(F157:K157)</f>
        <v>914005</v>
      </c>
      <c r="N157" s="3897"/>
      <c r="O157" s="2961"/>
    </row>
    <row r="158" spans="1:15" s="1564" customFormat="1" ht="12.75" hidden="1" customHeight="1">
      <c r="A158" s="3851"/>
      <c r="B158" s="1777" t="s">
        <v>605</v>
      </c>
      <c r="C158" s="3887"/>
      <c r="D158" s="1778">
        <f>SUM(E158:K158)</f>
        <v>603557</v>
      </c>
      <c r="E158" s="1563">
        <f>174000-30000-144000</f>
        <v>0</v>
      </c>
      <c r="F158" s="1563">
        <f>453000-110000-139686-3490</f>
        <v>199824</v>
      </c>
      <c r="G158" s="1563">
        <f>228000+32500+139686+3547</f>
        <v>403733</v>
      </c>
      <c r="H158" s="1563">
        <v>0</v>
      </c>
      <c r="I158" s="1563">
        <v>0</v>
      </c>
      <c r="J158" s="1563">
        <v>0</v>
      </c>
      <c r="K158" s="1563">
        <v>0</v>
      </c>
      <c r="L158" s="1563">
        <f>174000-30000-144000</f>
        <v>0</v>
      </c>
      <c r="M158" s="1441">
        <f>SUM(F158:K158)</f>
        <v>603557</v>
      </c>
      <c r="N158" s="3897"/>
      <c r="O158" s="2961"/>
    </row>
    <row r="159" spans="1:15" s="1564" customFormat="1" ht="12.75" hidden="1" customHeight="1">
      <c r="A159" s="3851"/>
      <c r="B159" s="1777" t="s">
        <v>620</v>
      </c>
      <c r="C159" s="3887"/>
      <c r="D159" s="1778">
        <f>SUM(E159:K159)</f>
        <v>1894000</v>
      </c>
      <c r="E159" s="1563">
        <f>1015500-784500-231000</f>
        <v>0</v>
      </c>
      <c r="F159" s="1563">
        <f>926500+110500+47050-701550-7108</f>
        <v>375392</v>
      </c>
      <c r="G159" s="1563">
        <f>342000+284000+183950+701550+7108</f>
        <v>1518608</v>
      </c>
      <c r="H159" s="1563">
        <v>0</v>
      </c>
      <c r="I159" s="1563">
        <v>0</v>
      </c>
      <c r="J159" s="1563">
        <v>0</v>
      </c>
      <c r="K159" s="1563">
        <v>0</v>
      </c>
      <c r="L159" s="1563">
        <f>1015500-784500-231000</f>
        <v>0</v>
      </c>
      <c r="M159" s="1441">
        <f>SUM(F159:K159)</f>
        <v>1894000</v>
      </c>
      <c r="N159" s="3897"/>
      <c r="O159" s="2961"/>
    </row>
    <row r="160" spans="1:15" s="1564" customFormat="1" ht="12.75" hidden="1" customHeight="1">
      <c r="A160" s="3851"/>
      <c r="B160" s="1777" t="s">
        <v>269</v>
      </c>
      <c r="C160" s="3888"/>
      <c r="D160" s="1778">
        <f>SUM(E160:K160)</f>
        <v>497700</v>
      </c>
      <c r="E160" s="1563">
        <f>140000-48300-13391</f>
        <v>78309</v>
      </c>
      <c r="F160" s="1563">
        <f>260000-78000+13391-161977</f>
        <v>33414</v>
      </c>
      <c r="G160" s="1563">
        <f>260000-78000+161977</f>
        <v>343977</v>
      </c>
      <c r="H160" s="1563">
        <f>0+42000</f>
        <v>42000</v>
      </c>
      <c r="I160" s="1563">
        <v>0</v>
      </c>
      <c r="J160" s="1563">
        <v>0</v>
      </c>
      <c r="K160" s="1563">
        <v>0</v>
      </c>
      <c r="L160" s="1563"/>
      <c r="M160" s="1441">
        <f>SUM(F160:K160)</f>
        <v>419391</v>
      </c>
      <c r="N160" s="3898"/>
      <c r="O160" s="2961"/>
    </row>
    <row r="161" spans="1:15">
      <c r="A161" s="3894"/>
      <c r="B161" s="1587" t="s">
        <v>20</v>
      </c>
      <c r="C161" s="1256"/>
      <c r="D161" s="1442">
        <f>D162</f>
        <v>13580278</v>
      </c>
      <c r="E161" s="2800">
        <f>+E162</f>
        <v>0</v>
      </c>
      <c r="F161" s="1442">
        <f>+F162</f>
        <v>2291694</v>
      </c>
      <c r="G161" s="1442">
        <f>+G162</f>
        <v>11288584</v>
      </c>
      <c r="H161" s="1442">
        <f>H162</f>
        <v>0</v>
      </c>
      <c r="I161" s="1442">
        <f>+I162</f>
        <v>0</v>
      </c>
      <c r="J161" s="1442">
        <f>+J162</f>
        <v>0</v>
      </c>
      <c r="K161" s="1442">
        <f>K162</f>
        <v>0</v>
      </c>
      <c r="L161" s="1442">
        <f>+L162</f>
        <v>0</v>
      </c>
      <c r="M161" s="3857" t="s">
        <v>52</v>
      </c>
      <c r="N161" s="3752" t="s">
        <v>338</v>
      </c>
      <c r="O161" s="3108">
        <f>F161-'[1]Tab. 6B Polit społ i rozwój prz'!$G$130</f>
        <v>-6044006</v>
      </c>
    </row>
    <row r="162" spans="1:15" s="2510" customFormat="1" ht="13.5" customHeight="1">
      <c r="A162" s="3894"/>
      <c r="B162" s="1595" t="s">
        <v>17</v>
      </c>
      <c r="C162" s="3885" t="s">
        <v>337</v>
      </c>
      <c r="D162" s="1187">
        <f t="shared" ref="D162:K162" si="120">+D163</f>
        <v>13580278</v>
      </c>
      <c r="E162" s="1227">
        <f t="shared" si="120"/>
        <v>0</v>
      </c>
      <c r="F162" s="1187">
        <f t="shared" si="120"/>
        <v>2291694</v>
      </c>
      <c r="G162" s="1187">
        <f t="shared" si="120"/>
        <v>11288584</v>
      </c>
      <c r="H162" s="1187">
        <f t="shared" si="120"/>
        <v>0</v>
      </c>
      <c r="I162" s="1187">
        <f t="shared" si="120"/>
        <v>0</v>
      </c>
      <c r="J162" s="1187">
        <f t="shared" si="120"/>
        <v>0</v>
      </c>
      <c r="K162" s="1187">
        <f t="shared" si="120"/>
        <v>0</v>
      </c>
      <c r="L162" s="1187">
        <f>+L163</f>
        <v>0</v>
      </c>
      <c r="M162" s="3857"/>
      <c r="N162" s="3753"/>
      <c r="O162" s="3107"/>
    </row>
    <row r="163" spans="1:15" s="2510" customFormat="1" ht="15" customHeight="1" thickBot="1">
      <c r="A163" s="3895"/>
      <c r="B163" s="1596" t="s">
        <v>19</v>
      </c>
      <c r="C163" s="3886"/>
      <c r="D163" s="1636">
        <f>E163+L163+F163+G163+H163+I163+J163+K163</f>
        <v>13580278</v>
      </c>
      <c r="E163" s="2994">
        <f>4323000-30000-4293000</f>
        <v>0</v>
      </c>
      <c r="F163" s="1473">
        <f>5291500+3044200+3368437-6103372-3309071</f>
        <v>2291694</v>
      </c>
      <c r="G163" s="1473">
        <f>3252159+1093225-2469300+6103372+3309128</f>
        <v>11288584</v>
      </c>
      <c r="H163" s="1433">
        <f>0+579137-579137</f>
        <v>0</v>
      </c>
      <c r="I163" s="1433">
        <v>0</v>
      </c>
      <c r="J163" s="1433">
        <v>0</v>
      </c>
      <c r="K163" s="1433">
        <v>0</v>
      </c>
      <c r="L163" s="1473">
        <f>4323000-30000-4293000</f>
        <v>0</v>
      </c>
      <c r="M163" s="3701"/>
      <c r="N163" s="3754"/>
      <c r="O163" s="3112">
        <f>D163-'[3]Tab. 6B Polit społ i rozwój prz'!$D$258</f>
        <v>743619</v>
      </c>
    </row>
    <row r="164" spans="1:15" ht="39" customHeight="1">
      <c r="A164" s="3893" t="s">
        <v>82</v>
      </c>
      <c r="B164" s="973" t="s">
        <v>390</v>
      </c>
      <c r="C164" s="974" t="s">
        <v>72</v>
      </c>
      <c r="D164" s="915"/>
      <c r="E164" s="2098"/>
      <c r="F164" s="2098"/>
      <c r="G164" s="2098"/>
      <c r="H164" s="2098"/>
      <c r="I164" s="2098"/>
      <c r="J164" s="2098"/>
      <c r="K164" s="34"/>
      <c r="L164" s="2098"/>
      <c r="M164" s="470"/>
      <c r="N164" s="3861" t="s">
        <v>450</v>
      </c>
      <c r="O164" s="3106"/>
    </row>
    <row r="165" spans="1:15">
      <c r="A165" s="3851"/>
      <c r="B165" s="1587" t="s">
        <v>9</v>
      </c>
      <c r="C165" s="975"/>
      <c r="D165" s="1594">
        <f>+D166</f>
        <v>35819</v>
      </c>
      <c r="E165" s="1222">
        <f t="shared" ref="E165:K165" si="121">E166</f>
        <v>8753</v>
      </c>
      <c r="F165" s="1222">
        <f t="shared" si="121"/>
        <v>27066</v>
      </c>
      <c r="G165" s="1222">
        <f t="shared" si="121"/>
        <v>0</v>
      </c>
      <c r="H165" s="1222">
        <f t="shared" si="121"/>
        <v>0</v>
      </c>
      <c r="I165" s="1222">
        <f t="shared" si="121"/>
        <v>0</v>
      </c>
      <c r="J165" s="1222">
        <f t="shared" si="121"/>
        <v>0</v>
      </c>
      <c r="K165" s="1222">
        <f t="shared" si="121"/>
        <v>0</v>
      </c>
      <c r="L165" s="1222">
        <f>L166</f>
        <v>0</v>
      </c>
      <c r="M165" s="1179">
        <f>M166</f>
        <v>0</v>
      </c>
      <c r="N165" s="3859"/>
      <c r="O165" s="3106"/>
    </row>
    <row r="166" spans="1:15" ht="13.15" customHeight="1">
      <c r="A166" s="3851"/>
      <c r="B166" s="1588" t="s">
        <v>17</v>
      </c>
      <c r="C166" s="3881" t="s">
        <v>341</v>
      </c>
      <c r="D166" s="1187">
        <f>+D167</f>
        <v>35819</v>
      </c>
      <c r="E166" s="1187">
        <f t="shared" ref="E166:K166" si="122">+E167</f>
        <v>8753</v>
      </c>
      <c r="F166" s="1187">
        <f t="shared" si="122"/>
        <v>27066</v>
      </c>
      <c r="G166" s="1187">
        <f t="shared" si="122"/>
        <v>0</v>
      </c>
      <c r="H166" s="1187">
        <f t="shared" si="122"/>
        <v>0</v>
      </c>
      <c r="I166" s="1187">
        <f t="shared" si="122"/>
        <v>0</v>
      </c>
      <c r="J166" s="1187">
        <f t="shared" si="122"/>
        <v>0</v>
      </c>
      <c r="K166" s="1187">
        <f t="shared" si="122"/>
        <v>0</v>
      </c>
      <c r="L166" s="1187">
        <f>+L167</f>
        <v>0</v>
      </c>
      <c r="M166" s="1443">
        <f>+M167</f>
        <v>0</v>
      </c>
      <c r="N166" s="3859"/>
      <c r="O166" s="3106"/>
    </row>
    <row r="167" spans="1:15">
      <c r="A167" s="3851"/>
      <c r="B167" s="1589" t="s">
        <v>19</v>
      </c>
      <c r="C167" s="3882"/>
      <c r="D167" s="1115">
        <f>E167+L167+F167+G167+H167+I167+J167+K167</f>
        <v>35819</v>
      </c>
      <c r="E167" s="1190">
        <f>+E168+E169+E170</f>
        <v>8753</v>
      </c>
      <c r="F167" s="1190">
        <f t="shared" ref="F167:J167" si="123">+F168+F169+F170</f>
        <v>27066</v>
      </c>
      <c r="G167" s="1190">
        <f t="shared" si="123"/>
        <v>0</v>
      </c>
      <c r="H167" s="1190">
        <f t="shared" si="123"/>
        <v>0</v>
      </c>
      <c r="I167" s="1190">
        <f t="shared" si="123"/>
        <v>0</v>
      </c>
      <c r="J167" s="1190">
        <f t="shared" si="123"/>
        <v>0</v>
      </c>
      <c r="K167" s="1190">
        <f t="shared" ref="K167" si="124">+K168+K169</f>
        <v>0</v>
      </c>
      <c r="L167" s="1190"/>
      <c r="M167" s="1441">
        <f>SUM(G167:K167)</f>
        <v>0</v>
      </c>
      <c r="N167" s="3859"/>
      <c r="O167" s="3106"/>
    </row>
    <row r="168" spans="1:15" ht="12" hidden="1" customHeight="1">
      <c r="A168" s="3851"/>
      <c r="B168" s="2096" t="s">
        <v>338</v>
      </c>
      <c r="C168" s="1476"/>
      <c r="D168" s="1197">
        <f>SUM(E168:K168)</f>
        <v>0</v>
      </c>
      <c r="E168" s="1190">
        <f>30000-30000</f>
        <v>0</v>
      </c>
      <c r="F168" s="1190">
        <f>500000-398000-102000</f>
        <v>0</v>
      </c>
      <c r="G168" s="1190">
        <f>100000-49000-51000</f>
        <v>0</v>
      </c>
      <c r="H168" s="1190">
        <f>0+17000-17000</f>
        <v>0</v>
      </c>
      <c r="I168" s="1190">
        <v>0</v>
      </c>
      <c r="J168" s="1190">
        <v>0</v>
      </c>
      <c r="K168" s="1190">
        <v>0</v>
      </c>
      <c r="L168" s="1190">
        <f>30000-30000</f>
        <v>0</v>
      </c>
      <c r="M168" s="1681"/>
      <c r="N168" s="3524"/>
      <c r="O168" s="3108">
        <f>D167-D173</f>
        <v>0</v>
      </c>
    </row>
    <row r="169" spans="1:15" ht="12" hidden="1" customHeight="1">
      <c r="A169" s="3851"/>
      <c r="B169" s="2096" t="s">
        <v>339</v>
      </c>
      <c r="C169" s="3041"/>
      <c r="D169" s="1197">
        <f>SUM(E169:K169)</f>
        <v>0</v>
      </c>
      <c r="E169" s="1190">
        <f>80000-80000</f>
        <v>0</v>
      </c>
      <c r="F169" s="1190">
        <f>130000-130000</f>
        <v>0</v>
      </c>
      <c r="G169" s="1190">
        <f>20000-20000</f>
        <v>0</v>
      </c>
      <c r="H169" s="1190">
        <v>0</v>
      </c>
      <c r="I169" s="1190">
        <v>0</v>
      </c>
      <c r="J169" s="1190">
        <v>0</v>
      </c>
      <c r="K169" s="1190">
        <v>0</v>
      </c>
      <c r="L169" s="1190">
        <f>80000-80000</f>
        <v>0</v>
      </c>
      <c r="M169" s="1681"/>
      <c r="N169" s="3524"/>
      <c r="O169" s="3106"/>
    </row>
    <row r="170" spans="1:15" s="2519" customFormat="1" ht="12" hidden="1" customHeight="1">
      <c r="A170" s="3851"/>
      <c r="B170" s="2096" t="s">
        <v>100</v>
      </c>
      <c r="C170" s="3041"/>
      <c r="D170" s="1197">
        <f>SUM(E170:K170)</f>
        <v>35819</v>
      </c>
      <c r="E170" s="1190">
        <f>30000-21247</f>
        <v>8753</v>
      </c>
      <c r="F170" s="1190">
        <f>0+27123-57</f>
        <v>27066</v>
      </c>
      <c r="G170" s="1190">
        <v>0</v>
      </c>
      <c r="H170" s="1190">
        <v>0</v>
      </c>
      <c r="I170" s="1190">
        <v>0</v>
      </c>
      <c r="J170" s="1190">
        <v>0</v>
      </c>
      <c r="K170" s="1190">
        <v>0</v>
      </c>
      <c r="L170" s="1190"/>
      <c r="M170" s="1681"/>
      <c r="N170" s="3524"/>
      <c r="O170" s="3106"/>
    </row>
    <row r="171" spans="1:15">
      <c r="A171" s="3894"/>
      <c r="B171" s="1587" t="s">
        <v>20</v>
      </c>
      <c r="C171" s="1256"/>
      <c r="D171" s="1442">
        <f>D172</f>
        <v>35819</v>
      </c>
      <c r="E171" s="2800">
        <f>+E172</f>
        <v>0</v>
      </c>
      <c r="F171" s="1442">
        <f>+F172</f>
        <v>35819</v>
      </c>
      <c r="G171" s="1442">
        <f>+G172</f>
        <v>0</v>
      </c>
      <c r="H171" s="1442">
        <f>H172</f>
        <v>0</v>
      </c>
      <c r="I171" s="1442">
        <f>+I172</f>
        <v>0</v>
      </c>
      <c r="J171" s="1442">
        <f>+J172</f>
        <v>0</v>
      </c>
      <c r="K171" s="1442">
        <f>K172</f>
        <v>0</v>
      </c>
      <c r="L171" s="1442">
        <f>+L172</f>
        <v>0</v>
      </c>
      <c r="M171" s="3857" t="s">
        <v>52</v>
      </c>
      <c r="N171" s="3752" t="s">
        <v>338</v>
      </c>
      <c r="O171" s="3106"/>
    </row>
    <row r="172" spans="1:15">
      <c r="A172" s="3894"/>
      <c r="B172" s="1588" t="s">
        <v>17</v>
      </c>
      <c r="C172" s="3883" t="s">
        <v>337</v>
      </c>
      <c r="D172" s="1187">
        <f t="shared" ref="D172:K172" si="125">+D173</f>
        <v>35819</v>
      </c>
      <c r="E172" s="1227">
        <f t="shared" si="125"/>
        <v>0</v>
      </c>
      <c r="F172" s="1187">
        <f t="shared" si="125"/>
        <v>35819</v>
      </c>
      <c r="G172" s="1187">
        <f t="shared" si="125"/>
        <v>0</v>
      </c>
      <c r="H172" s="1187">
        <f t="shared" si="125"/>
        <v>0</v>
      </c>
      <c r="I172" s="1187">
        <f t="shared" si="125"/>
        <v>0</v>
      </c>
      <c r="J172" s="1187">
        <f t="shared" si="125"/>
        <v>0</v>
      </c>
      <c r="K172" s="1187">
        <f t="shared" si="125"/>
        <v>0</v>
      </c>
      <c r="L172" s="1187">
        <f>+L173</f>
        <v>0</v>
      </c>
      <c r="M172" s="3857"/>
      <c r="N172" s="3753"/>
      <c r="O172" s="3106"/>
    </row>
    <row r="173" spans="1:15" ht="13.5" thickBot="1">
      <c r="A173" s="3895"/>
      <c r="B173" s="1679" t="s">
        <v>19</v>
      </c>
      <c r="C173" s="3884"/>
      <c r="D173" s="1636">
        <f>E173+L173+F173+G173+H173+I173+J173+K173</f>
        <v>35819</v>
      </c>
      <c r="E173" s="1909">
        <v>0</v>
      </c>
      <c r="F173" s="1433">
        <f>520000-252124-232000-57</f>
        <v>35819</v>
      </c>
      <c r="G173" s="1433">
        <f>120000-49000-71000</f>
        <v>0</v>
      </c>
      <c r="H173" s="1433">
        <f>0+17000-17000</f>
        <v>0</v>
      </c>
      <c r="I173" s="1433">
        <v>0</v>
      </c>
      <c r="J173" s="1433">
        <v>0</v>
      </c>
      <c r="K173" s="1433">
        <v>0</v>
      </c>
      <c r="L173" s="1433">
        <f>110000+30000-140000</f>
        <v>0</v>
      </c>
      <c r="M173" s="3701"/>
      <c r="N173" s="3754"/>
      <c r="O173" s="3108"/>
    </row>
    <row r="174" spans="1:15" ht="26.25" customHeight="1">
      <c r="A174" s="3893" t="s">
        <v>83</v>
      </c>
      <c r="B174" s="973" t="s">
        <v>402</v>
      </c>
      <c r="C174" s="974" t="s">
        <v>99</v>
      </c>
      <c r="D174" s="915"/>
      <c r="E174" s="2098"/>
      <c r="F174" s="2098"/>
      <c r="G174" s="2098"/>
      <c r="H174" s="2098"/>
      <c r="I174" s="2098"/>
      <c r="J174" s="2098"/>
      <c r="K174" s="34"/>
      <c r="L174" s="2098"/>
      <c r="M174" s="470"/>
      <c r="N174" s="3861" t="s">
        <v>284</v>
      </c>
      <c r="O174" s="3108">
        <f>D175+D193</f>
        <v>1216358</v>
      </c>
    </row>
    <row r="175" spans="1:15" ht="14.25" customHeight="1">
      <c r="A175" s="3851"/>
      <c r="B175" s="1587" t="s">
        <v>9</v>
      </c>
      <c r="C175" s="975"/>
      <c r="D175" s="1594">
        <f>+D176+D183</f>
        <v>1184280</v>
      </c>
      <c r="E175" s="2792">
        <f t="shared" ref="E175:M175" si="126">+E176+E183</f>
        <v>0</v>
      </c>
      <c r="F175" s="1222">
        <f t="shared" si="126"/>
        <v>417230</v>
      </c>
      <c r="G175" s="1222">
        <f t="shared" si="126"/>
        <v>767050</v>
      </c>
      <c r="H175" s="2792">
        <f t="shared" si="126"/>
        <v>0</v>
      </c>
      <c r="I175" s="2792">
        <f t="shared" si="126"/>
        <v>0</v>
      </c>
      <c r="J175" s="2792">
        <f t="shared" si="126"/>
        <v>0</v>
      </c>
      <c r="K175" s="2792">
        <f t="shared" si="126"/>
        <v>0</v>
      </c>
      <c r="L175" s="2792">
        <f>+L176+L183</f>
        <v>0</v>
      </c>
      <c r="M175" s="1179">
        <f t="shared" si="126"/>
        <v>767050</v>
      </c>
      <c r="N175" s="3859"/>
      <c r="O175" s="3106"/>
    </row>
    <row r="176" spans="1:15">
      <c r="A176" s="3851"/>
      <c r="B176" s="1588" t="s">
        <v>22</v>
      </c>
      <c r="C176" s="3891" t="s">
        <v>401</v>
      </c>
      <c r="D176" s="1416">
        <f>+D177+D180</f>
        <v>177642</v>
      </c>
      <c r="E176" s="2793">
        <f t="shared" ref="E176:K176" si="127">+E177+E180</f>
        <v>0</v>
      </c>
      <c r="F176" s="1416">
        <f t="shared" si="127"/>
        <v>62585</v>
      </c>
      <c r="G176" s="1416">
        <f t="shared" si="127"/>
        <v>115057</v>
      </c>
      <c r="H176" s="2793">
        <f t="shared" si="127"/>
        <v>0</v>
      </c>
      <c r="I176" s="2793">
        <f t="shared" si="127"/>
        <v>0</v>
      </c>
      <c r="J176" s="2793">
        <f t="shared" si="127"/>
        <v>0</v>
      </c>
      <c r="K176" s="2793">
        <f t="shared" si="127"/>
        <v>0</v>
      </c>
      <c r="L176" s="2793">
        <f>+L177+L180</f>
        <v>0</v>
      </c>
      <c r="M176" s="1680">
        <f>+M177+M180</f>
        <v>115057</v>
      </c>
      <c r="N176" s="3859"/>
      <c r="O176" s="3106"/>
    </row>
    <row r="177" spans="1:15">
      <c r="A177" s="3851"/>
      <c r="B177" s="1589" t="s">
        <v>11</v>
      </c>
      <c r="C177" s="3892"/>
      <c r="D177" s="1115">
        <f>E177+L177+F177+G177+H177+I177+J177+K177</f>
        <v>54214</v>
      </c>
      <c r="E177" s="2802">
        <v>0</v>
      </c>
      <c r="F177" s="1470">
        <f>F178+F179</f>
        <v>19018</v>
      </c>
      <c r="G177" s="1470">
        <f t="shared" ref="G177:K177" si="128">G178+G179</f>
        <v>35196</v>
      </c>
      <c r="H177" s="2796">
        <f t="shared" si="128"/>
        <v>0</v>
      </c>
      <c r="I177" s="2796">
        <f t="shared" si="128"/>
        <v>0</v>
      </c>
      <c r="J177" s="2796">
        <f t="shared" si="128"/>
        <v>0</v>
      </c>
      <c r="K177" s="2796">
        <f t="shared" si="128"/>
        <v>0</v>
      </c>
      <c r="L177" s="2796">
        <v>0</v>
      </c>
      <c r="M177" s="1441">
        <f>SUM(G177:K177)</f>
        <v>35196</v>
      </c>
      <c r="N177" s="3859"/>
      <c r="O177" s="3106"/>
    </row>
    <row r="178" spans="1:15" s="324" customFormat="1" hidden="1">
      <c r="A178" s="3851"/>
      <c r="B178" s="2803" t="s">
        <v>269</v>
      </c>
      <c r="C178" s="3892"/>
      <c r="D178" s="2797">
        <f>SUM(E178:K178)</f>
        <v>27385</v>
      </c>
      <c r="E178" s="1507">
        <v>0</v>
      </c>
      <c r="F178" s="2798">
        <f>14220-4044</f>
        <v>10176</v>
      </c>
      <c r="G178" s="2798">
        <f>14220+2989</f>
        <v>17209</v>
      </c>
      <c r="H178" s="1507">
        <v>0</v>
      </c>
      <c r="I178" s="1507">
        <v>0</v>
      </c>
      <c r="J178" s="1507">
        <v>0</v>
      </c>
      <c r="K178" s="1507">
        <v>0</v>
      </c>
      <c r="L178" s="2799">
        <v>0</v>
      </c>
      <c r="M178" s="2794">
        <f>SUM(F178:K178)</f>
        <v>27385</v>
      </c>
      <c r="N178" s="3859"/>
      <c r="O178" s="2961"/>
    </row>
    <row r="179" spans="1:15" s="324" customFormat="1" hidden="1">
      <c r="A179" s="3851"/>
      <c r="B179" s="2804" t="s">
        <v>279</v>
      </c>
      <c r="C179" s="3892"/>
      <c r="D179" s="2805">
        <f>SUM(E179:K179)</f>
        <v>26829</v>
      </c>
      <c r="E179" s="2806">
        <v>0</v>
      </c>
      <c r="F179" s="2807">
        <f>14199+1350-6707</f>
        <v>8842</v>
      </c>
      <c r="G179" s="2807">
        <f>10075+150+7762</f>
        <v>17987</v>
      </c>
      <c r="H179" s="2806">
        <v>0</v>
      </c>
      <c r="I179" s="2806">
        <v>0</v>
      </c>
      <c r="J179" s="2806">
        <v>0</v>
      </c>
      <c r="K179" s="2806">
        <v>0</v>
      </c>
      <c r="L179" s="2808">
        <v>0</v>
      </c>
      <c r="M179" s="2794">
        <f>SUM(F179:K179)</f>
        <v>26829</v>
      </c>
      <c r="N179" s="3859"/>
      <c r="O179" s="2961"/>
    </row>
    <row r="180" spans="1:15" s="1508" customFormat="1">
      <c r="A180" s="3851"/>
      <c r="B180" s="2096" t="s">
        <v>12</v>
      </c>
      <c r="C180" s="3892"/>
      <c r="D180" s="1115">
        <f>E180+L180+F180+G180+H180+I180+J180+K180</f>
        <v>123428</v>
      </c>
      <c r="E180" s="2802">
        <v>0</v>
      </c>
      <c r="F180" s="1470">
        <f>F181+F182</f>
        <v>43567</v>
      </c>
      <c r="G180" s="1470">
        <f t="shared" ref="G180:K180" si="129">G181+G182</f>
        <v>79861</v>
      </c>
      <c r="H180" s="2796">
        <f t="shared" si="129"/>
        <v>0</v>
      </c>
      <c r="I180" s="2796">
        <f t="shared" si="129"/>
        <v>0</v>
      </c>
      <c r="J180" s="2796">
        <f t="shared" si="129"/>
        <v>0</v>
      </c>
      <c r="K180" s="2796">
        <f t="shared" si="129"/>
        <v>0</v>
      </c>
      <c r="L180" s="2796">
        <v>0</v>
      </c>
      <c r="M180" s="1441">
        <f>SUM(G180:K180)</f>
        <v>79861</v>
      </c>
      <c r="N180" s="3859"/>
      <c r="O180" s="2961"/>
    </row>
    <row r="181" spans="1:15" s="1508" customFormat="1" hidden="1">
      <c r="A181" s="3851"/>
      <c r="B181" s="2803" t="s">
        <v>269</v>
      </c>
      <c r="C181" s="3892"/>
      <c r="D181" s="2797">
        <f>SUM(E181:K181)</f>
        <v>69770</v>
      </c>
      <c r="E181" s="1507">
        <v>0</v>
      </c>
      <c r="F181" s="2798">
        <f>36896-11013</f>
        <v>25883</v>
      </c>
      <c r="G181" s="2798">
        <f>34984+8903</f>
        <v>43887</v>
      </c>
      <c r="H181" s="1507">
        <v>0</v>
      </c>
      <c r="I181" s="1507">
        <v>0</v>
      </c>
      <c r="J181" s="1507">
        <v>0</v>
      </c>
      <c r="K181" s="1507">
        <v>0</v>
      </c>
      <c r="L181" s="2799">
        <v>0</v>
      </c>
      <c r="M181" s="1441">
        <f t="shared" ref="M181:M182" si="130">SUM(F181:K181)</f>
        <v>69770</v>
      </c>
      <c r="N181" s="3859"/>
      <c r="O181" s="2961"/>
    </row>
    <row r="182" spans="1:15" s="1508" customFormat="1" hidden="1">
      <c r="A182" s="3851"/>
      <c r="B182" s="2804" t="s">
        <v>279</v>
      </c>
      <c r="C182" s="3892"/>
      <c r="D182" s="2805">
        <f>SUM(E182:K182)</f>
        <v>53658</v>
      </c>
      <c r="E182" s="2806">
        <v>0</v>
      </c>
      <c r="F182" s="2807">
        <f>28398+2700-13414</f>
        <v>17684</v>
      </c>
      <c r="G182" s="2807">
        <f>20150+300+15524</f>
        <v>35974</v>
      </c>
      <c r="H182" s="2806">
        <v>0</v>
      </c>
      <c r="I182" s="2806">
        <v>0</v>
      </c>
      <c r="J182" s="2806">
        <v>0</v>
      </c>
      <c r="K182" s="2806">
        <v>0</v>
      </c>
      <c r="L182" s="2808">
        <v>0</v>
      </c>
      <c r="M182" s="1441">
        <f t="shared" si="130"/>
        <v>53658</v>
      </c>
      <c r="N182" s="3859"/>
      <c r="O182" s="2961"/>
    </row>
    <row r="183" spans="1:15">
      <c r="A183" s="3851"/>
      <c r="B183" s="1588" t="s">
        <v>17</v>
      </c>
      <c r="C183" s="3892"/>
      <c r="D183" s="1187">
        <f>+D184</f>
        <v>1006638</v>
      </c>
      <c r="E183" s="1227">
        <f t="shared" ref="E183:K183" si="131">+E184</f>
        <v>0</v>
      </c>
      <c r="F183" s="1187">
        <f t="shared" si="131"/>
        <v>354645</v>
      </c>
      <c r="G183" s="1187">
        <f t="shared" si="131"/>
        <v>651993</v>
      </c>
      <c r="H183" s="1227">
        <f t="shared" si="131"/>
        <v>0</v>
      </c>
      <c r="I183" s="1227">
        <f t="shared" si="131"/>
        <v>0</v>
      </c>
      <c r="J183" s="1227">
        <f t="shared" si="131"/>
        <v>0</v>
      </c>
      <c r="K183" s="1227">
        <f t="shared" si="131"/>
        <v>0</v>
      </c>
      <c r="L183" s="1227">
        <f>+L184</f>
        <v>0</v>
      </c>
      <c r="M183" s="1443">
        <f>+M184</f>
        <v>651993</v>
      </c>
      <c r="N183" s="3859"/>
      <c r="O183" s="3106"/>
    </row>
    <row r="184" spans="1:15">
      <c r="A184" s="3851"/>
      <c r="B184" s="1589" t="s">
        <v>19</v>
      </c>
      <c r="C184" s="3892"/>
      <c r="D184" s="1115">
        <f>E184+L184+F184+G184+H184+I184+J184+K184</f>
        <v>1006638</v>
      </c>
      <c r="E184" s="2802">
        <v>0</v>
      </c>
      <c r="F184" s="1190">
        <f>F185+F186</f>
        <v>354645</v>
      </c>
      <c r="G184" s="1190">
        <f t="shared" ref="G184" si="132">G185+G186</f>
        <v>651993</v>
      </c>
      <c r="H184" s="2246">
        <f t="shared" ref="H184" si="133">H185+H186</f>
        <v>0</v>
      </c>
      <c r="I184" s="2246">
        <f t="shared" ref="I184" si="134">I185+I186</f>
        <v>0</v>
      </c>
      <c r="J184" s="2246">
        <f t="shared" ref="J184" si="135">J185+J186</f>
        <v>0</v>
      </c>
      <c r="K184" s="2246">
        <f t="shared" ref="K184" si="136">K185+K186</f>
        <v>0</v>
      </c>
      <c r="L184" s="2246">
        <v>0</v>
      </c>
      <c r="M184" s="1441">
        <f>SUM(G184:K184)</f>
        <v>651993</v>
      </c>
      <c r="N184" s="3859"/>
      <c r="O184" s="3106"/>
    </row>
    <row r="185" spans="1:15" s="324" customFormat="1" hidden="1">
      <c r="A185" s="3851"/>
      <c r="B185" s="2803" t="s">
        <v>269</v>
      </c>
      <c r="C185" s="2809"/>
      <c r="D185" s="2797">
        <f>SUM(E185:K185)</f>
        <v>550545</v>
      </c>
      <c r="E185" s="1507">
        <v>0</v>
      </c>
      <c r="F185" s="2798">
        <f>289658-85323</f>
        <v>204335</v>
      </c>
      <c r="G185" s="2798">
        <f>278822+67388</f>
        <v>346210</v>
      </c>
      <c r="H185" s="1507">
        <v>0</v>
      </c>
      <c r="I185" s="1507">
        <v>0</v>
      </c>
      <c r="J185" s="1507">
        <v>0</v>
      </c>
      <c r="K185" s="1507">
        <v>0</v>
      </c>
      <c r="L185" s="1507">
        <v>0</v>
      </c>
      <c r="M185" s="2794">
        <f>SUM(F185:K185)</f>
        <v>550545</v>
      </c>
      <c r="N185" s="3859"/>
      <c r="O185" s="2961"/>
    </row>
    <row r="186" spans="1:15" s="324" customFormat="1" hidden="1">
      <c r="A186" s="3851"/>
      <c r="B186" s="2804" t="s">
        <v>279</v>
      </c>
      <c r="C186" s="2810"/>
      <c r="D186" s="2805">
        <f>SUM(E186:K186)</f>
        <v>456093</v>
      </c>
      <c r="E186" s="2806">
        <v>0</v>
      </c>
      <c r="F186" s="2807">
        <f>241383+22950-114023</f>
        <v>150310</v>
      </c>
      <c r="G186" s="2807">
        <f>171275+2550+131958</f>
        <v>305783</v>
      </c>
      <c r="H186" s="2806">
        <v>0</v>
      </c>
      <c r="I186" s="2806">
        <v>0</v>
      </c>
      <c r="J186" s="2806">
        <v>0</v>
      </c>
      <c r="K186" s="2806">
        <v>0</v>
      </c>
      <c r="L186" s="2806">
        <v>0</v>
      </c>
      <c r="M186" s="2794">
        <f>SUM(F186:K186)</f>
        <v>456093</v>
      </c>
      <c r="N186" s="3860"/>
      <c r="O186" s="2961"/>
    </row>
    <row r="187" spans="1:15">
      <c r="A187" s="3894"/>
      <c r="B187" s="1587" t="s">
        <v>20</v>
      </c>
      <c r="C187" s="1587"/>
      <c r="D187" s="1442">
        <f>D190+D188</f>
        <v>1130066</v>
      </c>
      <c r="E187" s="2800">
        <f t="shared" ref="E187:K187" si="137">E190+E188</f>
        <v>0</v>
      </c>
      <c r="F187" s="1442">
        <f t="shared" si="137"/>
        <v>621985</v>
      </c>
      <c r="G187" s="1442">
        <f t="shared" si="137"/>
        <v>508081</v>
      </c>
      <c r="H187" s="2800">
        <f t="shared" si="137"/>
        <v>0</v>
      </c>
      <c r="I187" s="2800">
        <f t="shared" si="137"/>
        <v>0</v>
      </c>
      <c r="J187" s="2800">
        <f t="shared" si="137"/>
        <v>0</v>
      </c>
      <c r="K187" s="2800">
        <f t="shared" si="137"/>
        <v>0</v>
      </c>
      <c r="L187" s="2800">
        <f>L190+L188</f>
        <v>0</v>
      </c>
      <c r="M187" s="3857" t="s">
        <v>52</v>
      </c>
      <c r="N187" s="3752" t="s">
        <v>429</v>
      </c>
      <c r="O187" s="3106"/>
    </row>
    <row r="188" spans="1:15" s="2520" customFormat="1">
      <c r="A188" s="3894"/>
      <c r="B188" s="1595" t="s">
        <v>22</v>
      </c>
      <c r="C188" s="3885" t="s">
        <v>336</v>
      </c>
      <c r="D188" s="1187">
        <f t="shared" ref="D188:K190" si="138">+D189</f>
        <v>123428</v>
      </c>
      <c r="E188" s="1227">
        <f t="shared" si="138"/>
        <v>0</v>
      </c>
      <c r="F188" s="1187">
        <f t="shared" si="138"/>
        <v>67994</v>
      </c>
      <c r="G188" s="1187">
        <f t="shared" si="138"/>
        <v>55434</v>
      </c>
      <c r="H188" s="1227">
        <f t="shared" si="138"/>
        <v>0</v>
      </c>
      <c r="I188" s="1227">
        <f t="shared" si="138"/>
        <v>0</v>
      </c>
      <c r="J188" s="1227">
        <f t="shared" si="138"/>
        <v>0</v>
      </c>
      <c r="K188" s="1227">
        <f t="shared" si="138"/>
        <v>0</v>
      </c>
      <c r="L188" s="1227">
        <f>+L189</f>
        <v>0</v>
      </c>
      <c r="M188" s="3857"/>
      <c r="N188" s="3753"/>
      <c r="O188" s="3143"/>
    </row>
    <row r="189" spans="1:15" s="2520" customFormat="1">
      <c r="A189" s="3894"/>
      <c r="B189" s="2096" t="s">
        <v>12</v>
      </c>
      <c r="C189" s="3887"/>
      <c r="D189" s="1160">
        <f>E189+L189+F189+G189+H189+I189+J189+K189</f>
        <v>123428</v>
      </c>
      <c r="E189" s="1509">
        <v>0</v>
      </c>
      <c r="F189" s="1510">
        <f>65294+2700</f>
        <v>67994</v>
      </c>
      <c r="G189" s="1510">
        <f>55134+300</f>
        <v>55434</v>
      </c>
      <c r="H189" s="1509">
        <v>0</v>
      </c>
      <c r="I189" s="1509">
        <v>0</v>
      </c>
      <c r="J189" s="1509">
        <v>0</v>
      </c>
      <c r="K189" s="1509">
        <v>0</v>
      </c>
      <c r="L189" s="1509">
        <v>0</v>
      </c>
      <c r="M189" s="3857"/>
      <c r="N189" s="3753"/>
      <c r="O189" s="3144">
        <f>D189-D180</f>
        <v>0</v>
      </c>
    </row>
    <row r="190" spans="1:15" ht="12.75" customHeight="1">
      <c r="A190" s="3894"/>
      <c r="B190" s="1588" t="s">
        <v>17</v>
      </c>
      <c r="C190" s="3887"/>
      <c r="D190" s="1489">
        <f t="shared" si="138"/>
        <v>1006638</v>
      </c>
      <c r="E190" s="1227">
        <f t="shared" si="138"/>
        <v>0</v>
      </c>
      <c r="F190" s="1187">
        <f t="shared" si="138"/>
        <v>553991</v>
      </c>
      <c r="G190" s="1187">
        <f t="shared" si="138"/>
        <v>452647</v>
      </c>
      <c r="H190" s="1227">
        <f t="shared" si="138"/>
        <v>0</v>
      </c>
      <c r="I190" s="1227">
        <f t="shared" si="138"/>
        <v>0</v>
      </c>
      <c r="J190" s="1227">
        <f t="shared" si="138"/>
        <v>0</v>
      </c>
      <c r="K190" s="1227">
        <f t="shared" si="138"/>
        <v>0</v>
      </c>
      <c r="L190" s="1227">
        <f>+L191</f>
        <v>0</v>
      </c>
      <c r="M190" s="3857"/>
      <c r="N190" s="3753"/>
      <c r="O190" s="3106"/>
    </row>
    <row r="191" spans="1:15" ht="13.5" thickBot="1">
      <c r="A191" s="3895"/>
      <c r="B191" s="1679" t="s">
        <v>19</v>
      </c>
      <c r="C191" s="3886"/>
      <c r="D191" s="1636">
        <f>E191+L191+F191+G191+H191+I191+J191+K191</f>
        <v>1006638</v>
      </c>
      <c r="E191" s="1909">
        <v>0</v>
      </c>
      <c r="F191" s="1433">
        <f>531041+22950</f>
        <v>553991</v>
      </c>
      <c r="G191" s="1433">
        <f>450097+2550</f>
        <v>452647</v>
      </c>
      <c r="H191" s="1434">
        <v>0</v>
      </c>
      <c r="I191" s="1434">
        <v>0</v>
      </c>
      <c r="J191" s="1434">
        <v>0</v>
      </c>
      <c r="K191" s="1434">
        <v>0</v>
      </c>
      <c r="L191" s="1434">
        <v>0</v>
      </c>
      <c r="M191" s="3701"/>
      <c r="N191" s="3754"/>
      <c r="O191" s="3108">
        <f>D191-D184</f>
        <v>0</v>
      </c>
    </row>
    <row r="192" spans="1:15" ht="35.25" customHeight="1" thickBot="1">
      <c r="A192" s="3889" t="s">
        <v>84</v>
      </c>
      <c r="B192" s="973" t="s">
        <v>403</v>
      </c>
      <c r="C192" s="974" t="s">
        <v>72</v>
      </c>
      <c r="D192" s="915"/>
      <c r="E192" s="2098"/>
      <c r="F192" s="2098"/>
      <c r="G192" s="2098"/>
      <c r="H192" s="2098"/>
      <c r="I192" s="2098"/>
      <c r="J192" s="2098"/>
      <c r="K192" s="34"/>
      <c r="L192" s="2098"/>
      <c r="M192" s="470"/>
      <c r="N192" s="3861" t="s">
        <v>279</v>
      </c>
      <c r="O192" s="3106"/>
    </row>
    <row r="193" spans="1:15" ht="13.5" thickBot="1">
      <c r="A193" s="3890"/>
      <c r="B193" s="1587" t="s">
        <v>9</v>
      </c>
      <c r="C193" s="975"/>
      <c r="D193" s="1594">
        <f t="shared" ref="D193:M193" si="139">+D194+D197</f>
        <v>32078</v>
      </c>
      <c r="E193" s="2792">
        <f t="shared" si="139"/>
        <v>0</v>
      </c>
      <c r="F193" s="1222">
        <f t="shared" si="139"/>
        <v>32078</v>
      </c>
      <c r="G193" s="2792">
        <f t="shared" si="139"/>
        <v>0</v>
      </c>
      <c r="H193" s="2792">
        <f t="shared" si="139"/>
        <v>0</v>
      </c>
      <c r="I193" s="2792">
        <f t="shared" si="139"/>
        <v>0</v>
      </c>
      <c r="J193" s="2792">
        <f t="shared" si="139"/>
        <v>0</v>
      </c>
      <c r="K193" s="2792">
        <f t="shared" si="139"/>
        <v>0</v>
      </c>
      <c r="L193" s="2792">
        <f>+L194+L197</f>
        <v>0</v>
      </c>
      <c r="M193" s="1179">
        <f t="shared" si="139"/>
        <v>0</v>
      </c>
      <c r="N193" s="3859"/>
      <c r="O193" s="3106"/>
    </row>
    <row r="194" spans="1:15" ht="13.5" thickBot="1">
      <c r="A194" s="3890"/>
      <c r="B194" s="1588" t="s">
        <v>22</v>
      </c>
      <c r="C194" s="3891" t="s">
        <v>404</v>
      </c>
      <c r="D194" s="1416">
        <f t="shared" ref="D194:K194" si="140">+D195+D196</f>
        <v>4811</v>
      </c>
      <c r="E194" s="2793">
        <f t="shared" si="140"/>
        <v>0</v>
      </c>
      <c r="F194" s="1416">
        <f t="shared" si="140"/>
        <v>4811</v>
      </c>
      <c r="G194" s="2793">
        <f t="shared" si="140"/>
        <v>0</v>
      </c>
      <c r="H194" s="2793">
        <f t="shared" si="140"/>
        <v>0</v>
      </c>
      <c r="I194" s="2793">
        <f t="shared" si="140"/>
        <v>0</v>
      </c>
      <c r="J194" s="2793">
        <f t="shared" si="140"/>
        <v>0</v>
      </c>
      <c r="K194" s="2793">
        <f t="shared" si="140"/>
        <v>0</v>
      </c>
      <c r="L194" s="2793">
        <f>+L195+L196</f>
        <v>0</v>
      </c>
      <c r="M194" s="1680">
        <f>+M195+M196</f>
        <v>0</v>
      </c>
      <c r="N194" s="3859"/>
      <c r="O194" s="3106"/>
    </row>
    <row r="195" spans="1:15" ht="13.5" thickBot="1">
      <c r="A195" s="3890"/>
      <c r="B195" s="1589" t="s">
        <v>11</v>
      </c>
      <c r="C195" s="3892"/>
      <c r="D195" s="1115">
        <f>E195+L195+F195+G195+H195+I195+J195+K195</f>
        <v>1604</v>
      </c>
      <c r="E195" s="2802">
        <v>0</v>
      </c>
      <c r="F195" s="1470">
        <f>2975-1275-96</f>
        <v>1604</v>
      </c>
      <c r="G195" s="2796">
        <v>0</v>
      </c>
      <c r="H195" s="2796">
        <v>0</v>
      </c>
      <c r="I195" s="2796">
        <v>0</v>
      </c>
      <c r="J195" s="2796">
        <v>0</v>
      </c>
      <c r="K195" s="2796">
        <v>0</v>
      </c>
      <c r="L195" s="2796">
        <v>0</v>
      </c>
      <c r="M195" s="1441">
        <f>SUM(G195:K195)</f>
        <v>0</v>
      </c>
      <c r="N195" s="3859"/>
      <c r="O195" s="3106"/>
    </row>
    <row r="196" spans="1:15" s="1508" customFormat="1" ht="13.5" thickBot="1">
      <c r="A196" s="3890"/>
      <c r="B196" s="2096" t="s">
        <v>12</v>
      </c>
      <c r="C196" s="3892"/>
      <c r="D196" s="1115">
        <f>E196+L196+F196+G196+H196+I196+J196+K196</f>
        <v>3207</v>
      </c>
      <c r="E196" s="2802">
        <v>0</v>
      </c>
      <c r="F196" s="1470">
        <f>5950-2550-193</f>
        <v>3207</v>
      </c>
      <c r="G196" s="2796">
        <v>0</v>
      </c>
      <c r="H196" s="2796">
        <v>0</v>
      </c>
      <c r="I196" s="2796">
        <v>0</v>
      </c>
      <c r="J196" s="2796">
        <v>0</v>
      </c>
      <c r="K196" s="2796">
        <v>0</v>
      </c>
      <c r="L196" s="2796">
        <v>0</v>
      </c>
      <c r="M196" s="1441">
        <f>SUM(G196:K196)</f>
        <v>0</v>
      </c>
      <c r="N196" s="3859"/>
      <c r="O196" s="2961"/>
    </row>
    <row r="197" spans="1:15" ht="13.5" thickBot="1">
      <c r="A197" s="3890"/>
      <c r="B197" s="1588" t="s">
        <v>17</v>
      </c>
      <c r="C197" s="3892"/>
      <c r="D197" s="1187">
        <f>+D198</f>
        <v>27267</v>
      </c>
      <c r="E197" s="1227">
        <f t="shared" ref="E197:K197" si="141">+E198</f>
        <v>0</v>
      </c>
      <c r="F197" s="1187">
        <f t="shared" si="141"/>
        <v>27267</v>
      </c>
      <c r="G197" s="1227">
        <f t="shared" si="141"/>
        <v>0</v>
      </c>
      <c r="H197" s="1227">
        <f t="shared" si="141"/>
        <v>0</v>
      </c>
      <c r="I197" s="1227">
        <f t="shared" si="141"/>
        <v>0</v>
      </c>
      <c r="J197" s="1227">
        <f t="shared" si="141"/>
        <v>0</v>
      </c>
      <c r="K197" s="1227">
        <f t="shared" si="141"/>
        <v>0</v>
      </c>
      <c r="L197" s="1227">
        <f>+L198</f>
        <v>0</v>
      </c>
      <c r="M197" s="1443">
        <f>+M198</f>
        <v>0</v>
      </c>
      <c r="N197" s="3859"/>
      <c r="O197" s="3106"/>
    </row>
    <row r="198" spans="1:15" ht="13.5" thickBot="1">
      <c r="A198" s="3890"/>
      <c r="B198" s="1589" t="s">
        <v>19</v>
      </c>
      <c r="C198" s="3892"/>
      <c r="D198" s="1115">
        <f>E198+L198+F198+G198+H198+I198+J198+K198</f>
        <v>27267</v>
      </c>
      <c r="E198" s="2802">
        <v>0</v>
      </c>
      <c r="F198" s="1190">
        <f>50575-21675-1633</f>
        <v>27267</v>
      </c>
      <c r="G198" s="2246">
        <v>0</v>
      </c>
      <c r="H198" s="2246">
        <v>0</v>
      </c>
      <c r="I198" s="2246">
        <v>0</v>
      </c>
      <c r="J198" s="2246">
        <v>0</v>
      </c>
      <c r="K198" s="2246">
        <v>0</v>
      </c>
      <c r="L198" s="2246">
        <v>0</v>
      </c>
      <c r="M198" s="1441">
        <f>SUM(G198:K198)</f>
        <v>0</v>
      </c>
      <c r="N198" s="3859"/>
      <c r="O198" s="3106"/>
    </row>
    <row r="199" spans="1:15" ht="13.5" thickBot="1">
      <c r="A199" s="3890"/>
      <c r="B199" s="1587" t="s">
        <v>20</v>
      </c>
      <c r="C199" s="1587"/>
      <c r="D199" s="1442">
        <f>D202+D200</f>
        <v>30474</v>
      </c>
      <c r="E199" s="2800">
        <f t="shared" ref="E199" si="142">E202+E200</f>
        <v>0</v>
      </c>
      <c r="F199" s="1442">
        <f t="shared" ref="F199" si="143">F202+F200</f>
        <v>30474</v>
      </c>
      <c r="G199" s="2800">
        <f t="shared" ref="G199" si="144">G202+G200</f>
        <v>0</v>
      </c>
      <c r="H199" s="2800">
        <f t="shared" ref="H199" si="145">H202+H200</f>
        <v>0</v>
      </c>
      <c r="I199" s="2800">
        <f t="shared" ref="I199" si="146">I202+I200</f>
        <v>0</v>
      </c>
      <c r="J199" s="2800">
        <f t="shared" ref="J199" si="147">J202+J200</f>
        <v>0</v>
      </c>
      <c r="K199" s="2800">
        <f t="shared" ref="K199" si="148">K202+K200</f>
        <v>0</v>
      </c>
      <c r="L199" s="2800">
        <f t="shared" ref="L199" si="149">L202+L200</f>
        <v>0</v>
      </c>
      <c r="M199" s="3857" t="s">
        <v>52</v>
      </c>
      <c r="N199" s="3752" t="s">
        <v>429</v>
      </c>
      <c r="O199" s="3106"/>
    </row>
    <row r="200" spans="1:15" s="2520" customFormat="1" ht="13.5" thickBot="1">
      <c r="A200" s="3890"/>
      <c r="B200" s="1595" t="s">
        <v>22</v>
      </c>
      <c r="C200" s="3885" t="s">
        <v>336</v>
      </c>
      <c r="D200" s="1187">
        <f t="shared" ref="D200:K202" si="150">+D201</f>
        <v>3207</v>
      </c>
      <c r="E200" s="1227">
        <f t="shared" si="150"/>
        <v>0</v>
      </c>
      <c r="F200" s="1187">
        <f t="shared" si="150"/>
        <v>3207</v>
      </c>
      <c r="G200" s="1227">
        <f t="shared" si="150"/>
        <v>0</v>
      </c>
      <c r="H200" s="1227">
        <f t="shared" si="150"/>
        <v>0</v>
      </c>
      <c r="I200" s="1227">
        <f t="shared" si="150"/>
        <v>0</v>
      </c>
      <c r="J200" s="1227">
        <f t="shared" si="150"/>
        <v>0</v>
      </c>
      <c r="K200" s="1227">
        <f t="shared" si="150"/>
        <v>0</v>
      </c>
      <c r="L200" s="1227">
        <f>+L201</f>
        <v>0</v>
      </c>
      <c r="M200" s="3857"/>
      <c r="N200" s="3753"/>
      <c r="O200" s="3143"/>
    </row>
    <row r="201" spans="1:15" s="2520" customFormat="1" ht="13.5" thickBot="1">
      <c r="A201" s="3890"/>
      <c r="B201" s="2096" t="s">
        <v>12</v>
      </c>
      <c r="C201" s="3887"/>
      <c r="D201" s="1160">
        <f>E201+L201+F201+G201+H201+I201+J201+K201</f>
        <v>3207</v>
      </c>
      <c r="E201" s="1509">
        <v>0</v>
      </c>
      <c r="F201" s="1510">
        <f>5950-2550-193</f>
        <v>3207</v>
      </c>
      <c r="G201" s="3145">
        <v>0</v>
      </c>
      <c r="H201" s="3145">
        <v>0</v>
      </c>
      <c r="I201" s="3145">
        <v>0</v>
      </c>
      <c r="J201" s="3145">
        <v>0</v>
      </c>
      <c r="K201" s="3145">
        <v>0</v>
      </c>
      <c r="L201" s="1509">
        <v>0</v>
      </c>
      <c r="M201" s="3857"/>
      <c r="N201" s="3753"/>
      <c r="O201" s="3144">
        <f>D201-D196</f>
        <v>0</v>
      </c>
    </row>
    <row r="202" spans="1:15" ht="12.75" customHeight="1" thickBot="1">
      <c r="A202" s="3890"/>
      <c r="B202" s="1588" t="s">
        <v>17</v>
      </c>
      <c r="C202" s="3887"/>
      <c r="D202" s="1489">
        <f t="shared" si="150"/>
        <v>27267</v>
      </c>
      <c r="E202" s="1227">
        <f t="shared" si="150"/>
        <v>0</v>
      </c>
      <c r="F202" s="1187">
        <f t="shared" si="150"/>
        <v>27267</v>
      </c>
      <c r="G202" s="1227">
        <f t="shared" si="150"/>
        <v>0</v>
      </c>
      <c r="H202" s="1227">
        <f t="shared" si="150"/>
        <v>0</v>
      </c>
      <c r="I202" s="1227">
        <f t="shared" si="150"/>
        <v>0</v>
      </c>
      <c r="J202" s="1227">
        <f t="shared" si="150"/>
        <v>0</v>
      </c>
      <c r="K202" s="1227">
        <f t="shared" si="150"/>
        <v>0</v>
      </c>
      <c r="L202" s="1227">
        <f>+L203</f>
        <v>0</v>
      </c>
      <c r="M202" s="3857"/>
      <c r="N202" s="3753"/>
      <c r="O202" s="3106"/>
    </row>
    <row r="203" spans="1:15" ht="13.5" thickBot="1">
      <c r="A203" s="3890"/>
      <c r="B203" s="1679" t="s">
        <v>19</v>
      </c>
      <c r="C203" s="3886"/>
      <c r="D203" s="1636">
        <f>E203+L203+F203+G203+H203+I203+J203+K203</f>
        <v>27267</v>
      </c>
      <c r="E203" s="1909">
        <v>0</v>
      </c>
      <c r="F203" s="1433">
        <f>50575-21675-1633</f>
        <v>27267</v>
      </c>
      <c r="G203" s="1434">
        <v>0</v>
      </c>
      <c r="H203" s="1434">
        <v>0</v>
      </c>
      <c r="I203" s="1434">
        <v>0</v>
      </c>
      <c r="J203" s="1434">
        <v>0</v>
      </c>
      <c r="K203" s="1434">
        <v>0</v>
      </c>
      <c r="L203" s="1434">
        <v>0</v>
      </c>
      <c r="M203" s="3701"/>
      <c r="N203" s="3754"/>
      <c r="O203" s="3108">
        <f>D203-D198</f>
        <v>0</v>
      </c>
    </row>
    <row r="204" spans="1:15" s="2521" customFormat="1" ht="25.5" customHeight="1" thickBot="1">
      <c r="A204" s="3890" t="s">
        <v>85</v>
      </c>
      <c r="B204" s="973" t="s">
        <v>426</v>
      </c>
      <c r="C204" s="974" t="s">
        <v>99</v>
      </c>
      <c r="D204" s="915"/>
      <c r="E204" s="2098"/>
      <c r="F204" s="2098"/>
      <c r="G204" s="2098"/>
      <c r="H204" s="2098"/>
      <c r="I204" s="2098"/>
      <c r="J204" s="2098"/>
      <c r="K204" s="34"/>
      <c r="L204" s="2098"/>
      <c r="M204" s="470"/>
      <c r="N204" s="3861" t="s">
        <v>284</v>
      </c>
      <c r="O204" s="3108"/>
    </row>
    <row r="205" spans="1:15" s="2521" customFormat="1" ht="13.5" thickBot="1">
      <c r="A205" s="3890"/>
      <c r="B205" s="1587" t="s">
        <v>9</v>
      </c>
      <c r="C205" s="975"/>
      <c r="D205" s="1594">
        <f>+D206+D213</f>
        <v>828175</v>
      </c>
      <c r="E205" s="2792">
        <f t="shared" ref="E205:M205" si="151">+E206+E213</f>
        <v>0</v>
      </c>
      <c r="F205" s="1222">
        <f t="shared" si="151"/>
        <v>311139</v>
      </c>
      <c r="G205" s="1222">
        <f t="shared" si="151"/>
        <v>517036</v>
      </c>
      <c r="H205" s="2792">
        <f t="shared" si="151"/>
        <v>0</v>
      </c>
      <c r="I205" s="2792">
        <f t="shared" si="151"/>
        <v>0</v>
      </c>
      <c r="J205" s="2792">
        <f t="shared" si="151"/>
        <v>0</v>
      </c>
      <c r="K205" s="2792">
        <f t="shared" si="151"/>
        <v>0</v>
      </c>
      <c r="L205" s="2792">
        <f>+L206+L213</f>
        <v>0</v>
      </c>
      <c r="M205" s="1179">
        <f t="shared" si="151"/>
        <v>517036</v>
      </c>
      <c r="N205" s="3859"/>
      <c r="O205" s="3108"/>
    </row>
    <row r="206" spans="1:15" s="2521" customFormat="1" ht="13.5" thickBot="1">
      <c r="A206" s="3890"/>
      <c r="B206" s="1588" t="s">
        <v>22</v>
      </c>
      <c r="C206" s="3891" t="s">
        <v>416</v>
      </c>
      <c r="D206" s="1416">
        <f>+D207+D210</f>
        <v>124226</v>
      </c>
      <c r="E206" s="2793">
        <f t="shared" ref="E206:K206" si="152">+E207+E210</f>
        <v>0</v>
      </c>
      <c r="F206" s="1416">
        <f t="shared" si="152"/>
        <v>46682</v>
      </c>
      <c r="G206" s="1416">
        <f t="shared" si="152"/>
        <v>77544</v>
      </c>
      <c r="H206" s="2793">
        <f t="shared" si="152"/>
        <v>0</v>
      </c>
      <c r="I206" s="2793">
        <f t="shared" si="152"/>
        <v>0</v>
      </c>
      <c r="J206" s="2793">
        <f t="shared" si="152"/>
        <v>0</v>
      </c>
      <c r="K206" s="2793">
        <f t="shared" si="152"/>
        <v>0</v>
      </c>
      <c r="L206" s="2793">
        <f>+L207+L210</f>
        <v>0</v>
      </c>
      <c r="M206" s="1680">
        <f>+M207+M210</f>
        <v>77544</v>
      </c>
      <c r="N206" s="3859"/>
      <c r="O206" s="3108"/>
    </row>
    <row r="207" spans="1:15" s="2521" customFormat="1" ht="13.5" thickBot="1">
      <c r="A207" s="3890"/>
      <c r="B207" s="1589" t="s">
        <v>11</v>
      </c>
      <c r="C207" s="3892"/>
      <c r="D207" s="1115">
        <f>E207+L207+F207+G207+H207+I207+J207+K207</f>
        <v>41409</v>
      </c>
      <c r="E207" s="2802">
        <v>0</v>
      </c>
      <c r="F207" s="1470">
        <f>F208+F209</f>
        <v>15557</v>
      </c>
      <c r="G207" s="1470">
        <f t="shared" ref="G207:K207" si="153">G208+G209</f>
        <v>25852</v>
      </c>
      <c r="H207" s="2796">
        <f t="shared" si="153"/>
        <v>0</v>
      </c>
      <c r="I207" s="2796">
        <f t="shared" si="153"/>
        <v>0</v>
      </c>
      <c r="J207" s="2796">
        <f t="shared" si="153"/>
        <v>0</v>
      </c>
      <c r="K207" s="2796">
        <f t="shared" si="153"/>
        <v>0</v>
      </c>
      <c r="L207" s="2796">
        <v>0</v>
      </c>
      <c r="M207" s="1441">
        <f>SUM(G207:K207)</f>
        <v>25852</v>
      </c>
      <c r="N207" s="3859"/>
      <c r="O207" s="3108"/>
    </row>
    <row r="208" spans="1:15" s="2521" customFormat="1" ht="13.5" hidden="1" thickBot="1">
      <c r="A208" s="3890"/>
      <c r="B208" s="2803" t="s">
        <v>269</v>
      </c>
      <c r="C208" s="3892"/>
      <c r="D208" s="2797">
        <f>SUM(E208:K208)</f>
        <v>16432</v>
      </c>
      <c r="E208" s="1507">
        <v>0</v>
      </c>
      <c r="F208" s="2798">
        <f>7931-1224</f>
        <v>6707</v>
      </c>
      <c r="G208" s="2798">
        <f>8501+1224</f>
        <v>9725</v>
      </c>
      <c r="H208" s="1507">
        <v>0</v>
      </c>
      <c r="I208" s="1507">
        <v>0</v>
      </c>
      <c r="J208" s="1507">
        <v>0</v>
      </c>
      <c r="K208" s="1507">
        <v>0</v>
      </c>
      <c r="L208" s="2799">
        <v>0</v>
      </c>
      <c r="M208" s="2794">
        <f>SUM(F208:K208)</f>
        <v>16432</v>
      </c>
      <c r="N208" s="3859"/>
      <c r="O208" s="3108"/>
    </row>
    <row r="209" spans="1:15" s="2521" customFormat="1" ht="13.5" hidden="1" thickBot="1">
      <c r="A209" s="3890"/>
      <c r="B209" s="2804" t="s">
        <v>279</v>
      </c>
      <c r="C209" s="3892"/>
      <c r="D209" s="2805">
        <f>SUM(E209:K209)</f>
        <v>24977</v>
      </c>
      <c r="E209" s="2806">
        <v>0</v>
      </c>
      <c r="F209" s="2807">
        <f>12424-3574</f>
        <v>8850</v>
      </c>
      <c r="G209" s="2807">
        <f>12553+3574</f>
        <v>16127</v>
      </c>
      <c r="H209" s="2806">
        <v>0</v>
      </c>
      <c r="I209" s="2806">
        <v>0</v>
      </c>
      <c r="J209" s="2806">
        <v>0</v>
      </c>
      <c r="K209" s="2806">
        <v>0</v>
      </c>
      <c r="L209" s="2808">
        <v>0</v>
      </c>
      <c r="M209" s="2794">
        <f>SUM(F209:K209)</f>
        <v>24977</v>
      </c>
      <c r="N209" s="3859"/>
      <c r="O209" s="3108"/>
    </row>
    <row r="210" spans="1:15" s="2521" customFormat="1" ht="13.5" thickBot="1">
      <c r="A210" s="3890"/>
      <c r="B210" s="2096" t="s">
        <v>12</v>
      </c>
      <c r="C210" s="3892"/>
      <c r="D210" s="1115">
        <f>E210+L210+F210+G210+H210+I210+J210+K210</f>
        <v>82817</v>
      </c>
      <c r="E210" s="2802">
        <v>0</v>
      </c>
      <c r="F210" s="1470">
        <f>F211+F212</f>
        <v>31125</v>
      </c>
      <c r="G210" s="1470">
        <f t="shared" ref="G210:K210" si="154">G211+G212</f>
        <v>51692</v>
      </c>
      <c r="H210" s="2796">
        <f t="shared" si="154"/>
        <v>0</v>
      </c>
      <c r="I210" s="2796">
        <f t="shared" si="154"/>
        <v>0</v>
      </c>
      <c r="J210" s="2796">
        <f t="shared" si="154"/>
        <v>0</v>
      </c>
      <c r="K210" s="2796">
        <f t="shared" si="154"/>
        <v>0</v>
      </c>
      <c r="L210" s="2796">
        <v>0</v>
      </c>
      <c r="M210" s="1441">
        <f>SUM(G210:K210)</f>
        <v>51692</v>
      </c>
      <c r="N210" s="3859"/>
      <c r="O210" s="3108"/>
    </row>
    <row r="211" spans="1:15" s="2521" customFormat="1" ht="13.5" hidden="1" thickBot="1">
      <c r="A211" s="3890"/>
      <c r="B211" s="2803" t="s">
        <v>269</v>
      </c>
      <c r="C211" s="3892"/>
      <c r="D211" s="2797">
        <f>SUM(E211:K211)</f>
        <v>32863</v>
      </c>
      <c r="E211" s="1507">
        <v>0</v>
      </c>
      <c r="F211" s="2798">
        <f>15862-2443</f>
        <v>13419</v>
      </c>
      <c r="G211" s="2798">
        <f>17001+2443</f>
        <v>19444</v>
      </c>
      <c r="H211" s="1507">
        <v>0</v>
      </c>
      <c r="I211" s="1507">
        <v>0</v>
      </c>
      <c r="J211" s="1507">
        <v>0</v>
      </c>
      <c r="K211" s="1507">
        <v>0</v>
      </c>
      <c r="L211" s="2799">
        <v>0</v>
      </c>
      <c r="M211" s="1441">
        <f t="shared" ref="M211:M212" si="155">SUM(F211:K211)</f>
        <v>32863</v>
      </c>
      <c r="N211" s="3859"/>
      <c r="O211" s="3108"/>
    </row>
    <row r="212" spans="1:15" s="2521" customFormat="1" ht="13.5" hidden="1" thickBot="1">
      <c r="A212" s="3890"/>
      <c r="B212" s="2804" t="s">
        <v>279</v>
      </c>
      <c r="C212" s="3892"/>
      <c r="D212" s="2805">
        <f>SUM(E212:K212)</f>
        <v>49954</v>
      </c>
      <c r="E212" s="2806">
        <v>0</v>
      </c>
      <c r="F212" s="2807">
        <f>24848-7142</f>
        <v>17706</v>
      </c>
      <c r="G212" s="2807">
        <f>25106+7142</f>
        <v>32248</v>
      </c>
      <c r="H212" s="2806">
        <v>0</v>
      </c>
      <c r="I212" s="2806">
        <v>0</v>
      </c>
      <c r="J212" s="2806">
        <v>0</v>
      </c>
      <c r="K212" s="2806">
        <v>0</v>
      </c>
      <c r="L212" s="2808">
        <v>0</v>
      </c>
      <c r="M212" s="1441">
        <f t="shared" si="155"/>
        <v>49954</v>
      </c>
      <c r="N212" s="3859"/>
      <c r="O212" s="3108"/>
    </row>
    <row r="213" spans="1:15" s="2521" customFormat="1" ht="13.5" thickBot="1">
      <c r="A213" s="3890"/>
      <c r="B213" s="1588" t="s">
        <v>17</v>
      </c>
      <c r="C213" s="3892"/>
      <c r="D213" s="1187">
        <f>+D214</f>
        <v>703949</v>
      </c>
      <c r="E213" s="1227">
        <f t="shared" ref="E213:K213" si="156">+E214</f>
        <v>0</v>
      </c>
      <c r="F213" s="1187">
        <f t="shared" si="156"/>
        <v>264457</v>
      </c>
      <c r="G213" s="1187">
        <f t="shared" si="156"/>
        <v>439492</v>
      </c>
      <c r="H213" s="1227">
        <f t="shared" si="156"/>
        <v>0</v>
      </c>
      <c r="I213" s="1227">
        <f t="shared" si="156"/>
        <v>0</v>
      </c>
      <c r="J213" s="1227">
        <f t="shared" si="156"/>
        <v>0</v>
      </c>
      <c r="K213" s="1227">
        <f t="shared" si="156"/>
        <v>0</v>
      </c>
      <c r="L213" s="1227">
        <f>+L214</f>
        <v>0</v>
      </c>
      <c r="M213" s="1443">
        <f>+M214</f>
        <v>439492</v>
      </c>
      <c r="N213" s="3859"/>
      <c r="O213" s="3108"/>
    </row>
    <row r="214" spans="1:15" s="2521" customFormat="1" ht="13.5" thickBot="1">
      <c r="A214" s="3890"/>
      <c r="B214" s="1589" t="s">
        <v>19</v>
      </c>
      <c r="C214" s="3892"/>
      <c r="D214" s="1115">
        <f>E214+L214+F214+G214+H214+I214+J214+K214</f>
        <v>703949</v>
      </c>
      <c r="E214" s="2802">
        <v>0</v>
      </c>
      <c r="F214" s="1190">
        <f>F215+F216</f>
        <v>264457</v>
      </c>
      <c r="G214" s="1190">
        <f t="shared" ref="G214:K214" si="157">G215+G216</f>
        <v>439492</v>
      </c>
      <c r="H214" s="2246">
        <f t="shared" si="157"/>
        <v>0</v>
      </c>
      <c r="I214" s="2246">
        <f t="shared" si="157"/>
        <v>0</v>
      </c>
      <c r="J214" s="2246">
        <f t="shared" si="157"/>
        <v>0</v>
      </c>
      <c r="K214" s="2246">
        <f t="shared" si="157"/>
        <v>0</v>
      </c>
      <c r="L214" s="2246">
        <v>0</v>
      </c>
      <c r="M214" s="1441">
        <f>SUM(G214:K214)</f>
        <v>439492</v>
      </c>
      <c r="N214" s="3859"/>
      <c r="O214" s="3108"/>
    </row>
    <row r="215" spans="1:15" s="2521" customFormat="1" ht="13.5" hidden="1" thickBot="1">
      <c r="A215" s="3890"/>
      <c r="B215" s="2803" t="s">
        <v>269</v>
      </c>
      <c r="C215" s="2809"/>
      <c r="D215" s="2797">
        <f>SUM(E215:K215)</f>
        <v>279340</v>
      </c>
      <c r="E215" s="1507">
        <v>0</v>
      </c>
      <c r="F215" s="2798">
        <f>134827-20811</f>
        <v>114016</v>
      </c>
      <c r="G215" s="2798">
        <f>144513+20811</f>
        <v>165324</v>
      </c>
      <c r="H215" s="1507">
        <v>0</v>
      </c>
      <c r="I215" s="1507">
        <v>0</v>
      </c>
      <c r="J215" s="1507">
        <v>0</v>
      </c>
      <c r="K215" s="1507">
        <v>0</v>
      </c>
      <c r="L215" s="1507">
        <v>0</v>
      </c>
      <c r="M215" s="2794">
        <f>SUM(F215:K215)</f>
        <v>279340</v>
      </c>
      <c r="N215" s="3859"/>
      <c r="O215" s="3108"/>
    </row>
    <row r="216" spans="1:15" s="2521" customFormat="1" ht="13.5" hidden="1" thickBot="1">
      <c r="A216" s="3890"/>
      <c r="B216" s="2804" t="s">
        <v>279</v>
      </c>
      <c r="C216" s="2810"/>
      <c r="D216" s="2805">
        <f>SUM(E216:K216)</f>
        <v>424609</v>
      </c>
      <c r="E216" s="2806">
        <v>0</v>
      </c>
      <c r="F216" s="2807">
        <f>211208-60767</f>
        <v>150441</v>
      </c>
      <c r="G216" s="2807">
        <f>213401+60767</f>
        <v>274168</v>
      </c>
      <c r="H216" s="2806">
        <v>0</v>
      </c>
      <c r="I216" s="2806">
        <v>0</v>
      </c>
      <c r="J216" s="2806">
        <v>0</v>
      </c>
      <c r="K216" s="2806">
        <v>0</v>
      </c>
      <c r="L216" s="2806">
        <v>0</v>
      </c>
      <c r="M216" s="2794">
        <f>SUM(F216:K216)</f>
        <v>424609</v>
      </c>
      <c r="N216" s="3860"/>
      <c r="O216" s="3108"/>
    </row>
    <row r="217" spans="1:15" s="2521" customFormat="1" ht="13.5" thickBot="1">
      <c r="A217" s="3945"/>
      <c r="B217" s="1587" t="s">
        <v>20</v>
      </c>
      <c r="C217" s="1587"/>
      <c r="D217" s="1442">
        <f>D220+D218</f>
        <v>786766</v>
      </c>
      <c r="E217" s="2800">
        <f t="shared" ref="E217:K217" si="158">E220+E218</f>
        <v>0</v>
      </c>
      <c r="F217" s="1442">
        <f t="shared" si="158"/>
        <v>306983</v>
      </c>
      <c r="G217" s="1442">
        <f t="shared" si="158"/>
        <v>479783</v>
      </c>
      <c r="H217" s="2800">
        <f t="shared" si="158"/>
        <v>0</v>
      </c>
      <c r="I217" s="2800">
        <f t="shared" si="158"/>
        <v>0</v>
      </c>
      <c r="J217" s="2800">
        <f t="shared" si="158"/>
        <v>0</v>
      </c>
      <c r="K217" s="2800">
        <f t="shared" si="158"/>
        <v>0</v>
      </c>
      <c r="L217" s="2800">
        <f>L220+L218</f>
        <v>0</v>
      </c>
      <c r="M217" s="3701" t="s">
        <v>52</v>
      </c>
      <c r="N217" s="3944" t="s">
        <v>415</v>
      </c>
      <c r="O217" s="3108"/>
    </row>
    <row r="218" spans="1:15" s="2521" customFormat="1" ht="13.5" thickBot="1">
      <c r="A218" s="3945"/>
      <c r="B218" s="1595" t="s">
        <v>22</v>
      </c>
      <c r="C218" s="3946" t="s">
        <v>336</v>
      </c>
      <c r="D218" s="1187">
        <f t="shared" ref="D218:K220" si="159">+D219</f>
        <v>82817</v>
      </c>
      <c r="E218" s="1227">
        <f t="shared" si="159"/>
        <v>0</v>
      </c>
      <c r="F218" s="1187">
        <f t="shared" si="159"/>
        <v>32325</v>
      </c>
      <c r="G218" s="1187">
        <f t="shared" si="159"/>
        <v>50492</v>
      </c>
      <c r="H218" s="1227">
        <f t="shared" si="159"/>
        <v>0</v>
      </c>
      <c r="I218" s="1227">
        <f t="shared" si="159"/>
        <v>0</v>
      </c>
      <c r="J218" s="1227">
        <f t="shared" si="159"/>
        <v>0</v>
      </c>
      <c r="K218" s="1227">
        <f t="shared" si="159"/>
        <v>0</v>
      </c>
      <c r="L218" s="1227">
        <f>+L219</f>
        <v>0</v>
      </c>
      <c r="M218" s="3702"/>
      <c r="N218" s="3763"/>
      <c r="O218" s="3108"/>
    </row>
    <row r="219" spans="1:15" s="2521" customFormat="1" ht="13.5" thickBot="1">
      <c r="A219" s="3945"/>
      <c r="B219" s="2096" t="s">
        <v>12</v>
      </c>
      <c r="C219" s="3947"/>
      <c r="D219" s="1160">
        <f>E219+L219+F219+G219+H219+I219+J219+K219</f>
        <v>82817</v>
      </c>
      <c r="E219" s="1509">
        <v>0</v>
      </c>
      <c r="F219" s="1510">
        <f>40710-8385</f>
        <v>32325</v>
      </c>
      <c r="G219" s="1510">
        <f>42107+8385</f>
        <v>50492</v>
      </c>
      <c r="H219" s="1509">
        <v>0</v>
      </c>
      <c r="I219" s="1509">
        <v>0</v>
      </c>
      <c r="J219" s="1509">
        <v>0</v>
      </c>
      <c r="K219" s="1509">
        <v>0</v>
      </c>
      <c r="L219" s="1509">
        <v>0</v>
      </c>
      <c r="M219" s="3702"/>
      <c r="N219" s="3763"/>
      <c r="O219" s="3108">
        <f>D219-D210</f>
        <v>0</v>
      </c>
    </row>
    <row r="220" spans="1:15" s="2521" customFormat="1" ht="13.5" thickBot="1">
      <c r="A220" s="3945"/>
      <c r="B220" s="1588" t="s">
        <v>17</v>
      </c>
      <c r="C220" s="3947"/>
      <c r="D220" s="1489">
        <f t="shared" si="159"/>
        <v>703949</v>
      </c>
      <c r="E220" s="1227">
        <f t="shared" si="159"/>
        <v>0</v>
      </c>
      <c r="F220" s="1187">
        <f t="shared" si="159"/>
        <v>274658</v>
      </c>
      <c r="G220" s="1187">
        <f t="shared" si="159"/>
        <v>429291</v>
      </c>
      <c r="H220" s="1227">
        <f t="shared" si="159"/>
        <v>0</v>
      </c>
      <c r="I220" s="1227">
        <f t="shared" si="159"/>
        <v>0</v>
      </c>
      <c r="J220" s="1227">
        <f t="shared" si="159"/>
        <v>0</v>
      </c>
      <c r="K220" s="1227">
        <f t="shared" si="159"/>
        <v>0</v>
      </c>
      <c r="L220" s="1227">
        <f>+L221</f>
        <v>0</v>
      </c>
      <c r="M220" s="3702"/>
      <c r="N220" s="3763"/>
      <c r="O220" s="3108"/>
    </row>
    <row r="221" spans="1:15" s="2521" customFormat="1" ht="13.5" thickBot="1">
      <c r="A221" s="3945"/>
      <c r="B221" s="1679" t="s">
        <v>19</v>
      </c>
      <c r="C221" s="3947"/>
      <c r="D221" s="1636">
        <f>E221+L221+F221+G221+H221+I221+J221+K221</f>
        <v>703949</v>
      </c>
      <c r="E221" s="1909">
        <v>0</v>
      </c>
      <c r="F221" s="1433">
        <f>346035-71377</f>
        <v>274658</v>
      </c>
      <c r="G221" s="1433">
        <f>357914+71377</f>
        <v>429291</v>
      </c>
      <c r="H221" s="1434">
        <v>0</v>
      </c>
      <c r="I221" s="1434">
        <v>0</v>
      </c>
      <c r="J221" s="1434">
        <v>0</v>
      </c>
      <c r="K221" s="1434">
        <v>0</v>
      </c>
      <c r="L221" s="1434">
        <v>0</v>
      </c>
      <c r="M221" s="3702"/>
      <c r="N221" s="3763"/>
      <c r="O221" s="3108">
        <f>D221-D214</f>
        <v>0</v>
      </c>
    </row>
    <row r="222" spans="1:15" s="2521" customFormat="1" ht="28.5" customHeight="1" thickBot="1">
      <c r="A222" s="3850" t="s">
        <v>86</v>
      </c>
      <c r="B222" s="973" t="s">
        <v>424</v>
      </c>
      <c r="C222" s="974" t="s">
        <v>99</v>
      </c>
      <c r="D222" s="915"/>
      <c r="E222" s="2098"/>
      <c r="F222" s="2098"/>
      <c r="G222" s="2098"/>
      <c r="H222" s="2098"/>
      <c r="I222" s="2098"/>
      <c r="J222" s="2098"/>
      <c r="K222" s="34"/>
      <c r="L222" s="2098"/>
      <c r="M222" s="470"/>
      <c r="N222" s="3863" t="s">
        <v>284</v>
      </c>
      <c r="O222" s="3108"/>
    </row>
    <row r="223" spans="1:15" s="2521" customFormat="1" ht="13.5" thickBot="1">
      <c r="A223" s="3851"/>
      <c r="B223" s="1587" t="s">
        <v>9</v>
      </c>
      <c r="C223" s="975"/>
      <c r="D223" s="1594">
        <f t="shared" ref="D223:M223" si="160">+D224+D228</f>
        <v>10175942</v>
      </c>
      <c r="E223" s="2792">
        <f t="shared" si="160"/>
        <v>0</v>
      </c>
      <c r="F223" s="1222">
        <f t="shared" si="160"/>
        <v>455533</v>
      </c>
      <c r="G223" s="1222">
        <f t="shared" si="160"/>
        <v>4216779</v>
      </c>
      <c r="H223" s="1222">
        <f t="shared" si="160"/>
        <v>2739330</v>
      </c>
      <c r="I223" s="1222">
        <f t="shared" si="160"/>
        <v>2327050</v>
      </c>
      <c r="J223" s="1222">
        <f t="shared" si="160"/>
        <v>437250</v>
      </c>
      <c r="K223" s="2792">
        <f t="shared" si="160"/>
        <v>0</v>
      </c>
      <c r="L223" s="2792">
        <f>+L224+L228</f>
        <v>0</v>
      </c>
      <c r="M223" s="1179">
        <f t="shared" si="160"/>
        <v>9720409</v>
      </c>
      <c r="N223" s="3863"/>
      <c r="O223" s="3108"/>
    </row>
    <row r="224" spans="1:15" s="2521" customFormat="1" ht="13.5" thickBot="1">
      <c r="A224" s="3851"/>
      <c r="B224" s="1588" t="s">
        <v>22</v>
      </c>
      <c r="C224" s="3891" t="s">
        <v>281</v>
      </c>
      <c r="D224" s="1416">
        <f>+D225</f>
        <v>1599658</v>
      </c>
      <c r="E224" s="2793">
        <f t="shared" ref="E224:K224" si="161">+E225</f>
        <v>0</v>
      </c>
      <c r="F224" s="1416">
        <f t="shared" si="161"/>
        <v>71610</v>
      </c>
      <c r="G224" s="1416">
        <f t="shared" si="161"/>
        <v>662877</v>
      </c>
      <c r="H224" s="1416">
        <f t="shared" si="161"/>
        <v>430623</v>
      </c>
      <c r="I224" s="1416">
        <f t="shared" si="161"/>
        <v>365812</v>
      </c>
      <c r="J224" s="1416">
        <f t="shared" si="161"/>
        <v>68736</v>
      </c>
      <c r="K224" s="2793">
        <f t="shared" si="161"/>
        <v>0</v>
      </c>
      <c r="L224" s="2793">
        <f>+L225</f>
        <v>0</v>
      </c>
      <c r="M224" s="1680">
        <f>+M225</f>
        <v>1528048</v>
      </c>
      <c r="N224" s="3863"/>
      <c r="O224" s="3108"/>
    </row>
    <row r="225" spans="1:15" s="2521" customFormat="1" ht="13.5" thickBot="1">
      <c r="A225" s="3851"/>
      <c r="B225" s="2096" t="s">
        <v>12</v>
      </c>
      <c r="C225" s="3892"/>
      <c r="D225" s="1115">
        <f>E225+L225+F225+G225+H225+I225+J225+K225</f>
        <v>1599658</v>
      </c>
      <c r="E225" s="2802">
        <v>0</v>
      </c>
      <c r="F225" s="1470">
        <f>F226+F227</f>
        <v>71610</v>
      </c>
      <c r="G225" s="1470">
        <f t="shared" ref="G225:K225" si="162">G226+G227</f>
        <v>662877</v>
      </c>
      <c r="H225" s="1470">
        <f t="shared" si="162"/>
        <v>430623</v>
      </c>
      <c r="I225" s="1470">
        <f t="shared" si="162"/>
        <v>365812</v>
      </c>
      <c r="J225" s="1470">
        <f t="shared" si="162"/>
        <v>68736</v>
      </c>
      <c r="K225" s="2796">
        <f t="shared" si="162"/>
        <v>0</v>
      </c>
      <c r="L225" s="2796">
        <v>0</v>
      </c>
      <c r="M225" s="1441">
        <f>SUM(G225:K225)</f>
        <v>1528048</v>
      </c>
      <c r="N225" s="3863"/>
      <c r="O225" s="3108">
        <f>D225-D234</f>
        <v>0</v>
      </c>
    </row>
    <row r="226" spans="1:15" s="2521" customFormat="1" ht="13.5" hidden="1" thickBot="1">
      <c r="A226" s="3851"/>
      <c r="B226" s="2803" t="s">
        <v>269</v>
      </c>
      <c r="C226" s="3892"/>
      <c r="D226" s="2797">
        <f>SUM(E226:K226)</f>
        <v>157767</v>
      </c>
      <c r="E226" s="1507">
        <v>0</v>
      </c>
      <c r="F226" s="2798">
        <f>14831-218</f>
        <v>14613</v>
      </c>
      <c r="G226" s="2798">
        <f>54829+218</f>
        <v>55047</v>
      </c>
      <c r="H226" s="2798">
        <v>41576</v>
      </c>
      <c r="I226" s="2798">
        <v>37625</v>
      </c>
      <c r="J226" s="2798">
        <v>8906</v>
      </c>
      <c r="K226" s="1507">
        <v>0</v>
      </c>
      <c r="L226" s="2799">
        <v>0</v>
      </c>
      <c r="M226" s="1441">
        <f t="shared" ref="M226:M227" si="163">SUM(F226:K226)</f>
        <v>157767</v>
      </c>
      <c r="N226" s="3863"/>
      <c r="O226" s="3108"/>
    </row>
    <row r="227" spans="1:15" s="2521" customFormat="1" ht="13.5" hidden="1" thickBot="1">
      <c r="A227" s="3851"/>
      <c r="B227" s="2804" t="s">
        <v>279</v>
      </c>
      <c r="C227" s="3892"/>
      <c r="D227" s="2805">
        <f>SUM(E227:K227)</f>
        <v>1441891</v>
      </c>
      <c r="E227" s="2806">
        <v>0</v>
      </c>
      <c r="F227" s="2807">
        <f>71629-14632</f>
        <v>56997</v>
      </c>
      <c r="G227" s="2807">
        <f>593198+14632</f>
        <v>607830</v>
      </c>
      <c r="H227" s="2807">
        <v>389047</v>
      </c>
      <c r="I227" s="2807">
        <v>328187</v>
      </c>
      <c r="J227" s="2807">
        <v>59830</v>
      </c>
      <c r="K227" s="2806">
        <v>0</v>
      </c>
      <c r="L227" s="2808">
        <v>0</v>
      </c>
      <c r="M227" s="1441">
        <f t="shared" si="163"/>
        <v>1441891</v>
      </c>
      <c r="N227" s="3863"/>
      <c r="O227" s="3108"/>
    </row>
    <row r="228" spans="1:15" s="2521" customFormat="1" ht="13.5" thickBot="1">
      <c r="A228" s="3851"/>
      <c r="B228" s="1588" t="s">
        <v>17</v>
      </c>
      <c r="C228" s="3892"/>
      <c r="D228" s="1187">
        <f>+D229</f>
        <v>8576284</v>
      </c>
      <c r="E228" s="1227">
        <f t="shared" ref="E228:K228" si="164">+E229</f>
        <v>0</v>
      </c>
      <c r="F228" s="1187">
        <f t="shared" si="164"/>
        <v>383923</v>
      </c>
      <c r="G228" s="1187">
        <f t="shared" si="164"/>
        <v>3553902</v>
      </c>
      <c r="H228" s="1187">
        <f t="shared" si="164"/>
        <v>2308707</v>
      </c>
      <c r="I228" s="1187">
        <f t="shared" si="164"/>
        <v>1961238</v>
      </c>
      <c r="J228" s="1187">
        <f t="shared" si="164"/>
        <v>368514</v>
      </c>
      <c r="K228" s="1227">
        <f t="shared" si="164"/>
        <v>0</v>
      </c>
      <c r="L228" s="1227">
        <f>+L229</f>
        <v>0</v>
      </c>
      <c r="M228" s="1443">
        <f>+M229</f>
        <v>8192361</v>
      </c>
      <c r="N228" s="3863"/>
      <c r="O228" s="3108"/>
    </row>
    <row r="229" spans="1:15" s="2521" customFormat="1" ht="13.5" thickBot="1">
      <c r="A229" s="3851"/>
      <c r="B229" s="1589" t="s">
        <v>19</v>
      </c>
      <c r="C229" s="3892"/>
      <c r="D229" s="1115">
        <f>E229+L229+F229+G229+H229+I229+J229+K229</f>
        <v>8576284</v>
      </c>
      <c r="E229" s="2802">
        <v>0</v>
      </c>
      <c r="F229" s="1190">
        <f>F230+F231</f>
        <v>383923</v>
      </c>
      <c r="G229" s="1190">
        <f t="shared" ref="G229:K229" si="165">G230+G231</f>
        <v>3553902</v>
      </c>
      <c r="H229" s="1190">
        <f t="shared" si="165"/>
        <v>2308707</v>
      </c>
      <c r="I229" s="1190">
        <f t="shared" si="165"/>
        <v>1961238</v>
      </c>
      <c r="J229" s="1190">
        <f t="shared" si="165"/>
        <v>368514</v>
      </c>
      <c r="K229" s="2246">
        <f t="shared" si="165"/>
        <v>0</v>
      </c>
      <c r="L229" s="2246">
        <v>0</v>
      </c>
      <c r="M229" s="1441">
        <f>SUM(G229:K229)</f>
        <v>8192361</v>
      </c>
      <c r="N229" s="3863"/>
      <c r="O229" s="3108">
        <f>D229-D236</f>
        <v>0</v>
      </c>
    </row>
    <row r="230" spans="1:15" s="2521" customFormat="1" ht="13.5" hidden="1" thickBot="1">
      <c r="A230" s="3851"/>
      <c r="B230" s="2803" t="s">
        <v>269</v>
      </c>
      <c r="C230" s="2809"/>
      <c r="D230" s="2797">
        <f>SUM(E230:K230)</f>
        <v>845836</v>
      </c>
      <c r="E230" s="1507">
        <v>0</v>
      </c>
      <c r="F230" s="2798">
        <f>79510-1163</f>
        <v>78347</v>
      </c>
      <c r="G230" s="2798">
        <f>293952+1163</f>
        <v>295115</v>
      </c>
      <c r="H230" s="2798">
        <v>222904</v>
      </c>
      <c r="I230" s="2798">
        <v>201723</v>
      </c>
      <c r="J230" s="2798">
        <v>47747</v>
      </c>
      <c r="K230" s="1507">
        <v>0</v>
      </c>
      <c r="L230" s="1507">
        <v>0</v>
      </c>
      <c r="M230" s="2794">
        <f>SUM(F230:K230)</f>
        <v>845836</v>
      </c>
      <c r="N230" s="3863"/>
      <c r="O230" s="3108"/>
    </row>
    <row r="231" spans="1:15" s="2521" customFormat="1" hidden="1">
      <c r="A231" s="3851"/>
      <c r="B231" s="2804" t="s">
        <v>279</v>
      </c>
      <c r="C231" s="2810"/>
      <c r="D231" s="2805">
        <f>SUM(E231:K231)</f>
        <v>7730448</v>
      </c>
      <c r="E231" s="2806">
        <v>0</v>
      </c>
      <c r="F231" s="2807">
        <f>384030-78454</f>
        <v>305576</v>
      </c>
      <c r="G231" s="2807">
        <f>3180333+78454</f>
        <v>3258787</v>
      </c>
      <c r="H231" s="2807">
        <v>2085803</v>
      </c>
      <c r="I231" s="2807">
        <v>1759515</v>
      </c>
      <c r="J231" s="2807">
        <v>320767</v>
      </c>
      <c r="K231" s="2806">
        <v>0</v>
      </c>
      <c r="L231" s="2806">
        <v>0</v>
      </c>
      <c r="M231" s="2794">
        <f>SUM(F231:K231)</f>
        <v>7730448</v>
      </c>
      <c r="N231" s="3864"/>
      <c r="O231" s="3108"/>
    </row>
    <row r="232" spans="1:15" s="2521" customFormat="1">
      <c r="A232" s="3894"/>
      <c r="B232" s="1587" t="s">
        <v>20</v>
      </c>
      <c r="C232" s="1587"/>
      <c r="D232" s="1442">
        <f>D235+D233</f>
        <v>10175942</v>
      </c>
      <c r="E232" s="2800">
        <f t="shared" ref="E232:K232" si="166">E235+E233</f>
        <v>0</v>
      </c>
      <c r="F232" s="1442">
        <f t="shared" si="166"/>
        <v>550000</v>
      </c>
      <c r="G232" s="1442">
        <f t="shared" si="166"/>
        <v>4122312</v>
      </c>
      <c r="H232" s="1442">
        <f t="shared" si="166"/>
        <v>2739330</v>
      </c>
      <c r="I232" s="1442">
        <f t="shared" si="166"/>
        <v>2327050</v>
      </c>
      <c r="J232" s="1442">
        <f t="shared" si="166"/>
        <v>437250</v>
      </c>
      <c r="K232" s="2800">
        <f t="shared" si="166"/>
        <v>0</v>
      </c>
      <c r="L232" s="2800">
        <f>L235+L233</f>
        <v>0</v>
      </c>
      <c r="M232" s="3857" t="s">
        <v>52</v>
      </c>
      <c r="N232" s="3752" t="s">
        <v>279</v>
      </c>
      <c r="O232" s="3108"/>
    </row>
    <row r="233" spans="1:15" s="2521" customFormat="1">
      <c r="A233" s="3894"/>
      <c r="B233" s="1595" t="s">
        <v>22</v>
      </c>
      <c r="C233" s="3885" t="s">
        <v>417</v>
      </c>
      <c r="D233" s="1187">
        <f t="shared" ref="D233:K235" si="167">+D234</f>
        <v>1599658</v>
      </c>
      <c r="E233" s="1227">
        <f t="shared" si="167"/>
        <v>0</v>
      </c>
      <c r="F233" s="1187">
        <f t="shared" si="167"/>
        <v>86460</v>
      </c>
      <c r="G233" s="1187">
        <f t="shared" si="167"/>
        <v>648027</v>
      </c>
      <c r="H233" s="1187">
        <f t="shared" si="167"/>
        <v>430623</v>
      </c>
      <c r="I233" s="1187">
        <f t="shared" si="167"/>
        <v>365812</v>
      </c>
      <c r="J233" s="1187">
        <f t="shared" si="167"/>
        <v>68736</v>
      </c>
      <c r="K233" s="1227">
        <f t="shared" si="167"/>
        <v>0</v>
      </c>
      <c r="L233" s="1227">
        <f>+L234</f>
        <v>0</v>
      </c>
      <c r="M233" s="3857"/>
      <c r="N233" s="3753"/>
      <c r="O233" s="3108"/>
    </row>
    <row r="234" spans="1:15" s="2521" customFormat="1">
      <c r="A234" s="3894"/>
      <c r="B234" s="2096" t="s">
        <v>12</v>
      </c>
      <c r="C234" s="3887"/>
      <c r="D234" s="1160">
        <f>E234+L234+F234+G234+H234+I234+J234+K234</f>
        <v>1599658</v>
      </c>
      <c r="E234" s="1509">
        <v>0</v>
      </c>
      <c r="F234" s="1510">
        <v>86460</v>
      </c>
      <c r="G234" s="1510">
        <v>648027</v>
      </c>
      <c r="H234" s="1510">
        <v>430623</v>
      </c>
      <c r="I234" s="1510">
        <v>365812</v>
      </c>
      <c r="J234" s="1510">
        <v>68736</v>
      </c>
      <c r="K234" s="1509">
        <v>0</v>
      </c>
      <c r="L234" s="1509">
        <v>0</v>
      </c>
      <c r="M234" s="3857"/>
      <c r="N234" s="3753"/>
      <c r="O234" s="3108"/>
    </row>
    <row r="235" spans="1:15" s="2521" customFormat="1">
      <c r="A235" s="3894"/>
      <c r="B235" s="1588" t="s">
        <v>17</v>
      </c>
      <c r="C235" s="3887"/>
      <c r="D235" s="1489">
        <f t="shared" si="167"/>
        <v>8576284</v>
      </c>
      <c r="E235" s="1227">
        <f t="shared" si="167"/>
        <v>0</v>
      </c>
      <c r="F235" s="1187">
        <f t="shared" si="167"/>
        <v>463540</v>
      </c>
      <c r="G235" s="1187">
        <f t="shared" si="167"/>
        <v>3474285</v>
      </c>
      <c r="H235" s="1187">
        <f t="shared" si="167"/>
        <v>2308707</v>
      </c>
      <c r="I235" s="1187">
        <f t="shared" si="167"/>
        <v>1961238</v>
      </c>
      <c r="J235" s="1187">
        <f t="shared" si="167"/>
        <v>368514</v>
      </c>
      <c r="K235" s="1227">
        <f t="shared" si="167"/>
        <v>0</v>
      </c>
      <c r="L235" s="1227">
        <f>+L236</f>
        <v>0</v>
      </c>
      <c r="M235" s="3857"/>
      <c r="N235" s="3753"/>
      <c r="O235" s="3108"/>
    </row>
    <row r="236" spans="1:15" s="2521" customFormat="1" ht="13.5" thickBot="1">
      <c r="A236" s="3895"/>
      <c r="B236" s="1679" t="s">
        <v>19</v>
      </c>
      <c r="C236" s="3886"/>
      <c r="D236" s="1636">
        <f>E236+L236+F236+G236+H236+I236+J236+K236</f>
        <v>8576284</v>
      </c>
      <c r="E236" s="1909">
        <v>0</v>
      </c>
      <c r="F236" s="1433">
        <v>463540</v>
      </c>
      <c r="G236" s="1433">
        <v>3474285</v>
      </c>
      <c r="H236" s="1433">
        <v>2308707</v>
      </c>
      <c r="I236" s="1433">
        <v>1961238</v>
      </c>
      <c r="J236" s="1433">
        <v>368514</v>
      </c>
      <c r="K236" s="1434">
        <v>0</v>
      </c>
      <c r="L236" s="1434">
        <v>0</v>
      </c>
      <c r="M236" s="3701"/>
      <c r="N236" s="3754"/>
      <c r="O236" s="3108"/>
    </row>
    <row r="237" spans="1:15" s="2521" customFormat="1" ht="14.25" customHeight="1">
      <c r="A237" s="3850" t="s">
        <v>87</v>
      </c>
      <c r="B237" s="973" t="s">
        <v>425</v>
      </c>
      <c r="C237" s="974" t="s">
        <v>99</v>
      </c>
      <c r="D237" s="915"/>
      <c r="E237" s="2098"/>
      <c r="F237" s="2098"/>
      <c r="G237" s="2098"/>
      <c r="H237" s="2098"/>
      <c r="I237" s="2098"/>
      <c r="J237" s="2098"/>
      <c r="K237" s="34"/>
      <c r="L237" s="2098"/>
      <c r="M237" s="470"/>
      <c r="N237" s="3896" t="s">
        <v>284</v>
      </c>
      <c r="O237" s="3108"/>
    </row>
    <row r="238" spans="1:15" s="2521" customFormat="1">
      <c r="A238" s="3851"/>
      <c r="B238" s="1587" t="s">
        <v>9</v>
      </c>
      <c r="C238" s="975"/>
      <c r="D238" s="1594">
        <f>+D239+D246</f>
        <v>3546922</v>
      </c>
      <c r="E238" s="2792">
        <f t="shared" ref="E238:M238" si="168">+E239+E246</f>
        <v>0</v>
      </c>
      <c r="F238" s="1222">
        <f t="shared" si="168"/>
        <v>1133912</v>
      </c>
      <c r="G238" s="1222">
        <f t="shared" si="168"/>
        <v>1207224</v>
      </c>
      <c r="H238" s="1222">
        <f t="shared" si="168"/>
        <v>1205786</v>
      </c>
      <c r="I238" s="2792">
        <f t="shared" si="168"/>
        <v>0</v>
      </c>
      <c r="J238" s="2792">
        <f t="shared" si="168"/>
        <v>0</v>
      </c>
      <c r="K238" s="2792">
        <f t="shared" si="168"/>
        <v>0</v>
      </c>
      <c r="L238" s="2792">
        <f>+L239+L246</f>
        <v>0</v>
      </c>
      <c r="M238" s="1179">
        <f t="shared" si="168"/>
        <v>2413010</v>
      </c>
      <c r="N238" s="3897"/>
      <c r="O238" s="3108"/>
    </row>
    <row r="239" spans="1:15" s="2521" customFormat="1" ht="12.75" customHeight="1">
      <c r="A239" s="3851"/>
      <c r="B239" s="1588" t="s">
        <v>22</v>
      </c>
      <c r="C239" s="3891" t="s">
        <v>416</v>
      </c>
      <c r="D239" s="1416">
        <f>+D240+D243</f>
        <v>532038</v>
      </c>
      <c r="E239" s="2793">
        <f t="shared" ref="E239:K239" si="169">+E240+E243</f>
        <v>0</v>
      </c>
      <c r="F239" s="1416">
        <f t="shared" si="169"/>
        <v>170087</v>
      </c>
      <c r="G239" s="1416">
        <f t="shared" si="169"/>
        <v>181083</v>
      </c>
      <c r="H239" s="1416">
        <f t="shared" si="169"/>
        <v>180868</v>
      </c>
      <c r="I239" s="2793">
        <f t="shared" si="169"/>
        <v>0</v>
      </c>
      <c r="J239" s="2793">
        <f t="shared" si="169"/>
        <v>0</v>
      </c>
      <c r="K239" s="2793">
        <f t="shared" si="169"/>
        <v>0</v>
      </c>
      <c r="L239" s="2793">
        <f>+L240+L243</f>
        <v>0</v>
      </c>
      <c r="M239" s="1680">
        <f>+M240+M243</f>
        <v>361951</v>
      </c>
      <c r="N239" s="3897"/>
      <c r="O239" s="3108"/>
    </row>
    <row r="240" spans="1:15" s="2521" customFormat="1">
      <c r="A240" s="3851"/>
      <c r="B240" s="1589" t="s">
        <v>11</v>
      </c>
      <c r="C240" s="3892"/>
      <c r="D240" s="1115">
        <f>E240+L240+F240+G240+H240+I240+J240+K240</f>
        <v>177346</v>
      </c>
      <c r="E240" s="2802">
        <v>0</v>
      </c>
      <c r="F240" s="1470">
        <f>F241+F242</f>
        <v>56696</v>
      </c>
      <c r="G240" s="1470">
        <f t="shared" ref="G240:K240" si="170">G241+G242</f>
        <v>60361</v>
      </c>
      <c r="H240" s="1470">
        <f t="shared" si="170"/>
        <v>60289</v>
      </c>
      <c r="I240" s="2796">
        <f t="shared" si="170"/>
        <v>0</v>
      </c>
      <c r="J240" s="2796">
        <f t="shared" si="170"/>
        <v>0</v>
      </c>
      <c r="K240" s="2796">
        <f t="shared" si="170"/>
        <v>0</v>
      </c>
      <c r="L240" s="2796">
        <v>0</v>
      </c>
      <c r="M240" s="1441">
        <f>SUM(G240:K240)</f>
        <v>120650</v>
      </c>
      <c r="N240" s="3897"/>
      <c r="O240" s="3108"/>
    </row>
    <row r="241" spans="1:15" s="2521" customFormat="1" hidden="1">
      <c r="A241" s="3851"/>
      <c r="B241" s="2803" t="s">
        <v>269</v>
      </c>
      <c r="C241" s="3892"/>
      <c r="D241" s="2797">
        <f>SUM(E241:K241)</f>
        <v>61066</v>
      </c>
      <c r="E241" s="1507">
        <v>0</v>
      </c>
      <c r="F241" s="2798">
        <v>19284</v>
      </c>
      <c r="G241" s="2798">
        <v>20891</v>
      </c>
      <c r="H241" s="2798">
        <v>20891</v>
      </c>
      <c r="I241" s="1507">
        <v>0</v>
      </c>
      <c r="J241" s="1507">
        <v>0</v>
      </c>
      <c r="K241" s="1507">
        <v>0</v>
      </c>
      <c r="L241" s="2799">
        <v>0</v>
      </c>
      <c r="M241" s="2794">
        <f>SUM(F241:K241)</f>
        <v>61066</v>
      </c>
      <c r="N241" s="3897"/>
      <c r="O241" s="3108"/>
    </row>
    <row r="242" spans="1:15" s="2521" customFormat="1" hidden="1">
      <c r="A242" s="3851"/>
      <c r="B242" s="2804" t="s">
        <v>279</v>
      </c>
      <c r="C242" s="3892"/>
      <c r="D242" s="2805">
        <f>SUM(E242:K242)</f>
        <v>116280</v>
      </c>
      <c r="E242" s="2806">
        <v>0</v>
      </c>
      <c r="F242" s="2807">
        <v>37412</v>
      </c>
      <c r="G242" s="2807">
        <v>39470</v>
      </c>
      <c r="H242" s="2807">
        <v>39398</v>
      </c>
      <c r="I242" s="2806">
        <v>0</v>
      </c>
      <c r="J242" s="2806">
        <v>0</v>
      </c>
      <c r="K242" s="2806">
        <v>0</v>
      </c>
      <c r="L242" s="2808">
        <v>0</v>
      </c>
      <c r="M242" s="2794">
        <f>SUM(F242:K242)</f>
        <v>116280</v>
      </c>
      <c r="N242" s="3897"/>
      <c r="O242" s="3108"/>
    </row>
    <row r="243" spans="1:15" s="2521" customFormat="1">
      <c r="A243" s="3851"/>
      <c r="B243" s="2096" t="s">
        <v>12</v>
      </c>
      <c r="C243" s="3892"/>
      <c r="D243" s="1115">
        <f>E243+L243+F243+G243+H243+I243+J243+K243</f>
        <v>354692</v>
      </c>
      <c r="E243" s="2802">
        <v>0</v>
      </c>
      <c r="F243" s="1470">
        <f>F244+F245</f>
        <v>113391</v>
      </c>
      <c r="G243" s="1470">
        <f t="shared" ref="G243:K243" si="171">G244+G245</f>
        <v>120722</v>
      </c>
      <c r="H243" s="1470">
        <f t="shared" si="171"/>
        <v>120579</v>
      </c>
      <c r="I243" s="2796">
        <f t="shared" si="171"/>
        <v>0</v>
      </c>
      <c r="J243" s="2796">
        <f t="shared" si="171"/>
        <v>0</v>
      </c>
      <c r="K243" s="2796">
        <f t="shared" si="171"/>
        <v>0</v>
      </c>
      <c r="L243" s="2796">
        <v>0</v>
      </c>
      <c r="M243" s="1441">
        <f>SUM(G243:K243)</f>
        <v>241301</v>
      </c>
      <c r="N243" s="3897"/>
      <c r="O243" s="3108">
        <f>D243-D252</f>
        <v>0</v>
      </c>
    </row>
    <row r="244" spans="1:15" s="2521" customFormat="1" hidden="1">
      <c r="A244" s="3851"/>
      <c r="B244" s="2803" t="s">
        <v>269</v>
      </c>
      <c r="C244" s="3892"/>
      <c r="D244" s="2797">
        <f>SUM(E244:K244)</f>
        <v>122132</v>
      </c>
      <c r="E244" s="1507">
        <v>0</v>
      </c>
      <c r="F244" s="2798">
        <v>38568</v>
      </c>
      <c r="G244" s="2798">
        <v>41782</v>
      </c>
      <c r="H244" s="2798">
        <v>41782</v>
      </c>
      <c r="I244" s="1507">
        <v>0</v>
      </c>
      <c r="J244" s="1507">
        <v>0</v>
      </c>
      <c r="K244" s="1507">
        <v>0</v>
      </c>
      <c r="L244" s="2799">
        <v>0</v>
      </c>
      <c r="M244" s="1441">
        <f t="shared" ref="M244:M245" si="172">SUM(F244:K244)</f>
        <v>122132</v>
      </c>
      <c r="N244" s="3897"/>
      <c r="O244" s="3108"/>
    </row>
    <row r="245" spans="1:15" s="2521" customFormat="1" hidden="1">
      <c r="A245" s="3851"/>
      <c r="B245" s="2804" t="s">
        <v>279</v>
      </c>
      <c r="C245" s="3892"/>
      <c r="D245" s="2805">
        <f>SUM(E245:K245)</f>
        <v>232560</v>
      </c>
      <c r="E245" s="2806">
        <v>0</v>
      </c>
      <c r="F245" s="2807">
        <v>74823</v>
      </c>
      <c r="G245" s="2807">
        <v>78940</v>
      </c>
      <c r="H245" s="2807">
        <v>78797</v>
      </c>
      <c r="I245" s="2806">
        <v>0</v>
      </c>
      <c r="J245" s="2806">
        <v>0</v>
      </c>
      <c r="K245" s="2806">
        <v>0</v>
      </c>
      <c r="L245" s="2808">
        <v>0</v>
      </c>
      <c r="M245" s="1441">
        <f t="shared" si="172"/>
        <v>232560</v>
      </c>
      <c r="N245" s="3897"/>
      <c r="O245" s="3108"/>
    </row>
    <row r="246" spans="1:15" s="2521" customFormat="1">
      <c r="A246" s="3851"/>
      <c r="B246" s="1588" t="s">
        <v>17</v>
      </c>
      <c r="C246" s="3892"/>
      <c r="D246" s="1187">
        <f>+D247</f>
        <v>3014884</v>
      </c>
      <c r="E246" s="1227">
        <f t="shared" ref="E246:K246" si="173">+E247</f>
        <v>0</v>
      </c>
      <c r="F246" s="1187">
        <f t="shared" si="173"/>
        <v>963825</v>
      </c>
      <c r="G246" s="1187">
        <f t="shared" si="173"/>
        <v>1026141</v>
      </c>
      <c r="H246" s="1187">
        <f t="shared" si="173"/>
        <v>1024918</v>
      </c>
      <c r="I246" s="1227">
        <f t="shared" si="173"/>
        <v>0</v>
      </c>
      <c r="J246" s="1227">
        <f t="shared" si="173"/>
        <v>0</v>
      </c>
      <c r="K246" s="1227">
        <f t="shared" si="173"/>
        <v>0</v>
      </c>
      <c r="L246" s="1227">
        <f>+L247</f>
        <v>0</v>
      </c>
      <c r="M246" s="1443">
        <f>+M247</f>
        <v>2051059</v>
      </c>
      <c r="N246" s="3897"/>
      <c r="O246" s="3108">
        <f>D246-D253</f>
        <v>0</v>
      </c>
    </row>
    <row r="247" spans="1:15" s="2521" customFormat="1">
      <c r="A247" s="3851"/>
      <c r="B247" s="1589" t="s">
        <v>19</v>
      </c>
      <c r="C247" s="3892"/>
      <c r="D247" s="1115">
        <f>E247+L247+F247+G247+H247+I247+J247+K247</f>
        <v>3014884</v>
      </c>
      <c r="E247" s="2802">
        <v>0</v>
      </c>
      <c r="F247" s="1190">
        <f>F248+F249</f>
        <v>963825</v>
      </c>
      <c r="G247" s="1190">
        <f t="shared" ref="G247:K247" si="174">G248+G249</f>
        <v>1026141</v>
      </c>
      <c r="H247" s="1190">
        <f t="shared" si="174"/>
        <v>1024918</v>
      </c>
      <c r="I247" s="2246">
        <f t="shared" si="174"/>
        <v>0</v>
      </c>
      <c r="J247" s="2246">
        <f t="shared" si="174"/>
        <v>0</v>
      </c>
      <c r="K247" s="2246">
        <f t="shared" si="174"/>
        <v>0</v>
      </c>
      <c r="L247" s="2246">
        <v>0</v>
      </c>
      <c r="M247" s="1441">
        <f>SUM(G247:K247)</f>
        <v>2051059</v>
      </c>
      <c r="N247" s="3897"/>
      <c r="O247" s="3108"/>
    </row>
    <row r="248" spans="1:15" s="2521" customFormat="1" ht="12.75" hidden="1" customHeight="1">
      <c r="A248" s="3851"/>
      <c r="B248" s="2803" t="s">
        <v>269</v>
      </c>
      <c r="C248" s="2809"/>
      <c r="D248" s="2797">
        <f>SUM(E248:K248)</f>
        <v>1038122</v>
      </c>
      <c r="E248" s="1507">
        <v>0</v>
      </c>
      <c r="F248" s="2798">
        <v>327828</v>
      </c>
      <c r="G248" s="2798">
        <v>355147</v>
      </c>
      <c r="H248" s="2798">
        <v>355147</v>
      </c>
      <c r="I248" s="1507">
        <v>0</v>
      </c>
      <c r="J248" s="1507">
        <v>0</v>
      </c>
      <c r="K248" s="1507">
        <v>0</v>
      </c>
      <c r="L248" s="1507">
        <v>0</v>
      </c>
      <c r="M248" s="2794">
        <f>SUM(F248:K248)</f>
        <v>1038122</v>
      </c>
      <c r="N248" s="3897"/>
      <c r="O248" s="3108"/>
    </row>
    <row r="249" spans="1:15" s="2521" customFormat="1" hidden="1">
      <c r="A249" s="3851"/>
      <c r="B249" s="2804" t="s">
        <v>279</v>
      </c>
      <c r="C249" s="2810"/>
      <c r="D249" s="2805">
        <f>SUM(E249:K249)</f>
        <v>1976762</v>
      </c>
      <c r="E249" s="2806">
        <v>0</v>
      </c>
      <c r="F249" s="2807">
        <v>635997</v>
      </c>
      <c r="G249" s="2807">
        <v>670994</v>
      </c>
      <c r="H249" s="2807">
        <v>669771</v>
      </c>
      <c r="I249" s="2806">
        <v>0</v>
      </c>
      <c r="J249" s="2806">
        <v>0</v>
      </c>
      <c r="K249" s="2806">
        <v>0</v>
      </c>
      <c r="L249" s="2806">
        <v>0</v>
      </c>
      <c r="M249" s="2794">
        <f>SUM(F249:K249)</f>
        <v>1976762</v>
      </c>
      <c r="N249" s="3898"/>
      <c r="O249" s="3108"/>
    </row>
    <row r="250" spans="1:15" s="2521" customFormat="1">
      <c r="A250" s="3894"/>
      <c r="B250" s="1587" t="s">
        <v>20</v>
      </c>
      <c r="C250" s="1587"/>
      <c r="D250" s="1442">
        <f>D253+D251</f>
        <v>3369576</v>
      </c>
      <c r="E250" s="2800">
        <f t="shared" ref="E250:K250" si="175">E253+E251</f>
        <v>0</v>
      </c>
      <c r="F250" s="1442">
        <f t="shared" si="175"/>
        <v>1077216</v>
      </c>
      <c r="G250" s="1442">
        <f t="shared" si="175"/>
        <v>1146863</v>
      </c>
      <c r="H250" s="1442">
        <f t="shared" si="175"/>
        <v>1145497</v>
      </c>
      <c r="I250" s="2800">
        <f t="shared" si="175"/>
        <v>0</v>
      </c>
      <c r="J250" s="2800">
        <f t="shared" si="175"/>
        <v>0</v>
      </c>
      <c r="K250" s="2800">
        <f t="shared" si="175"/>
        <v>0</v>
      </c>
      <c r="L250" s="2800">
        <f>L253+L251</f>
        <v>0</v>
      </c>
      <c r="M250" s="3857" t="s">
        <v>52</v>
      </c>
      <c r="N250" s="3752" t="s">
        <v>415</v>
      </c>
      <c r="O250" s="3108"/>
    </row>
    <row r="251" spans="1:15" s="2521" customFormat="1">
      <c r="A251" s="3894"/>
      <c r="B251" s="1595" t="s">
        <v>22</v>
      </c>
      <c r="C251" s="3885" t="s">
        <v>336</v>
      </c>
      <c r="D251" s="1187">
        <f t="shared" ref="D251:K253" si="176">+D252</f>
        <v>354692</v>
      </c>
      <c r="E251" s="1227">
        <f t="shared" si="176"/>
        <v>0</v>
      </c>
      <c r="F251" s="1187">
        <f t="shared" si="176"/>
        <v>113391</v>
      </c>
      <c r="G251" s="1187">
        <f t="shared" si="176"/>
        <v>120722</v>
      </c>
      <c r="H251" s="1187">
        <f t="shared" si="176"/>
        <v>120579</v>
      </c>
      <c r="I251" s="1227">
        <f t="shared" si="176"/>
        <v>0</v>
      </c>
      <c r="J251" s="1227">
        <f t="shared" si="176"/>
        <v>0</v>
      </c>
      <c r="K251" s="1227">
        <f t="shared" si="176"/>
        <v>0</v>
      </c>
      <c r="L251" s="1227">
        <f>+L252</f>
        <v>0</v>
      </c>
      <c r="M251" s="3857"/>
      <c r="N251" s="3753"/>
      <c r="O251" s="3108"/>
    </row>
    <row r="252" spans="1:15" s="2521" customFormat="1">
      <c r="A252" s="3894"/>
      <c r="B252" s="2096" t="s">
        <v>12</v>
      </c>
      <c r="C252" s="3887"/>
      <c r="D252" s="1160">
        <f>E252+L252+F252+G252+H252+I252+J252+K252</f>
        <v>354692</v>
      </c>
      <c r="E252" s="1509">
        <v>0</v>
      </c>
      <c r="F252" s="1510">
        <v>113391</v>
      </c>
      <c r="G252" s="1510">
        <v>120722</v>
      </c>
      <c r="H252" s="1510">
        <v>120579</v>
      </c>
      <c r="I252" s="1509">
        <v>0</v>
      </c>
      <c r="J252" s="1509">
        <v>0</v>
      </c>
      <c r="K252" s="1509">
        <v>0</v>
      </c>
      <c r="L252" s="1509">
        <v>0</v>
      </c>
      <c r="M252" s="3857"/>
      <c r="N252" s="3753"/>
      <c r="O252" s="3108"/>
    </row>
    <row r="253" spans="1:15" s="2521" customFormat="1">
      <c r="A253" s="3894"/>
      <c r="B253" s="1588" t="s">
        <v>17</v>
      </c>
      <c r="C253" s="3887"/>
      <c r="D253" s="1489">
        <f t="shared" si="176"/>
        <v>3014884</v>
      </c>
      <c r="E253" s="1227">
        <f t="shared" si="176"/>
        <v>0</v>
      </c>
      <c r="F253" s="1187">
        <f t="shared" si="176"/>
        <v>963825</v>
      </c>
      <c r="G253" s="1187">
        <f t="shared" si="176"/>
        <v>1026141</v>
      </c>
      <c r="H253" s="1187">
        <f t="shared" si="176"/>
        <v>1024918</v>
      </c>
      <c r="I253" s="1227">
        <f t="shared" si="176"/>
        <v>0</v>
      </c>
      <c r="J253" s="1227">
        <f t="shared" si="176"/>
        <v>0</v>
      </c>
      <c r="K253" s="1227">
        <f t="shared" si="176"/>
        <v>0</v>
      </c>
      <c r="L253" s="1227">
        <f>+L254</f>
        <v>0</v>
      </c>
      <c r="M253" s="3857"/>
      <c r="N253" s="3753"/>
      <c r="O253" s="3108"/>
    </row>
    <row r="254" spans="1:15" s="2521" customFormat="1" ht="13.5" thickBot="1">
      <c r="A254" s="3895"/>
      <c r="B254" s="1679" t="s">
        <v>19</v>
      </c>
      <c r="C254" s="3886"/>
      <c r="D254" s="1636">
        <f>E254+L254+F254+G254+H254+I254+J254+K254</f>
        <v>3014884</v>
      </c>
      <c r="E254" s="1909">
        <v>0</v>
      </c>
      <c r="F254" s="1433">
        <v>963825</v>
      </c>
      <c r="G254" s="1433">
        <v>1026141</v>
      </c>
      <c r="H254" s="1433">
        <v>1024918</v>
      </c>
      <c r="I254" s="1434">
        <v>0</v>
      </c>
      <c r="J254" s="1434">
        <v>0</v>
      </c>
      <c r="K254" s="1434">
        <v>0</v>
      </c>
      <c r="L254" s="1434">
        <v>0</v>
      </c>
      <c r="M254" s="3701"/>
      <c r="N254" s="3754"/>
      <c r="O254" s="3108"/>
    </row>
    <row r="255" spans="1:15" s="2521" customFormat="1" ht="24" customHeight="1">
      <c r="A255" s="3850" t="s">
        <v>88</v>
      </c>
      <c r="B255" s="973" t="s">
        <v>444</v>
      </c>
      <c r="C255" s="974" t="s">
        <v>99</v>
      </c>
      <c r="D255" s="915"/>
      <c r="E255" s="2098"/>
      <c r="F255" s="2098"/>
      <c r="G255" s="2098"/>
      <c r="H255" s="2098"/>
      <c r="I255" s="2098"/>
      <c r="J255" s="2098"/>
      <c r="K255" s="34"/>
      <c r="L255" s="2098"/>
      <c r="M255" s="470"/>
      <c r="N255" s="3861" t="s">
        <v>284</v>
      </c>
      <c r="O255" s="3108"/>
    </row>
    <row r="256" spans="1:15" s="2521" customFormat="1">
      <c r="A256" s="3851"/>
      <c r="B256" s="1587" t="s">
        <v>9</v>
      </c>
      <c r="C256" s="975"/>
      <c r="D256" s="1594">
        <f t="shared" ref="D256:M256" si="177">+D257+D261</f>
        <v>2823073</v>
      </c>
      <c r="E256" s="2792">
        <f t="shared" si="177"/>
        <v>0</v>
      </c>
      <c r="F256" s="1222">
        <f t="shared" si="177"/>
        <v>647079</v>
      </c>
      <c r="G256" s="1222">
        <f t="shared" si="177"/>
        <v>1386633</v>
      </c>
      <c r="H256" s="1222">
        <f t="shared" si="177"/>
        <v>789361</v>
      </c>
      <c r="I256" s="1222">
        <f t="shared" si="177"/>
        <v>0</v>
      </c>
      <c r="J256" s="1222">
        <f t="shared" si="177"/>
        <v>0</v>
      </c>
      <c r="K256" s="2792">
        <f t="shared" si="177"/>
        <v>0</v>
      </c>
      <c r="L256" s="2792">
        <f>+L257+L261</f>
        <v>0</v>
      </c>
      <c r="M256" s="1179">
        <f t="shared" si="177"/>
        <v>2175994</v>
      </c>
      <c r="N256" s="3859"/>
      <c r="O256" s="3108">
        <f>D256+D271</f>
        <v>3392273</v>
      </c>
    </row>
    <row r="257" spans="1:15" s="2521" customFormat="1">
      <c r="A257" s="3851"/>
      <c r="B257" s="1588" t="s">
        <v>22</v>
      </c>
      <c r="C257" s="3891" t="s">
        <v>416</v>
      </c>
      <c r="D257" s="1416">
        <f>+D258</f>
        <v>80369</v>
      </c>
      <c r="E257" s="2793">
        <f t="shared" ref="E257:K257" si="178">+E258</f>
        <v>0</v>
      </c>
      <c r="F257" s="1416">
        <f t="shared" si="178"/>
        <v>18442</v>
      </c>
      <c r="G257" s="1416">
        <f t="shared" si="178"/>
        <v>39519</v>
      </c>
      <c r="H257" s="1416">
        <f t="shared" si="178"/>
        <v>22408</v>
      </c>
      <c r="I257" s="1416">
        <f t="shared" si="178"/>
        <v>0</v>
      </c>
      <c r="J257" s="1416">
        <f t="shared" si="178"/>
        <v>0</v>
      </c>
      <c r="K257" s="1416">
        <f t="shared" si="178"/>
        <v>0</v>
      </c>
      <c r="L257" s="2793">
        <f>+L258</f>
        <v>0</v>
      </c>
      <c r="M257" s="1680">
        <f>+M258</f>
        <v>61927</v>
      </c>
      <c r="N257" s="3859"/>
      <c r="O257" s="3108"/>
    </row>
    <row r="258" spans="1:15" s="2521" customFormat="1">
      <c r="A258" s="3851"/>
      <c r="B258" s="2096" t="s">
        <v>12</v>
      </c>
      <c r="C258" s="3892"/>
      <c r="D258" s="1115">
        <f>E258+L258+F258+G258+H258+I258+J258+K258</f>
        <v>80369</v>
      </c>
      <c r="E258" s="2802">
        <v>0</v>
      </c>
      <c r="F258" s="1470">
        <f>F259+F260</f>
        <v>18442</v>
      </c>
      <c r="G258" s="1470">
        <f t="shared" ref="G258:K258" si="179">G259+G260</f>
        <v>39519</v>
      </c>
      <c r="H258" s="1470">
        <f t="shared" si="179"/>
        <v>22408</v>
      </c>
      <c r="I258" s="1470">
        <f t="shared" si="179"/>
        <v>0</v>
      </c>
      <c r="J258" s="1470">
        <f t="shared" si="179"/>
        <v>0</v>
      </c>
      <c r="K258" s="2796">
        <f t="shared" si="179"/>
        <v>0</v>
      </c>
      <c r="L258" s="2796">
        <v>0</v>
      </c>
      <c r="M258" s="1441">
        <f>SUM(G258:K258)</f>
        <v>61927</v>
      </c>
      <c r="N258" s="3859"/>
      <c r="O258" s="3108">
        <f>D258-D267</f>
        <v>0</v>
      </c>
    </row>
    <row r="259" spans="1:15" s="2521" customFormat="1" hidden="1">
      <c r="A259" s="3851"/>
      <c r="B259" s="2803" t="s">
        <v>269</v>
      </c>
      <c r="C259" s="3892"/>
      <c r="D259" s="2797">
        <f>SUM(E259:K259)</f>
        <v>17859</v>
      </c>
      <c r="E259" s="1507">
        <v>0</v>
      </c>
      <c r="F259" s="3146">
        <f>7649-1062</f>
        <v>6587</v>
      </c>
      <c r="G259" s="3146">
        <f>5437+1062</f>
        <v>6499</v>
      </c>
      <c r="H259" s="2798">
        <v>4773</v>
      </c>
      <c r="I259" s="2798"/>
      <c r="J259" s="2798"/>
      <c r="K259" s="1507">
        <v>0</v>
      </c>
      <c r="L259" s="2799">
        <v>0</v>
      </c>
      <c r="M259" s="1441">
        <f t="shared" ref="M259:M260" si="180">SUM(F259:K259)</f>
        <v>17859</v>
      </c>
      <c r="N259" s="3859"/>
      <c r="O259" s="3108"/>
    </row>
    <row r="260" spans="1:15" s="2521" customFormat="1" hidden="1">
      <c r="A260" s="3851"/>
      <c r="B260" s="2804" t="s">
        <v>279</v>
      </c>
      <c r="C260" s="3892"/>
      <c r="D260" s="2805">
        <f>SUM(E260:K260)</f>
        <v>62510</v>
      </c>
      <c r="E260" s="2806">
        <v>0</v>
      </c>
      <c r="F260" s="3147">
        <f>21245-920-8470</f>
        <v>11855</v>
      </c>
      <c r="G260" s="3147">
        <f>24550+8470</f>
        <v>33020</v>
      </c>
      <c r="H260" s="2807">
        <v>17635</v>
      </c>
      <c r="I260" s="2807"/>
      <c r="J260" s="2807"/>
      <c r="K260" s="2806">
        <v>0</v>
      </c>
      <c r="L260" s="2808">
        <v>0</v>
      </c>
      <c r="M260" s="1441">
        <f t="shared" si="180"/>
        <v>62510</v>
      </c>
      <c r="N260" s="3859"/>
      <c r="O260" s="3108"/>
    </row>
    <row r="261" spans="1:15" s="2521" customFormat="1">
      <c r="A261" s="3851"/>
      <c r="B261" s="1588" t="s">
        <v>17</v>
      </c>
      <c r="C261" s="3892"/>
      <c r="D261" s="1187">
        <f>+D262</f>
        <v>2742704</v>
      </c>
      <c r="E261" s="1227">
        <f t="shared" ref="E261:K261" si="181">+E262</f>
        <v>0</v>
      </c>
      <c r="F261" s="1187">
        <f t="shared" si="181"/>
        <v>628637</v>
      </c>
      <c r="G261" s="1187">
        <f t="shared" si="181"/>
        <v>1347114</v>
      </c>
      <c r="H261" s="1187">
        <f t="shared" si="181"/>
        <v>766953</v>
      </c>
      <c r="I261" s="1187">
        <f t="shared" si="181"/>
        <v>0</v>
      </c>
      <c r="J261" s="1187">
        <f t="shared" si="181"/>
        <v>0</v>
      </c>
      <c r="K261" s="1227">
        <f t="shared" si="181"/>
        <v>0</v>
      </c>
      <c r="L261" s="1227">
        <f>+L262</f>
        <v>0</v>
      </c>
      <c r="M261" s="1443">
        <f>+M262</f>
        <v>2114067</v>
      </c>
      <c r="N261" s="3859"/>
      <c r="O261" s="3108">
        <f>D261-D268</f>
        <v>0</v>
      </c>
    </row>
    <row r="262" spans="1:15" s="2521" customFormat="1">
      <c r="A262" s="3851"/>
      <c r="B262" s="1589" t="s">
        <v>19</v>
      </c>
      <c r="C262" s="3892"/>
      <c r="D262" s="1115">
        <f>E262+L262+F262+G262+H262+I262+J262+K262</f>
        <v>2742704</v>
      </c>
      <c r="E262" s="2802">
        <v>0</v>
      </c>
      <c r="F262" s="1190">
        <f>F263+F264</f>
        <v>628637</v>
      </c>
      <c r="G262" s="1190">
        <f t="shared" ref="G262:K262" si="182">G263+G264</f>
        <v>1347114</v>
      </c>
      <c r="H262" s="1190">
        <f t="shared" si="182"/>
        <v>766953</v>
      </c>
      <c r="I262" s="1190">
        <f t="shared" si="182"/>
        <v>0</v>
      </c>
      <c r="J262" s="1190">
        <f t="shared" si="182"/>
        <v>0</v>
      </c>
      <c r="K262" s="2246">
        <f t="shared" si="182"/>
        <v>0</v>
      </c>
      <c r="L262" s="2246">
        <v>0</v>
      </c>
      <c r="M262" s="1441">
        <f>SUM(G262:K262)</f>
        <v>2114067</v>
      </c>
      <c r="N262" s="3859"/>
      <c r="O262" s="3108"/>
    </row>
    <row r="263" spans="1:15" s="2521" customFormat="1" hidden="1">
      <c r="A263" s="3851"/>
      <c r="B263" s="2803" t="s">
        <v>269</v>
      </c>
      <c r="C263" s="2809"/>
      <c r="D263" s="2797">
        <f>SUM(E263:K263)</f>
        <v>608761</v>
      </c>
      <c r="E263" s="1507">
        <v>0</v>
      </c>
      <c r="F263" s="2798">
        <f>260714-36195</f>
        <v>224519</v>
      </c>
      <c r="G263" s="2798">
        <f>185342+36195</f>
        <v>221537</v>
      </c>
      <c r="H263" s="2798">
        <v>162705</v>
      </c>
      <c r="I263" s="2798">
        <v>0</v>
      </c>
      <c r="J263" s="2798">
        <v>0</v>
      </c>
      <c r="K263" s="1507">
        <v>0</v>
      </c>
      <c r="L263" s="1507">
        <v>0</v>
      </c>
      <c r="M263" s="2794">
        <f>SUM(F263:K263)</f>
        <v>608761</v>
      </c>
      <c r="N263" s="3859"/>
      <c r="O263" s="3108"/>
    </row>
    <row r="264" spans="1:15" s="2521" customFormat="1" hidden="1">
      <c r="A264" s="3851"/>
      <c r="B264" s="2804" t="s">
        <v>279</v>
      </c>
      <c r="C264" s="2810"/>
      <c r="D264" s="2805">
        <f>SUM(E264:K264)</f>
        <v>2133943</v>
      </c>
      <c r="E264" s="2806">
        <v>0</v>
      </c>
      <c r="F264" s="2807">
        <f>724218-31379-288721</f>
        <v>404118</v>
      </c>
      <c r="G264" s="2807">
        <f>836856+288721</f>
        <v>1125577</v>
      </c>
      <c r="H264" s="2807">
        <v>604248</v>
      </c>
      <c r="I264" s="2807"/>
      <c r="J264" s="2807"/>
      <c r="K264" s="2806">
        <v>0</v>
      </c>
      <c r="L264" s="2806">
        <v>0</v>
      </c>
      <c r="M264" s="2794">
        <f>SUM(F264:K264)</f>
        <v>2133943</v>
      </c>
      <c r="N264" s="3860"/>
      <c r="O264" s="3108"/>
    </row>
    <row r="265" spans="1:15" s="2521" customFormat="1" ht="13.5" thickBot="1">
      <c r="A265" s="3894"/>
      <c r="B265" s="1587" t="s">
        <v>20</v>
      </c>
      <c r="C265" s="1587"/>
      <c r="D265" s="1442">
        <f>D268+D266</f>
        <v>2823073</v>
      </c>
      <c r="E265" s="2800">
        <f t="shared" ref="E265:K265" si="183">E268+E266</f>
        <v>0</v>
      </c>
      <c r="F265" s="1442">
        <f t="shared" si="183"/>
        <v>981527</v>
      </c>
      <c r="G265" s="1442">
        <f t="shared" si="183"/>
        <v>1052185</v>
      </c>
      <c r="H265" s="1442">
        <f t="shared" si="183"/>
        <v>789361</v>
      </c>
      <c r="I265" s="1442">
        <f t="shared" si="183"/>
        <v>0</v>
      </c>
      <c r="J265" s="1442">
        <f t="shared" si="183"/>
        <v>0</v>
      </c>
      <c r="K265" s="2800">
        <f t="shared" si="183"/>
        <v>0</v>
      </c>
      <c r="L265" s="2800">
        <f>L268+L266</f>
        <v>0</v>
      </c>
      <c r="M265" s="3857" t="s">
        <v>52</v>
      </c>
      <c r="N265" s="3944" t="s">
        <v>415</v>
      </c>
      <c r="O265" s="3108"/>
    </row>
    <row r="266" spans="1:15" s="2521" customFormat="1" ht="12.75" customHeight="1" thickBot="1">
      <c r="A266" s="3894"/>
      <c r="B266" s="1595" t="s">
        <v>22</v>
      </c>
      <c r="C266" s="3885" t="s">
        <v>336</v>
      </c>
      <c r="D266" s="1187">
        <f t="shared" ref="D266:K268" si="184">+D267</f>
        <v>80369</v>
      </c>
      <c r="E266" s="1227">
        <f t="shared" si="184"/>
        <v>0</v>
      </c>
      <c r="F266" s="1187">
        <f t="shared" si="184"/>
        <v>27974</v>
      </c>
      <c r="G266" s="1187">
        <f t="shared" si="184"/>
        <v>29987</v>
      </c>
      <c r="H266" s="1187">
        <f t="shared" si="184"/>
        <v>22408</v>
      </c>
      <c r="I266" s="1187">
        <f t="shared" si="184"/>
        <v>0</v>
      </c>
      <c r="J266" s="1187">
        <f t="shared" si="184"/>
        <v>0</v>
      </c>
      <c r="K266" s="1227">
        <f t="shared" si="184"/>
        <v>0</v>
      </c>
      <c r="L266" s="1227">
        <f>+L267</f>
        <v>0</v>
      </c>
      <c r="M266" s="3857"/>
      <c r="N266" s="3763"/>
      <c r="O266" s="3108"/>
    </row>
    <row r="267" spans="1:15" s="2521" customFormat="1" ht="13.5" thickBot="1">
      <c r="A267" s="3894"/>
      <c r="B267" s="2096" t="s">
        <v>12</v>
      </c>
      <c r="C267" s="3887"/>
      <c r="D267" s="1160">
        <f>E267+L267+F267+G267+H267+I267+J267+K267</f>
        <v>80369</v>
      </c>
      <c r="E267" s="1509">
        <v>0</v>
      </c>
      <c r="F267" s="1510">
        <f>28894-920</f>
        <v>27974</v>
      </c>
      <c r="G267" s="1510">
        <v>29987</v>
      </c>
      <c r="H267" s="1510">
        <v>22408</v>
      </c>
      <c r="I267" s="1510"/>
      <c r="J267" s="1510"/>
      <c r="K267" s="1509">
        <v>0</v>
      </c>
      <c r="L267" s="1509">
        <v>0</v>
      </c>
      <c r="M267" s="3857"/>
      <c r="N267" s="3763"/>
      <c r="O267" s="3108"/>
    </row>
    <row r="268" spans="1:15" s="2521" customFormat="1" ht="13.5" thickBot="1">
      <c r="A268" s="3894"/>
      <c r="B268" s="1588" t="s">
        <v>17</v>
      </c>
      <c r="C268" s="3887"/>
      <c r="D268" s="1489">
        <f t="shared" si="184"/>
        <v>2742704</v>
      </c>
      <c r="E268" s="1227">
        <f t="shared" si="184"/>
        <v>0</v>
      </c>
      <c r="F268" s="1187">
        <f t="shared" si="184"/>
        <v>953553</v>
      </c>
      <c r="G268" s="1187">
        <f t="shared" si="184"/>
        <v>1022198</v>
      </c>
      <c r="H268" s="1187">
        <f t="shared" si="184"/>
        <v>766953</v>
      </c>
      <c r="I268" s="1187">
        <f t="shared" si="184"/>
        <v>0</v>
      </c>
      <c r="J268" s="1187">
        <f t="shared" si="184"/>
        <v>0</v>
      </c>
      <c r="K268" s="1227">
        <f t="shared" si="184"/>
        <v>0</v>
      </c>
      <c r="L268" s="1227">
        <f>+L269</f>
        <v>0</v>
      </c>
      <c r="M268" s="3857"/>
      <c r="N268" s="3763"/>
      <c r="O268" s="3108"/>
    </row>
    <row r="269" spans="1:15" s="2521" customFormat="1" ht="13.5" thickBot="1">
      <c r="A269" s="3895"/>
      <c r="B269" s="1679" t="s">
        <v>19</v>
      </c>
      <c r="C269" s="3886"/>
      <c r="D269" s="1636">
        <f>E269+L269+F269+G269+H269+I269+J269+K269</f>
        <v>2742704</v>
      </c>
      <c r="E269" s="1909">
        <v>0</v>
      </c>
      <c r="F269" s="1433">
        <f>984932-31379</f>
        <v>953553</v>
      </c>
      <c r="G269" s="1433">
        <v>1022198</v>
      </c>
      <c r="H269" s="1433">
        <v>766953</v>
      </c>
      <c r="I269" s="1433"/>
      <c r="J269" s="1433"/>
      <c r="K269" s="1434">
        <v>0</v>
      </c>
      <c r="L269" s="1434">
        <v>0</v>
      </c>
      <c r="M269" s="3701"/>
      <c r="N269" s="3763"/>
      <c r="O269" s="3108"/>
    </row>
    <row r="270" spans="1:15" s="2521" customFormat="1" ht="25.5" customHeight="1" thickBot="1">
      <c r="A270" s="3850" t="s">
        <v>90</v>
      </c>
      <c r="B270" s="973" t="s">
        <v>445</v>
      </c>
      <c r="C270" s="974" t="s">
        <v>72</v>
      </c>
      <c r="D270" s="915"/>
      <c r="E270" s="2098"/>
      <c r="F270" s="2098"/>
      <c r="G270" s="2098"/>
      <c r="H270" s="2098"/>
      <c r="I270" s="2098"/>
      <c r="J270" s="2098"/>
      <c r="K270" s="34"/>
      <c r="L270" s="2098"/>
      <c r="M270" s="470"/>
      <c r="N270" s="3863" t="s">
        <v>421</v>
      </c>
      <c r="O270" s="3108"/>
    </row>
    <row r="271" spans="1:15" s="2521" customFormat="1" ht="14.25" customHeight="1" thickBot="1">
      <c r="A271" s="3851"/>
      <c r="B271" s="1587" t="s">
        <v>9</v>
      </c>
      <c r="C271" s="975"/>
      <c r="D271" s="1594">
        <f t="shared" ref="D271:M271" si="185">+D272+D274</f>
        <v>569200</v>
      </c>
      <c r="E271" s="2792">
        <f t="shared" si="185"/>
        <v>0</v>
      </c>
      <c r="F271" s="1222">
        <f t="shared" si="185"/>
        <v>528511</v>
      </c>
      <c r="G271" s="1222">
        <f t="shared" si="185"/>
        <v>40689</v>
      </c>
      <c r="H271" s="1222">
        <f t="shared" si="185"/>
        <v>0</v>
      </c>
      <c r="I271" s="1222">
        <f t="shared" si="185"/>
        <v>0</v>
      </c>
      <c r="J271" s="1222">
        <f t="shared" si="185"/>
        <v>0</v>
      </c>
      <c r="K271" s="2792">
        <f t="shared" si="185"/>
        <v>0</v>
      </c>
      <c r="L271" s="2792">
        <f>+L272+L274</f>
        <v>0</v>
      </c>
      <c r="M271" s="1179">
        <f t="shared" si="185"/>
        <v>40689</v>
      </c>
      <c r="N271" s="3863"/>
      <c r="O271" s="3108"/>
    </row>
    <row r="272" spans="1:15" s="2521" customFormat="1" ht="13.5" thickBot="1">
      <c r="A272" s="3851"/>
      <c r="B272" s="1588" t="s">
        <v>22</v>
      </c>
      <c r="C272" s="3891" t="s">
        <v>422</v>
      </c>
      <c r="D272" s="1416">
        <f>+D273</f>
        <v>16222</v>
      </c>
      <c r="E272" s="2793">
        <f t="shared" ref="E272:K272" si="186">+E273</f>
        <v>0</v>
      </c>
      <c r="F272" s="1416">
        <f t="shared" si="186"/>
        <v>15062</v>
      </c>
      <c r="G272" s="1416">
        <f t="shared" si="186"/>
        <v>1160</v>
      </c>
      <c r="H272" s="1416">
        <f t="shared" si="186"/>
        <v>0</v>
      </c>
      <c r="I272" s="1416">
        <f t="shared" si="186"/>
        <v>0</v>
      </c>
      <c r="J272" s="1416">
        <f t="shared" si="186"/>
        <v>0</v>
      </c>
      <c r="K272" s="1416">
        <f t="shared" si="186"/>
        <v>0</v>
      </c>
      <c r="L272" s="2793">
        <f>+L273</f>
        <v>0</v>
      </c>
      <c r="M272" s="1680">
        <f>+M273</f>
        <v>1160</v>
      </c>
      <c r="N272" s="3863"/>
      <c r="O272" s="3108"/>
    </row>
    <row r="273" spans="1:15" s="2521" customFormat="1" ht="12" customHeight="1" thickBot="1">
      <c r="A273" s="3851"/>
      <c r="B273" s="2096" t="s">
        <v>12</v>
      </c>
      <c r="C273" s="3892"/>
      <c r="D273" s="1115">
        <f>E273+L273+F273+G273+H273+I273+J273+K273</f>
        <v>16222</v>
      </c>
      <c r="E273" s="2802">
        <v>0</v>
      </c>
      <c r="F273" s="1470">
        <f>15302+920-1160</f>
        <v>15062</v>
      </c>
      <c r="G273" s="1470">
        <v>1160</v>
      </c>
      <c r="H273" s="1470"/>
      <c r="I273" s="1470"/>
      <c r="J273" s="1470"/>
      <c r="K273" s="2796"/>
      <c r="L273" s="2796">
        <v>0</v>
      </c>
      <c r="M273" s="1441">
        <f>SUM(G273:K273)</f>
        <v>1160</v>
      </c>
      <c r="N273" s="3863"/>
      <c r="O273" s="3108"/>
    </row>
    <row r="274" spans="1:15" s="2521" customFormat="1" ht="12" customHeight="1" thickBot="1">
      <c r="A274" s="3851"/>
      <c r="B274" s="1588" t="s">
        <v>17</v>
      </c>
      <c r="C274" s="3892"/>
      <c r="D274" s="1187">
        <f>+D275</f>
        <v>552978</v>
      </c>
      <c r="E274" s="1227">
        <f t="shared" ref="E274:K274" si="187">+E275</f>
        <v>0</v>
      </c>
      <c r="F274" s="1187">
        <f t="shared" si="187"/>
        <v>513449</v>
      </c>
      <c r="G274" s="1187">
        <f t="shared" si="187"/>
        <v>39529</v>
      </c>
      <c r="H274" s="1187">
        <f t="shared" si="187"/>
        <v>0</v>
      </c>
      <c r="I274" s="1187">
        <f t="shared" si="187"/>
        <v>0</v>
      </c>
      <c r="J274" s="1187">
        <f t="shared" si="187"/>
        <v>0</v>
      </c>
      <c r="K274" s="1227">
        <f t="shared" si="187"/>
        <v>0</v>
      </c>
      <c r="L274" s="1227">
        <f>+L275</f>
        <v>0</v>
      </c>
      <c r="M274" s="1443">
        <f>+M275</f>
        <v>39529</v>
      </c>
      <c r="N274" s="3863"/>
      <c r="O274" s="3108"/>
    </row>
    <row r="275" spans="1:15" s="2521" customFormat="1">
      <c r="A275" s="3851"/>
      <c r="B275" s="1589" t="s">
        <v>19</v>
      </c>
      <c r="C275" s="3892"/>
      <c r="D275" s="1115">
        <f>E275+L275+F275+G275+H275+I275+J275+K275</f>
        <v>552978</v>
      </c>
      <c r="E275" s="2802">
        <v>0</v>
      </c>
      <c r="F275" s="1190">
        <f>521599+31379-39529</f>
        <v>513449</v>
      </c>
      <c r="G275" s="1190">
        <v>39529</v>
      </c>
      <c r="H275" s="1190"/>
      <c r="I275" s="1190"/>
      <c r="J275" s="1190"/>
      <c r="K275" s="2246"/>
      <c r="L275" s="2246">
        <v>0</v>
      </c>
      <c r="M275" s="1441">
        <f>SUM(G275:K275)</f>
        <v>39529</v>
      </c>
      <c r="N275" s="3864"/>
      <c r="O275" s="3108"/>
    </row>
    <row r="276" spans="1:15" s="2521" customFormat="1" ht="12.75" customHeight="1" thickBot="1">
      <c r="A276" s="3894"/>
      <c r="B276" s="1587" t="s">
        <v>20</v>
      </c>
      <c r="C276" s="1587"/>
      <c r="D276" s="1442">
        <f>D279+D277</f>
        <v>569200</v>
      </c>
      <c r="E276" s="2800">
        <f t="shared" ref="E276:K276" si="188">E279+E277</f>
        <v>0</v>
      </c>
      <c r="F276" s="1442">
        <f t="shared" si="188"/>
        <v>536900</v>
      </c>
      <c r="G276" s="1442">
        <f t="shared" si="188"/>
        <v>32300</v>
      </c>
      <c r="H276" s="1442">
        <f t="shared" si="188"/>
        <v>0</v>
      </c>
      <c r="I276" s="1442">
        <f t="shared" si="188"/>
        <v>0</v>
      </c>
      <c r="J276" s="1442">
        <f t="shared" si="188"/>
        <v>0</v>
      </c>
      <c r="K276" s="2800">
        <f t="shared" si="188"/>
        <v>0</v>
      </c>
      <c r="L276" s="2800">
        <f>L279+L277</f>
        <v>0</v>
      </c>
      <c r="M276" s="3857" t="s">
        <v>52</v>
      </c>
      <c r="N276" s="3754" t="s">
        <v>415</v>
      </c>
      <c r="O276" s="3108"/>
    </row>
    <row r="277" spans="1:15" s="2521" customFormat="1" ht="13.5" thickBot="1">
      <c r="A277" s="3894"/>
      <c r="B277" s="1595" t="s">
        <v>22</v>
      </c>
      <c r="C277" s="3885" t="s">
        <v>336</v>
      </c>
      <c r="D277" s="1187">
        <f t="shared" ref="D277:K279" si="189">+D278</f>
        <v>16222</v>
      </c>
      <c r="E277" s="1227">
        <f t="shared" si="189"/>
        <v>0</v>
      </c>
      <c r="F277" s="1187">
        <f t="shared" si="189"/>
        <v>15302</v>
      </c>
      <c r="G277" s="1187">
        <f t="shared" si="189"/>
        <v>920</v>
      </c>
      <c r="H277" s="1187">
        <f t="shared" si="189"/>
        <v>0</v>
      </c>
      <c r="I277" s="1187">
        <f t="shared" si="189"/>
        <v>0</v>
      </c>
      <c r="J277" s="1187">
        <f t="shared" si="189"/>
        <v>0</v>
      </c>
      <c r="K277" s="1227">
        <f t="shared" si="189"/>
        <v>0</v>
      </c>
      <c r="L277" s="1227">
        <f>+L278</f>
        <v>0</v>
      </c>
      <c r="M277" s="3857"/>
      <c r="N277" s="3763"/>
      <c r="O277" s="3108"/>
    </row>
    <row r="278" spans="1:15" s="2521" customFormat="1" ht="13.5" thickBot="1">
      <c r="A278" s="3894"/>
      <c r="B278" s="2096" t="s">
        <v>12</v>
      </c>
      <c r="C278" s="3887"/>
      <c r="D278" s="1160">
        <f>E278+L278+F278+G278+H278+I278+J278+K278</f>
        <v>16222</v>
      </c>
      <c r="E278" s="1509">
        <v>0</v>
      </c>
      <c r="F278" s="1510">
        <f>15302+920-920</f>
        <v>15302</v>
      </c>
      <c r="G278" s="1510">
        <v>920</v>
      </c>
      <c r="H278" s="1510"/>
      <c r="I278" s="1510"/>
      <c r="J278" s="1510"/>
      <c r="K278" s="1509">
        <v>0</v>
      </c>
      <c r="L278" s="1509">
        <v>0</v>
      </c>
      <c r="M278" s="3857"/>
      <c r="N278" s="3763"/>
      <c r="O278" s="3108"/>
    </row>
    <row r="279" spans="1:15" s="2521" customFormat="1">
      <c r="A279" s="3894"/>
      <c r="B279" s="1588" t="s">
        <v>17</v>
      </c>
      <c r="C279" s="3887"/>
      <c r="D279" s="1489">
        <f t="shared" si="189"/>
        <v>552978</v>
      </c>
      <c r="E279" s="1227">
        <f t="shared" si="189"/>
        <v>0</v>
      </c>
      <c r="F279" s="1187">
        <f t="shared" si="189"/>
        <v>521598</v>
      </c>
      <c r="G279" s="1187">
        <f t="shared" si="189"/>
        <v>31380</v>
      </c>
      <c r="H279" s="1187">
        <f t="shared" si="189"/>
        <v>0</v>
      </c>
      <c r="I279" s="1187">
        <f t="shared" si="189"/>
        <v>0</v>
      </c>
      <c r="J279" s="1187">
        <f t="shared" si="189"/>
        <v>0</v>
      </c>
      <c r="K279" s="1227">
        <f t="shared" si="189"/>
        <v>0</v>
      </c>
      <c r="L279" s="1227">
        <f>+L280</f>
        <v>0</v>
      </c>
      <c r="M279" s="3857"/>
      <c r="N279" s="3965"/>
      <c r="O279" s="3108"/>
    </row>
    <row r="280" spans="1:15" s="2521" customFormat="1" ht="13.5" thickBot="1">
      <c r="A280" s="3895"/>
      <c r="B280" s="1679" t="s">
        <v>19</v>
      </c>
      <c r="C280" s="3886"/>
      <c r="D280" s="1636">
        <f>E280+L280+F280+G280+H280+I280+J280+K280</f>
        <v>552978</v>
      </c>
      <c r="E280" s="1909">
        <v>0</v>
      </c>
      <c r="F280" s="1433">
        <f>521599+31379-31380</f>
        <v>521598</v>
      </c>
      <c r="G280" s="1433">
        <v>31380</v>
      </c>
      <c r="H280" s="1433"/>
      <c r="I280" s="1433"/>
      <c r="J280" s="1433"/>
      <c r="K280" s="1434">
        <v>0</v>
      </c>
      <c r="L280" s="1434">
        <v>0</v>
      </c>
      <c r="M280" s="3701"/>
      <c r="N280" s="3754"/>
      <c r="O280" s="3108"/>
    </row>
    <row r="281" spans="1:15" s="2521" customFormat="1" ht="26.25" customHeight="1">
      <c r="A281" s="3850" t="s">
        <v>267</v>
      </c>
      <c r="B281" s="973" t="s">
        <v>443</v>
      </c>
      <c r="C281" s="974" t="s">
        <v>99</v>
      </c>
      <c r="D281" s="915"/>
      <c r="E281" s="2098"/>
      <c r="F281" s="2098"/>
      <c r="G281" s="2098"/>
      <c r="H281" s="2098"/>
      <c r="I281" s="2098"/>
      <c r="J281" s="2098"/>
      <c r="K281" s="34"/>
      <c r="L281" s="2098"/>
      <c r="M281" s="470"/>
      <c r="N281" s="3861" t="s">
        <v>284</v>
      </c>
      <c r="O281" s="3108"/>
    </row>
    <row r="282" spans="1:15" s="2521" customFormat="1">
      <c r="A282" s="3851"/>
      <c r="B282" s="1587" t="s">
        <v>9</v>
      </c>
      <c r="C282" s="975"/>
      <c r="D282" s="1594">
        <f>+D283+D290</f>
        <v>1113035</v>
      </c>
      <c r="E282" s="2792">
        <f t="shared" ref="E282:M282" si="190">+E283+E290</f>
        <v>0</v>
      </c>
      <c r="F282" s="1222">
        <f t="shared" si="190"/>
        <v>210500</v>
      </c>
      <c r="G282" s="1222">
        <f t="shared" si="190"/>
        <v>475991</v>
      </c>
      <c r="H282" s="1222">
        <f t="shared" si="190"/>
        <v>351828</v>
      </c>
      <c r="I282" s="1222">
        <f t="shared" si="190"/>
        <v>74716</v>
      </c>
      <c r="J282" s="2792">
        <f t="shared" si="190"/>
        <v>0</v>
      </c>
      <c r="K282" s="2792">
        <f t="shared" si="190"/>
        <v>0</v>
      </c>
      <c r="L282" s="2792">
        <f>+L283+L290</f>
        <v>0</v>
      </c>
      <c r="M282" s="1179">
        <f t="shared" si="190"/>
        <v>902535</v>
      </c>
      <c r="N282" s="3859"/>
      <c r="O282" s="3108"/>
    </row>
    <row r="283" spans="1:15" s="2521" customFormat="1">
      <c r="A283" s="3851"/>
      <c r="B283" s="1588" t="s">
        <v>22</v>
      </c>
      <c r="C283" s="3891" t="s">
        <v>401</v>
      </c>
      <c r="D283" s="1416">
        <f>+D284+D287</f>
        <v>174969</v>
      </c>
      <c r="E283" s="2793">
        <f t="shared" ref="E283:K283" si="191">+E284+E287</f>
        <v>0</v>
      </c>
      <c r="F283" s="1416">
        <f t="shared" si="191"/>
        <v>33091</v>
      </c>
      <c r="G283" s="1416">
        <f t="shared" si="191"/>
        <v>74826</v>
      </c>
      <c r="H283" s="1416">
        <f t="shared" si="191"/>
        <v>55307</v>
      </c>
      <c r="I283" s="1416">
        <f t="shared" si="191"/>
        <v>11745</v>
      </c>
      <c r="J283" s="2793">
        <f t="shared" si="191"/>
        <v>0</v>
      </c>
      <c r="K283" s="2793">
        <f t="shared" si="191"/>
        <v>0</v>
      </c>
      <c r="L283" s="2793">
        <f>+L284+L287</f>
        <v>0</v>
      </c>
      <c r="M283" s="1680">
        <f>+M284+M287</f>
        <v>141878</v>
      </c>
      <c r="N283" s="3859"/>
      <c r="O283" s="3108"/>
    </row>
    <row r="284" spans="1:15" s="2521" customFormat="1" hidden="1">
      <c r="A284" s="3851"/>
      <c r="B284" s="1589" t="s">
        <v>11</v>
      </c>
      <c r="C284" s="3892"/>
      <c r="D284" s="1115">
        <f>E284+L284+F284+G284+H284+I284+J284+K284</f>
        <v>0</v>
      </c>
      <c r="E284" s="2802">
        <v>0</v>
      </c>
      <c r="F284" s="1470">
        <f>F285+F286</f>
        <v>0</v>
      </c>
      <c r="G284" s="1470">
        <f t="shared" ref="G284:K284" si="192">G285+G286</f>
        <v>0</v>
      </c>
      <c r="H284" s="1470">
        <f t="shared" si="192"/>
        <v>0</v>
      </c>
      <c r="I284" s="1470">
        <f t="shared" si="192"/>
        <v>0</v>
      </c>
      <c r="J284" s="2796">
        <f t="shared" si="192"/>
        <v>0</v>
      </c>
      <c r="K284" s="2796">
        <f t="shared" si="192"/>
        <v>0</v>
      </c>
      <c r="L284" s="2796">
        <v>0</v>
      </c>
      <c r="M284" s="2811">
        <f>SUM(F284:K284)</f>
        <v>0</v>
      </c>
      <c r="N284" s="3859"/>
      <c r="O284" s="3108"/>
    </row>
    <row r="285" spans="1:15" s="2521" customFormat="1" hidden="1">
      <c r="A285" s="3851"/>
      <c r="B285" s="2803" t="s">
        <v>269</v>
      </c>
      <c r="C285" s="3892"/>
      <c r="D285" s="2797">
        <f>SUM(E285:K285)</f>
        <v>0</v>
      </c>
      <c r="E285" s="1507">
        <v>0</v>
      </c>
      <c r="F285" s="2798"/>
      <c r="G285" s="2798"/>
      <c r="H285" s="2798"/>
      <c r="I285" s="2798">
        <v>0</v>
      </c>
      <c r="J285" s="1507">
        <v>0</v>
      </c>
      <c r="K285" s="1507">
        <v>0</v>
      </c>
      <c r="L285" s="2799">
        <v>0</v>
      </c>
      <c r="M285" s="2794">
        <f>SUM(F285:K285)</f>
        <v>0</v>
      </c>
      <c r="N285" s="3859"/>
      <c r="O285" s="3108"/>
    </row>
    <row r="286" spans="1:15" s="2521" customFormat="1" hidden="1">
      <c r="A286" s="3851"/>
      <c r="B286" s="2804" t="s">
        <v>279</v>
      </c>
      <c r="C286" s="3892"/>
      <c r="D286" s="2805">
        <f>SUM(E286:K286)</f>
        <v>0</v>
      </c>
      <c r="E286" s="2806">
        <v>0</v>
      </c>
      <c r="F286" s="2807"/>
      <c r="G286" s="2807"/>
      <c r="H286" s="2807"/>
      <c r="I286" s="2807">
        <v>0</v>
      </c>
      <c r="J286" s="2806">
        <v>0</v>
      </c>
      <c r="K286" s="2806">
        <v>0</v>
      </c>
      <c r="L286" s="2808">
        <v>0</v>
      </c>
      <c r="M286" s="2794">
        <f>SUM(F286:K286)</f>
        <v>0</v>
      </c>
      <c r="N286" s="3859"/>
      <c r="O286" s="3108"/>
    </row>
    <row r="287" spans="1:15" s="2521" customFormat="1">
      <c r="A287" s="3851"/>
      <c r="B287" s="2096" t="s">
        <v>12</v>
      </c>
      <c r="C287" s="3892"/>
      <c r="D287" s="1115">
        <f>E287+L287+F287+G287+H287+I287+J287+K287</f>
        <v>174969</v>
      </c>
      <c r="E287" s="2802">
        <v>0</v>
      </c>
      <c r="F287" s="1470">
        <f>F288+F289</f>
        <v>33091</v>
      </c>
      <c r="G287" s="1470">
        <f t="shared" ref="G287:K287" si="193">G288+G289</f>
        <v>74826</v>
      </c>
      <c r="H287" s="1470">
        <f t="shared" si="193"/>
        <v>55307</v>
      </c>
      <c r="I287" s="1470">
        <f t="shared" si="193"/>
        <v>11745</v>
      </c>
      <c r="J287" s="2796">
        <f t="shared" si="193"/>
        <v>0</v>
      </c>
      <c r="K287" s="2796">
        <f t="shared" si="193"/>
        <v>0</v>
      </c>
      <c r="L287" s="2796">
        <v>0</v>
      </c>
      <c r="M287" s="1441">
        <f>SUM(G287:K287)</f>
        <v>141878</v>
      </c>
      <c r="N287" s="3859"/>
      <c r="O287" s="3108"/>
    </row>
    <row r="288" spans="1:15" s="2521" customFormat="1" hidden="1">
      <c r="A288" s="3851"/>
      <c r="B288" s="2803" t="s">
        <v>269</v>
      </c>
      <c r="C288" s="3892"/>
      <c r="D288" s="2797">
        <f>SUM(E288:K288)</f>
        <v>115553</v>
      </c>
      <c r="E288" s="1507">
        <v>0</v>
      </c>
      <c r="F288" s="2798">
        <f>27998-5935</f>
        <v>22063</v>
      </c>
      <c r="G288" s="2798">
        <f>38418+5935</f>
        <v>44353</v>
      </c>
      <c r="H288" s="2798">
        <v>38208</v>
      </c>
      <c r="I288" s="2798">
        <v>10929</v>
      </c>
      <c r="J288" s="1507">
        <v>0</v>
      </c>
      <c r="K288" s="1507">
        <v>0</v>
      </c>
      <c r="L288" s="2799">
        <v>0</v>
      </c>
      <c r="M288" s="1441">
        <f t="shared" ref="M288:M289" si="194">SUM(F288:K288)</f>
        <v>115553</v>
      </c>
      <c r="N288" s="3859"/>
      <c r="O288" s="3108">
        <f>D287-D296</f>
        <v>0</v>
      </c>
    </row>
    <row r="289" spans="1:15" s="2521" customFormat="1" hidden="1">
      <c r="A289" s="3851"/>
      <c r="B289" s="2804" t="s">
        <v>279</v>
      </c>
      <c r="C289" s="3892"/>
      <c r="D289" s="2805">
        <f>SUM(E289:K289)</f>
        <v>59416</v>
      </c>
      <c r="E289" s="2806">
        <v>0</v>
      </c>
      <c r="F289" s="2807">
        <f>18226-7198</f>
        <v>11028</v>
      </c>
      <c r="G289" s="2807">
        <f>23275+7198</f>
        <v>30473</v>
      </c>
      <c r="H289" s="2807">
        <v>17099</v>
      </c>
      <c r="I289" s="2807">
        <v>816</v>
      </c>
      <c r="J289" s="2806">
        <v>0</v>
      </c>
      <c r="K289" s="2806">
        <v>0</v>
      </c>
      <c r="L289" s="2808">
        <v>0</v>
      </c>
      <c r="M289" s="1441">
        <f t="shared" si="194"/>
        <v>59416</v>
      </c>
      <c r="N289" s="3859"/>
      <c r="O289" s="3108"/>
    </row>
    <row r="290" spans="1:15" s="2521" customFormat="1">
      <c r="A290" s="3851"/>
      <c r="B290" s="1588" t="s">
        <v>17</v>
      </c>
      <c r="C290" s="3892"/>
      <c r="D290" s="1187">
        <f>+D291</f>
        <v>938066</v>
      </c>
      <c r="E290" s="1227">
        <f t="shared" ref="E290:K290" si="195">+E291</f>
        <v>0</v>
      </c>
      <c r="F290" s="1187">
        <f t="shared" si="195"/>
        <v>177409</v>
      </c>
      <c r="G290" s="1187">
        <f t="shared" si="195"/>
        <v>401165</v>
      </c>
      <c r="H290" s="1187">
        <f t="shared" si="195"/>
        <v>296521</v>
      </c>
      <c r="I290" s="1187">
        <f t="shared" si="195"/>
        <v>62971</v>
      </c>
      <c r="J290" s="1227">
        <f t="shared" si="195"/>
        <v>0</v>
      </c>
      <c r="K290" s="1227">
        <f t="shared" si="195"/>
        <v>0</v>
      </c>
      <c r="L290" s="1227">
        <f>+L291</f>
        <v>0</v>
      </c>
      <c r="M290" s="1443">
        <f>+M291</f>
        <v>760657</v>
      </c>
      <c r="N290" s="3859"/>
      <c r="O290" s="3108">
        <f>D291-D298</f>
        <v>0</v>
      </c>
    </row>
    <row r="291" spans="1:15" s="2521" customFormat="1">
      <c r="A291" s="3851"/>
      <c r="B291" s="1589" t="s">
        <v>19</v>
      </c>
      <c r="C291" s="3892"/>
      <c r="D291" s="1115">
        <f>E291+L291+F291+G291+H291+I291+J291+K291</f>
        <v>938066</v>
      </c>
      <c r="E291" s="2802">
        <v>0</v>
      </c>
      <c r="F291" s="1190">
        <f>F292+F293</f>
        <v>177409</v>
      </c>
      <c r="G291" s="1190">
        <f t="shared" ref="G291:K291" si="196">G292+G293</f>
        <v>401165</v>
      </c>
      <c r="H291" s="1190">
        <f t="shared" si="196"/>
        <v>296521</v>
      </c>
      <c r="I291" s="1190">
        <f t="shared" si="196"/>
        <v>62971</v>
      </c>
      <c r="J291" s="2246">
        <f t="shared" si="196"/>
        <v>0</v>
      </c>
      <c r="K291" s="2246">
        <f t="shared" si="196"/>
        <v>0</v>
      </c>
      <c r="L291" s="2246">
        <v>0</v>
      </c>
      <c r="M291" s="1441">
        <f>SUM(G291:K291)</f>
        <v>760657</v>
      </c>
      <c r="N291" s="3859"/>
      <c r="O291" s="3108"/>
    </row>
    <row r="292" spans="1:15" s="2521" customFormat="1" hidden="1">
      <c r="A292" s="3851"/>
      <c r="B292" s="2803" t="s">
        <v>269</v>
      </c>
      <c r="C292" s="2809"/>
      <c r="D292" s="2797">
        <f>SUM(E292:K292)</f>
        <v>619522</v>
      </c>
      <c r="E292" s="1507">
        <v>0</v>
      </c>
      <c r="F292" s="2798">
        <f>150106-31824</f>
        <v>118282</v>
      </c>
      <c r="G292" s="2798">
        <f>205970+31824</f>
        <v>237794</v>
      </c>
      <c r="H292" s="2798">
        <v>204850</v>
      </c>
      <c r="I292" s="2798">
        <v>58596</v>
      </c>
      <c r="J292" s="1507">
        <v>0</v>
      </c>
      <c r="K292" s="1507">
        <v>0</v>
      </c>
      <c r="L292" s="1507">
        <v>0</v>
      </c>
      <c r="M292" s="2794">
        <f>SUM(F292:K292)</f>
        <v>619522</v>
      </c>
      <c r="N292" s="3859"/>
      <c r="O292" s="3108"/>
    </row>
    <row r="293" spans="1:15" s="2521" customFormat="1" hidden="1">
      <c r="A293" s="3851"/>
      <c r="B293" s="2804" t="s">
        <v>279</v>
      </c>
      <c r="C293" s="2810"/>
      <c r="D293" s="2805">
        <f>SUM(E293:K293)</f>
        <v>318544</v>
      </c>
      <c r="E293" s="2806">
        <v>0</v>
      </c>
      <c r="F293" s="2807">
        <f>97714-38587</f>
        <v>59127</v>
      </c>
      <c r="G293" s="2807">
        <f>124784+38587</f>
        <v>163371</v>
      </c>
      <c r="H293" s="2807">
        <v>91671</v>
      </c>
      <c r="I293" s="2807">
        <v>4375</v>
      </c>
      <c r="J293" s="2806">
        <v>0</v>
      </c>
      <c r="K293" s="2806">
        <v>0</v>
      </c>
      <c r="L293" s="2806">
        <v>0</v>
      </c>
      <c r="M293" s="2794">
        <f>SUM(F293:K293)</f>
        <v>318544</v>
      </c>
      <c r="N293" s="3860"/>
      <c r="O293" s="3108"/>
    </row>
    <row r="294" spans="1:15" s="2521" customFormat="1">
      <c r="A294" s="3894"/>
      <c r="B294" s="1587" t="s">
        <v>20</v>
      </c>
      <c r="C294" s="1587"/>
      <c r="D294" s="1442">
        <f>D297+D295</f>
        <v>1113035</v>
      </c>
      <c r="E294" s="2800">
        <f t="shared" ref="E294:K294" si="197">E297+E295</f>
        <v>0</v>
      </c>
      <c r="F294" s="1442">
        <f t="shared" si="197"/>
        <v>210500</v>
      </c>
      <c r="G294" s="1442">
        <f t="shared" si="197"/>
        <v>475991</v>
      </c>
      <c r="H294" s="1442">
        <f t="shared" si="197"/>
        <v>351828</v>
      </c>
      <c r="I294" s="1442">
        <f t="shared" si="197"/>
        <v>74716</v>
      </c>
      <c r="J294" s="2800">
        <f t="shared" si="197"/>
        <v>0</v>
      </c>
      <c r="K294" s="2800">
        <f t="shared" si="197"/>
        <v>0</v>
      </c>
      <c r="L294" s="2800">
        <f>L297+L295</f>
        <v>0</v>
      </c>
      <c r="M294" s="3857" t="s">
        <v>52</v>
      </c>
      <c r="N294" s="3752" t="s">
        <v>279</v>
      </c>
      <c r="O294" s="3108"/>
    </row>
    <row r="295" spans="1:15" s="2521" customFormat="1">
      <c r="A295" s="3894"/>
      <c r="B295" s="1595" t="s">
        <v>22</v>
      </c>
      <c r="C295" s="3885" t="s">
        <v>404</v>
      </c>
      <c r="D295" s="1187">
        <f t="shared" ref="D295:K297" si="198">+D296</f>
        <v>174969</v>
      </c>
      <c r="E295" s="1227">
        <f t="shared" si="198"/>
        <v>0</v>
      </c>
      <c r="F295" s="1187">
        <f t="shared" si="198"/>
        <v>33091</v>
      </c>
      <c r="G295" s="1187">
        <f t="shared" si="198"/>
        <v>74826</v>
      </c>
      <c r="H295" s="1187">
        <f t="shared" si="198"/>
        <v>55307</v>
      </c>
      <c r="I295" s="1187">
        <f t="shared" si="198"/>
        <v>11745</v>
      </c>
      <c r="J295" s="1227">
        <f t="shared" si="198"/>
        <v>0</v>
      </c>
      <c r="K295" s="1227">
        <f t="shared" si="198"/>
        <v>0</v>
      </c>
      <c r="L295" s="1227">
        <f>+L296</f>
        <v>0</v>
      </c>
      <c r="M295" s="3857"/>
      <c r="N295" s="3753"/>
      <c r="O295" s="3108"/>
    </row>
    <row r="296" spans="1:15" s="2521" customFormat="1">
      <c r="A296" s="3894"/>
      <c r="B296" s="2096" t="s">
        <v>12</v>
      </c>
      <c r="C296" s="3887"/>
      <c r="D296" s="1160">
        <f>E296+L296+F296+G296+H296+I296+J296+K296</f>
        <v>174969</v>
      </c>
      <c r="E296" s="1509">
        <v>0</v>
      </c>
      <c r="F296" s="1510">
        <f>46224-13133</f>
        <v>33091</v>
      </c>
      <c r="G296" s="1510">
        <f>61693+13133</f>
        <v>74826</v>
      </c>
      <c r="H296" s="1510">
        <v>55307</v>
      </c>
      <c r="I296" s="1510">
        <v>11745</v>
      </c>
      <c r="J296" s="1509">
        <v>0</v>
      </c>
      <c r="K296" s="1509">
        <v>0</v>
      </c>
      <c r="L296" s="1509">
        <v>0</v>
      </c>
      <c r="M296" s="3857"/>
      <c r="N296" s="3753"/>
      <c r="O296" s="3108"/>
    </row>
    <row r="297" spans="1:15" s="2521" customFormat="1">
      <c r="A297" s="3894"/>
      <c r="B297" s="1588" t="s">
        <v>17</v>
      </c>
      <c r="C297" s="3887"/>
      <c r="D297" s="1489">
        <f t="shared" si="198"/>
        <v>938066</v>
      </c>
      <c r="E297" s="1227">
        <f t="shared" si="198"/>
        <v>0</v>
      </c>
      <c r="F297" s="1489">
        <f t="shared" si="198"/>
        <v>177409</v>
      </c>
      <c r="G297" s="1489">
        <f t="shared" si="198"/>
        <v>401165</v>
      </c>
      <c r="H297" s="1489">
        <f t="shared" si="198"/>
        <v>296521</v>
      </c>
      <c r="I297" s="1489">
        <f t="shared" si="198"/>
        <v>62971</v>
      </c>
      <c r="J297" s="1227">
        <f t="shared" si="198"/>
        <v>0</v>
      </c>
      <c r="K297" s="1227">
        <f t="shared" si="198"/>
        <v>0</v>
      </c>
      <c r="L297" s="1227">
        <f>+L298</f>
        <v>0</v>
      </c>
      <c r="M297" s="3857"/>
      <c r="N297" s="3753"/>
      <c r="O297" s="3108"/>
    </row>
    <row r="298" spans="1:15" s="2521" customFormat="1" ht="13.5" thickBot="1">
      <c r="A298" s="3895"/>
      <c r="B298" s="1679" t="s">
        <v>19</v>
      </c>
      <c r="C298" s="3886"/>
      <c r="D298" s="1636">
        <f>E298+L298+F298+G298+H298+I298+J298+K298</f>
        <v>938066</v>
      </c>
      <c r="E298" s="1909">
        <v>0</v>
      </c>
      <c r="F298" s="1636">
        <f>247820-70411</f>
        <v>177409</v>
      </c>
      <c r="G298" s="1636">
        <f>330754+70411</f>
        <v>401165</v>
      </c>
      <c r="H298" s="1636">
        <v>296521</v>
      </c>
      <c r="I298" s="1636">
        <v>62971</v>
      </c>
      <c r="J298" s="1434">
        <v>0</v>
      </c>
      <c r="K298" s="1434">
        <v>0</v>
      </c>
      <c r="L298" s="1434">
        <v>0</v>
      </c>
      <c r="M298" s="3701"/>
      <c r="N298" s="3754"/>
      <c r="O298" s="3108"/>
    </row>
    <row r="299" spans="1:15" s="2512" customFormat="1" ht="48">
      <c r="A299" s="3850" t="s">
        <v>94</v>
      </c>
      <c r="B299" s="973" t="s">
        <v>607</v>
      </c>
      <c r="C299" s="974" t="s">
        <v>99</v>
      </c>
      <c r="D299" s="915"/>
      <c r="E299" s="2098"/>
      <c r="F299" s="2098"/>
      <c r="G299" s="2098"/>
      <c r="H299" s="2098"/>
      <c r="I299" s="2098"/>
      <c r="J299" s="2098"/>
      <c r="K299" s="34"/>
      <c r="L299" s="2098"/>
      <c r="M299" s="470"/>
      <c r="N299" s="3528"/>
      <c r="O299" s="3108"/>
    </row>
    <row r="300" spans="1:15" s="2512" customFormat="1">
      <c r="A300" s="3851"/>
      <c r="B300" s="1587" t="s">
        <v>9</v>
      </c>
      <c r="C300" s="975"/>
      <c r="D300" s="1594">
        <f>D301+D306</f>
        <v>395741</v>
      </c>
      <c r="E300" s="2792">
        <f t="shared" ref="E300:M300" si="199">E301+E306</f>
        <v>0</v>
      </c>
      <c r="F300" s="2792">
        <f t="shared" si="199"/>
        <v>0</v>
      </c>
      <c r="G300" s="1594">
        <f t="shared" si="199"/>
        <v>107226</v>
      </c>
      <c r="H300" s="1594">
        <f t="shared" si="199"/>
        <v>147677</v>
      </c>
      <c r="I300" s="1594">
        <f t="shared" si="199"/>
        <v>129127</v>
      </c>
      <c r="J300" s="1594">
        <f t="shared" si="199"/>
        <v>11711</v>
      </c>
      <c r="K300" s="2792">
        <f t="shared" si="199"/>
        <v>0</v>
      </c>
      <c r="L300" s="1594">
        <f t="shared" si="199"/>
        <v>0</v>
      </c>
      <c r="M300" s="979">
        <f t="shared" si="199"/>
        <v>395741</v>
      </c>
      <c r="N300" s="3753" t="s">
        <v>610</v>
      </c>
      <c r="O300" s="3108"/>
    </row>
    <row r="301" spans="1:15" s="2512" customFormat="1" ht="12.75" customHeight="1">
      <c r="A301" s="3851"/>
      <c r="B301" s="1588" t="s">
        <v>22</v>
      </c>
      <c r="C301" s="3852" t="s">
        <v>608</v>
      </c>
      <c r="D301" s="1416">
        <f>D302</f>
        <v>59362</v>
      </c>
      <c r="E301" s="2796">
        <f>E302</f>
        <v>0</v>
      </c>
      <c r="F301" s="2796">
        <f t="shared" ref="F301:L301" si="200">F302</f>
        <v>0</v>
      </c>
      <c r="G301" s="1416">
        <f t="shared" si="200"/>
        <v>16084</v>
      </c>
      <c r="H301" s="1416">
        <f t="shared" si="200"/>
        <v>22152</v>
      </c>
      <c r="I301" s="1416">
        <f t="shared" si="200"/>
        <v>19369</v>
      </c>
      <c r="J301" s="1416">
        <f t="shared" si="200"/>
        <v>1757</v>
      </c>
      <c r="K301" s="2796">
        <f t="shared" si="200"/>
        <v>0</v>
      </c>
      <c r="L301" s="2793">
        <f t="shared" si="200"/>
        <v>0</v>
      </c>
      <c r="M301" s="1680">
        <f>M302</f>
        <v>59362</v>
      </c>
      <c r="N301" s="3753"/>
      <c r="O301" s="3108"/>
    </row>
    <row r="302" spans="1:15" s="2512" customFormat="1" ht="13.5" customHeight="1" thickBot="1">
      <c r="A302" s="3851"/>
      <c r="B302" s="1589" t="s">
        <v>11</v>
      </c>
      <c r="C302" s="3853"/>
      <c r="D302" s="1115">
        <f>D303+D304</f>
        <v>59362</v>
      </c>
      <c r="E302" s="2802">
        <f>E303+E304</f>
        <v>0</v>
      </c>
      <c r="F302" s="2802">
        <f t="shared" ref="F302:K302" si="201">F303+F304</f>
        <v>0</v>
      </c>
      <c r="G302" s="1416">
        <f t="shared" si="201"/>
        <v>16084</v>
      </c>
      <c r="H302" s="1416">
        <f t="shared" si="201"/>
        <v>22152</v>
      </c>
      <c r="I302" s="1416">
        <f t="shared" si="201"/>
        <v>19369</v>
      </c>
      <c r="J302" s="1416">
        <f t="shared" si="201"/>
        <v>1757</v>
      </c>
      <c r="K302" s="2796">
        <f t="shared" si="201"/>
        <v>0</v>
      </c>
      <c r="L302" s="3529"/>
      <c r="M302" s="1441">
        <f>M303+M304</f>
        <v>59362</v>
      </c>
      <c r="N302" s="3753"/>
      <c r="O302" s="3108"/>
    </row>
    <row r="303" spans="1:15" s="2512" customFormat="1" ht="13.5" hidden="1" thickBot="1">
      <c r="A303" s="3851"/>
      <c r="B303" s="1589" t="s">
        <v>269</v>
      </c>
      <c r="C303" s="3853"/>
      <c r="D303" s="1115">
        <f>E303+F303+G303+H303+I303+J303+K303</f>
        <v>23637</v>
      </c>
      <c r="E303" s="2802">
        <v>0</v>
      </c>
      <c r="F303" s="2802">
        <v>0</v>
      </c>
      <c r="G303" s="1470">
        <v>6639</v>
      </c>
      <c r="H303" s="1470">
        <v>7702</v>
      </c>
      <c r="I303" s="1470">
        <v>7702</v>
      </c>
      <c r="J303" s="1470">
        <v>1594</v>
      </c>
      <c r="K303" s="2796">
        <v>0</v>
      </c>
      <c r="L303" s="3529"/>
      <c r="M303" s="2794">
        <f>SUM(G303:K303)</f>
        <v>23637</v>
      </c>
      <c r="N303" s="3753"/>
      <c r="O303" s="3108"/>
    </row>
    <row r="304" spans="1:15" s="2512" customFormat="1" ht="13.5" hidden="1" thickBot="1">
      <c r="A304" s="3851"/>
      <c r="B304" s="1589" t="s">
        <v>606</v>
      </c>
      <c r="C304" s="3853"/>
      <c r="D304" s="1160">
        <f>E304+F304+G304+H304+I304+J304+K304</f>
        <v>35725</v>
      </c>
      <c r="E304" s="2802">
        <v>0</v>
      </c>
      <c r="F304" s="2802">
        <v>0</v>
      </c>
      <c r="G304" s="1470">
        <v>9445</v>
      </c>
      <c r="H304" s="1470">
        <v>14450</v>
      </c>
      <c r="I304" s="1470">
        <v>11667</v>
      </c>
      <c r="J304" s="1470">
        <v>163</v>
      </c>
      <c r="K304" s="2796">
        <v>0</v>
      </c>
      <c r="L304" s="3529"/>
      <c r="M304" s="2794">
        <f>SUM(G304:K304)</f>
        <v>35725</v>
      </c>
      <c r="N304" s="3753"/>
      <c r="O304" s="3108"/>
    </row>
    <row r="305" spans="1:15" s="2512" customFormat="1">
      <c r="A305" s="3851"/>
      <c r="B305" s="1588" t="s">
        <v>17</v>
      </c>
      <c r="C305" s="3853"/>
      <c r="D305" s="1187">
        <f>D306</f>
        <v>336379</v>
      </c>
      <c r="E305" s="2796">
        <f t="shared" ref="E305:L305" si="202">E306</f>
        <v>0</v>
      </c>
      <c r="F305" s="2796">
        <f t="shared" si="202"/>
        <v>0</v>
      </c>
      <c r="G305" s="1187">
        <f t="shared" si="202"/>
        <v>91142</v>
      </c>
      <c r="H305" s="1187">
        <f t="shared" si="202"/>
        <v>125525</v>
      </c>
      <c r="I305" s="1187">
        <f t="shared" si="202"/>
        <v>109758</v>
      </c>
      <c r="J305" s="1187">
        <f t="shared" si="202"/>
        <v>9954</v>
      </c>
      <c r="K305" s="2796">
        <f t="shared" si="202"/>
        <v>0</v>
      </c>
      <c r="L305" s="1187">
        <f t="shared" si="202"/>
        <v>0</v>
      </c>
      <c r="M305" s="3530">
        <f>M306</f>
        <v>336379</v>
      </c>
      <c r="N305" s="3753"/>
      <c r="O305" s="3108"/>
    </row>
    <row r="306" spans="1:15" s="2512" customFormat="1" ht="13.5" thickBot="1">
      <c r="A306" s="3851"/>
      <c r="B306" s="1589" t="s">
        <v>19</v>
      </c>
      <c r="C306" s="3853"/>
      <c r="D306" s="1115">
        <f>D307+D308</f>
        <v>336379</v>
      </c>
      <c r="E306" s="2802">
        <f>E307+E308</f>
        <v>0</v>
      </c>
      <c r="F306" s="2802">
        <f t="shared" ref="F306" si="203">F307+F308</f>
        <v>0</v>
      </c>
      <c r="G306" s="1470">
        <f t="shared" ref="G306" si="204">G307+G308</f>
        <v>91142</v>
      </c>
      <c r="H306" s="1470">
        <f t="shared" ref="H306" si="205">H307+H308</f>
        <v>125525</v>
      </c>
      <c r="I306" s="1470">
        <f t="shared" ref="I306" si="206">I307+I308</f>
        <v>109758</v>
      </c>
      <c r="J306" s="1470">
        <f t="shared" ref="J306" si="207">J307+J308</f>
        <v>9954</v>
      </c>
      <c r="K306" s="2796">
        <f t="shared" ref="K306" si="208">K307+K308</f>
        <v>0</v>
      </c>
      <c r="L306" s="3529"/>
      <c r="M306" s="3531">
        <f>M307+M308</f>
        <v>336379</v>
      </c>
      <c r="N306" s="3753"/>
      <c r="O306" s="3108"/>
    </row>
    <row r="307" spans="1:15" s="2512" customFormat="1" ht="13.5" hidden="1" thickBot="1">
      <c r="A307" s="3851"/>
      <c r="B307" s="1589" t="s">
        <v>269</v>
      </c>
      <c r="C307" s="3853"/>
      <c r="D307" s="1115">
        <f>E307+F307+G307+H307+I307+J307+K307</f>
        <v>133942</v>
      </c>
      <c r="E307" s="2802">
        <v>0</v>
      </c>
      <c r="F307" s="2802">
        <v>0</v>
      </c>
      <c r="G307" s="1470">
        <v>37624</v>
      </c>
      <c r="H307" s="1470">
        <v>43644</v>
      </c>
      <c r="I307" s="1470">
        <v>43644</v>
      </c>
      <c r="J307" s="1470">
        <v>9030</v>
      </c>
      <c r="K307" s="2796">
        <v>0</v>
      </c>
      <c r="L307" s="3529"/>
      <c r="M307" s="3531">
        <f>SUM(G307:K307)</f>
        <v>133942</v>
      </c>
      <c r="N307" s="3753"/>
      <c r="O307" s="3108"/>
    </row>
    <row r="308" spans="1:15" s="2512" customFormat="1" ht="13.5" hidden="1" thickBot="1">
      <c r="A308" s="3851"/>
      <c r="B308" s="1589" t="s">
        <v>606</v>
      </c>
      <c r="C308" s="3854"/>
      <c r="D308" s="1155">
        <f>E308+F308+G308+H308+I308+J308+K308</f>
        <v>202437</v>
      </c>
      <c r="E308" s="2802">
        <v>0</v>
      </c>
      <c r="F308" s="2802">
        <v>0</v>
      </c>
      <c r="G308" s="1470">
        <v>53518</v>
      </c>
      <c r="H308" s="1470">
        <v>81881</v>
      </c>
      <c r="I308" s="1470">
        <v>66114</v>
      </c>
      <c r="J308" s="1470">
        <v>924</v>
      </c>
      <c r="K308" s="2796">
        <v>0</v>
      </c>
      <c r="L308" s="3529"/>
      <c r="M308" s="3532">
        <f>SUM(G308:K308)</f>
        <v>202437</v>
      </c>
      <c r="N308" s="3753"/>
      <c r="O308" s="3108"/>
    </row>
    <row r="309" spans="1:15" s="2512" customFormat="1" ht="13.5" thickBot="1">
      <c r="A309" s="3851"/>
      <c r="B309" s="1587" t="s">
        <v>20</v>
      </c>
      <c r="C309" s="975"/>
      <c r="D309" s="1442">
        <f>D310</f>
        <v>336379</v>
      </c>
      <c r="E309" s="2792">
        <f t="shared" ref="E309:K309" si="209">E310</f>
        <v>0</v>
      </c>
      <c r="F309" s="2792">
        <f t="shared" si="209"/>
        <v>0</v>
      </c>
      <c r="G309" s="2792">
        <f t="shared" si="209"/>
        <v>0</v>
      </c>
      <c r="H309" s="1442">
        <f t="shared" si="209"/>
        <v>112063</v>
      </c>
      <c r="I309" s="1442">
        <f t="shared" si="209"/>
        <v>122897</v>
      </c>
      <c r="J309" s="1442">
        <f t="shared" si="209"/>
        <v>101419</v>
      </c>
      <c r="K309" s="2792">
        <f t="shared" si="209"/>
        <v>0</v>
      </c>
      <c r="L309" s="3529"/>
      <c r="M309" s="3857" t="s">
        <v>52</v>
      </c>
      <c r="N309" s="3752" t="s">
        <v>606</v>
      </c>
      <c r="O309" s="3108"/>
    </row>
    <row r="310" spans="1:15" s="2512" customFormat="1" ht="13.5" thickBot="1">
      <c r="A310" s="3851"/>
      <c r="B310" s="1588" t="s">
        <v>17</v>
      </c>
      <c r="C310" s="3855" t="s">
        <v>609</v>
      </c>
      <c r="D310" s="1489">
        <f t="shared" ref="D310:L310" si="210">+D311</f>
        <v>336379</v>
      </c>
      <c r="E310" s="1227">
        <f t="shared" si="210"/>
        <v>0</v>
      </c>
      <c r="F310" s="1227">
        <f t="shared" si="210"/>
        <v>0</v>
      </c>
      <c r="G310" s="1227">
        <f t="shared" si="210"/>
        <v>0</v>
      </c>
      <c r="H310" s="1489">
        <f t="shared" si="210"/>
        <v>112063</v>
      </c>
      <c r="I310" s="1489">
        <f t="shared" si="210"/>
        <v>122897</v>
      </c>
      <c r="J310" s="1416">
        <f t="shared" si="210"/>
        <v>101419</v>
      </c>
      <c r="K310" s="1227">
        <f t="shared" si="210"/>
        <v>0</v>
      </c>
      <c r="L310" s="3533">
        <f t="shared" si="210"/>
        <v>0</v>
      </c>
      <c r="M310" s="3857">
        <f t="shared" ref="M310:M311" si="211">SUM(G310:K310)</f>
        <v>336379</v>
      </c>
      <c r="N310" s="3753"/>
      <c r="O310" s="3108"/>
    </row>
    <row r="311" spans="1:15" s="2512" customFormat="1" ht="16.5" customHeight="1" thickBot="1">
      <c r="A311" s="3851"/>
      <c r="B311" s="1679" t="s">
        <v>19</v>
      </c>
      <c r="C311" s="3856"/>
      <c r="D311" s="1636">
        <f>E311+L311+F311+G311+H311+I311+J311+K311</f>
        <v>336379</v>
      </c>
      <c r="E311" s="1909">
        <v>0</v>
      </c>
      <c r="F311" s="1909">
        <v>0</v>
      </c>
      <c r="G311" s="1909">
        <v>0</v>
      </c>
      <c r="H311" s="1636">
        <v>112063</v>
      </c>
      <c r="I311" s="1636">
        <v>122897</v>
      </c>
      <c r="J311" s="1473">
        <v>101419</v>
      </c>
      <c r="K311" s="1434"/>
      <c r="L311" s="3529"/>
      <c r="M311" s="3857">
        <f t="shared" si="211"/>
        <v>336379</v>
      </c>
      <c r="N311" s="3754"/>
      <c r="O311" s="3108"/>
    </row>
    <row r="312" spans="1:15" s="2512" customFormat="1" ht="36" customHeight="1" thickBot="1">
      <c r="A312" s="164" t="s">
        <v>544</v>
      </c>
      <c r="B312" s="165"/>
      <c r="C312" s="165"/>
      <c r="D312" s="165"/>
      <c r="E312" s="1112"/>
      <c r="F312" s="165"/>
      <c r="G312" s="165"/>
      <c r="H312" s="165"/>
      <c r="I312" s="165"/>
      <c r="J312" s="165"/>
      <c r="K312" s="165"/>
      <c r="L312" s="165"/>
      <c r="M312" s="743"/>
      <c r="N312" s="2735"/>
      <c r="O312" s="3108"/>
    </row>
    <row r="313" spans="1:15" s="2512" customFormat="1" ht="15.75" customHeight="1" thickBot="1">
      <c r="A313" s="3956"/>
      <c r="B313" s="178" t="s">
        <v>67</v>
      </c>
      <c r="C313" s="179"/>
      <c r="D313" s="2189">
        <f>D314+D315</f>
        <v>11960000</v>
      </c>
      <c r="E313" s="2988">
        <f t="shared" ref="E313:I313" si="212">E314+E315</f>
        <v>0</v>
      </c>
      <c r="F313" s="2988">
        <f t="shared" si="212"/>
        <v>0</v>
      </c>
      <c r="G313" s="180">
        <f t="shared" si="212"/>
        <v>3960000</v>
      </c>
      <c r="H313" s="180">
        <f t="shared" si="212"/>
        <v>4000000</v>
      </c>
      <c r="I313" s="180">
        <f t="shared" si="212"/>
        <v>4000000</v>
      </c>
      <c r="J313" s="2990">
        <v>0</v>
      </c>
      <c r="K313" s="2990">
        <v>0</v>
      </c>
      <c r="L313" s="180">
        <f>L314+L315</f>
        <v>0</v>
      </c>
      <c r="M313" s="2190">
        <f>M314+M315</f>
        <v>11960000</v>
      </c>
      <c r="N313" s="3959"/>
      <c r="O313" s="3108"/>
    </row>
    <row r="314" spans="1:15" s="2512" customFormat="1" ht="15.75" customHeight="1" thickBot="1">
      <c r="A314" s="3957"/>
      <c r="B314" s="181" t="s">
        <v>68</v>
      </c>
      <c r="C314" s="182"/>
      <c r="D314" s="2191">
        <f>D321</f>
        <v>11960000</v>
      </c>
      <c r="E314" s="911">
        <f t="shared" ref="E314:I314" si="213">E321</f>
        <v>0</v>
      </c>
      <c r="F314" s="911">
        <f t="shared" si="213"/>
        <v>0</v>
      </c>
      <c r="G314" s="189">
        <f t="shared" si="213"/>
        <v>3960000</v>
      </c>
      <c r="H314" s="189">
        <f t="shared" si="213"/>
        <v>4000000</v>
      </c>
      <c r="I314" s="189">
        <f t="shared" si="213"/>
        <v>4000000</v>
      </c>
      <c r="J314" s="2990">
        <v>0</v>
      </c>
      <c r="K314" s="2990">
        <v>0</v>
      </c>
      <c r="L314" s="189">
        <f>L321</f>
        <v>0</v>
      </c>
      <c r="M314" s="1929">
        <f>SUM(G314:K314)</f>
        <v>11960000</v>
      </c>
      <c r="N314" s="3960"/>
      <c r="O314" s="3108"/>
    </row>
    <row r="315" spans="1:15" s="2512" customFormat="1" ht="13.5" hidden="1" thickBot="1">
      <c r="A315" s="3957"/>
      <c r="B315" s="190" t="s">
        <v>8</v>
      </c>
      <c r="C315" s="182"/>
      <c r="D315" s="189">
        <v>0</v>
      </c>
      <c r="E315" s="2989">
        <v>0</v>
      </c>
      <c r="F315" s="2990">
        <v>0</v>
      </c>
      <c r="G315" s="2990">
        <v>0</v>
      </c>
      <c r="H315" s="2990">
        <v>0</v>
      </c>
      <c r="I315" s="2990">
        <v>0</v>
      </c>
      <c r="J315" s="2990">
        <v>0</v>
      </c>
      <c r="K315" s="2990">
        <v>0</v>
      </c>
      <c r="L315" s="183">
        <v>0</v>
      </c>
      <c r="M315" s="1504">
        <v>0</v>
      </c>
      <c r="N315" s="3961"/>
      <c r="O315" s="3108"/>
    </row>
    <row r="316" spans="1:15" s="2512" customFormat="1" ht="13.5" thickBot="1">
      <c r="A316" s="3957"/>
      <c r="B316" s="154" t="s">
        <v>9</v>
      </c>
      <c r="C316" s="155"/>
      <c r="D316" s="129">
        <f>D317</f>
        <v>11960000</v>
      </c>
      <c r="E316" s="2991">
        <f t="shared" ref="E316:K317" si="214">E317</f>
        <v>0</v>
      </c>
      <c r="F316" s="2991">
        <f t="shared" si="214"/>
        <v>0</v>
      </c>
      <c r="G316" s="129">
        <f t="shared" si="214"/>
        <v>3960000</v>
      </c>
      <c r="H316" s="129">
        <f t="shared" si="214"/>
        <v>4000000</v>
      </c>
      <c r="I316" s="129">
        <f t="shared" si="214"/>
        <v>4000000</v>
      </c>
      <c r="J316" s="129">
        <f t="shared" si="214"/>
        <v>0</v>
      </c>
      <c r="K316" s="129">
        <f t="shared" si="214"/>
        <v>0</v>
      </c>
      <c r="L316" s="129">
        <f>L317</f>
        <v>0</v>
      </c>
      <c r="M316" s="1953">
        <f>M317</f>
        <v>11960000</v>
      </c>
      <c r="N316" s="3961"/>
      <c r="O316" s="3108"/>
    </row>
    <row r="317" spans="1:15" s="2512" customFormat="1" ht="13.5" thickBot="1">
      <c r="A317" s="3957"/>
      <c r="B317" s="2969" t="s">
        <v>10</v>
      </c>
      <c r="C317" s="3963" t="s">
        <v>52</v>
      </c>
      <c r="D317" s="1244">
        <f>D318</f>
        <v>11960000</v>
      </c>
      <c r="E317" s="2992">
        <f t="shared" si="214"/>
        <v>0</v>
      </c>
      <c r="F317" s="2992">
        <f t="shared" si="214"/>
        <v>0</v>
      </c>
      <c r="G317" s="1244">
        <f t="shared" si="214"/>
        <v>3960000</v>
      </c>
      <c r="H317" s="1244">
        <f t="shared" si="214"/>
        <v>4000000</v>
      </c>
      <c r="I317" s="1244">
        <f t="shared" si="214"/>
        <v>4000000</v>
      </c>
      <c r="J317" s="1244">
        <f t="shared" si="214"/>
        <v>0</v>
      </c>
      <c r="K317" s="1244">
        <f t="shared" si="214"/>
        <v>0</v>
      </c>
      <c r="L317" s="1244">
        <f>L318</f>
        <v>0</v>
      </c>
      <c r="M317" s="1245">
        <f>+M318</f>
        <v>11960000</v>
      </c>
      <c r="N317" s="3961"/>
      <c r="O317" s="3108"/>
    </row>
    <row r="318" spans="1:15" s="2512" customFormat="1" ht="13.5" thickBot="1">
      <c r="A318" s="3958"/>
      <c r="B318" s="133" t="s">
        <v>11</v>
      </c>
      <c r="C318" s="3964"/>
      <c r="D318" s="1861">
        <f t="shared" ref="D318:I318" si="215">D322</f>
        <v>11960000</v>
      </c>
      <c r="E318" s="2993">
        <f t="shared" si="215"/>
        <v>0</v>
      </c>
      <c r="F318" s="2993">
        <f t="shared" si="215"/>
        <v>0</v>
      </c>
      <c r="G318" s="1861">
        <f t="shared" si="215"/>
        <v>3960000</v>
      </c>
      <c r="H318" s="1861">
        <f t="shared" si="215"/>
        <v>4000000</v>
      </c>
      <c r="I318" s="1861">
        <f t="shared" si="215"/>
        <v>4000000</v>
      </c>
      <c r="J318" s="1861">
        <f t="shared" ref="J318:K318" si="216">J326</f>
        <v>0</v>
      </c>
      <c r="K318" s="1861">
        <f t="shared" si="216"/>
        <v>0</v>
      </c>
      <c r="L318" s="1861">
        <f>L326</f>
        <v>0</v>
      </c>
      <c r="M318" s="2691">
        <f>SUM(G318:K318)</f>
        <v>11960000</v>
      </c>
      <c r="N318" s="3962"/>
      <c r="O318" s="3108"/>
    </row>
    <row r="319" spans="1:15" s="2512" customFormat="1" ht="26.25" customHeight="1">
      <c r="A319" s="3953" t="s">
        <v>54</v>
      </c>
      <c r="B319" s="1415" t="s">
        <v>546</v>
      </c>
      <c r="C319" s="1645" t="s">
        <v>99</v>
      </c>
      <c r="D319" s="159"/>
      <c r="E319" s="3148"/>
      <c r="F319" s="3148"/>
      <c r="G319" s="323"/>
      <c r="H319" s="323"/>
      <c r="I319" s="323"/>
      <c r="J319" s="323"/>
      <c r="K319" s="1831"/>
      <c r="L319" s="323"/>
      <c r="M319" s="296"/>
      <c r="N319" s="3950" t="s">
        <v>559</v>
      </c>
      <c r="O319" s="3108"/>
    </row>
    <row r="320" spans="1:15" s="2512" customFormat="1" ht="18" customHeight="1">
      <c r="A320" s="3954"/>
      <c r="B320" s="908" t="s">
        <v>9</v>
      </c>
      <c r="C320" s="2215"/>
      <c r="D320" s="3149">
        <f>+D321</f>
        <v>11960000</v>
      </c>
      <c r="E320" s="3150">
        <f t="shared" ref="E320:M321" si="217">+E321</f>
        <v>0</v>
      </c>
      <c r="F320" s="3150">
        <f t="shared" si="217"/>
        <v>0</v>
      </c>
      <c r="G320" s="3149">
        <f t="shared" si="217"/>
        <v>3960000</v>
      </c>
      <c r="H320" s="3149">
        <f t="shared" si="217"/>
        <v>4000000</v>
      </c>
      <c r="I320" s="3149">
        <f t="shared" si="217"/>
        <v>4000000</v>
      </c>
      <c r="J320" s="3149">
        <f t="shared" si="217"/>
        <v>0</v>
      </c>
      <c r="K320" s="3149">
        <f t="shared" si="217"/>
        <v>0</v>
      </c>
      <c r="L320" s="3149">
        <f>+L321</f>
        <v>0</v>
      </c>
      <c r="M320" s="2711">
        <f t="shared" si="217"/>
        <v>11960000</v>
      </c>
      <c r="N320" s="3951"/>
      <c r="O320" s="3108"/>
    </row>
    <row r="321" spans="1:15" s="2512" customFormat="1" ht="16.5" customHeight="1">
      <c r="A321" s="3954"/>
      <c r="B321" s="1196" t="s">
        <v>22</v>
      </c>
      <c r="C321" s="3948" t="s">
        <v>560</v>
      </c>
      <c r="D321" s="3151">
        <f>+D322</f>
        <v>11960000</v>
      </c>
      <c r="E321" s="3152">
        <f t="shared" si="217"/>
        <v>0</v>
      </c>
      <c r="F321" s="3153">
        <f t="shared" si="217"/>
        <v>0</v>
      </c>
      <c r="G321" s="3154">
        <f t="shared" si="217"/>
        <v>3960000</v>
      </c>
      <c r="H321" s="3154">
        <f t="shared" si="217"/>
        <v>4000000</v>
      </c>
      <c r="I321" s="3154">
        <f t="shared" si="217"/>
        <v>4000000</v>
      </c>
      <c r="J321" s="3154">
        <f t="shared" si="217"/>
        <v>0</v>
      </c>
      <c r="K321" s="3154">
        <f t="shared" si="217"/>
        <v>0</v>
      </c>
      <c r="L321" s="3155">
        <f>+L322</f>
        <v>0</v>
      </c>
      <c r="M321" s="2712">
        <f t="shared" si="217"/>
        <v>11960000</v>
      </c>
      <c r="N321" s="3951"/>
      <c r="O321" s="3108"/>
    </row>
    <row r="322" spans="1:15" s="2512" customFormat="1" ht="22.5" customHeight="1" thickBot="1">
      <c r="A322" s="3955"/>
      <c r="B322" s="3496" t="s">
        <v>11</v>
      </c>
      <c r="C322" s="3949"/>
      <c r="D322" s="1785">
        <f>E322+L322+F322+G322+H322+I322+J322+K322</f>
        <v>11960000</v>
      </c>
      <c r="E322" s="3498">
        <f>E323+E324</f>
        <v>0</v>
      </c>
      <c r="F322" s="3498">
        <f>F323+F324</f>
        <v>0</v>
      </c>
      <c r="G322" s="3499">
        <f>G323+G324</f>
        <v>3960000</v>
      </c>
      <c r="H322" s="3499">
        <f>H323+H324</f>
        <v>4000000</v>
      </c>
      <c r="I322" s="3499">
        <f>I323+I324</f>
        <v>4000000</v>
      </c>
      <c r="J322" s="3499">
        <v>0</v>
      </c>
      <c r="K322" s="3499">
        <v>0</v>
      </c>
      <c r="L322" s="3157">
        <v>0</v>
      </c>
      <c r="M322" s="3348">
        <f>SUM(G322:K322)</f>
        <v>11960000</v>
      </c>
      <c r="N322" s="3952"/>
      <c r="O322" s="3108"/>
    </row>
    <row r="323" spans="1:15" s="2512" customFormat="1" ht="13.5" hidden="1" thickBot="1">
      <c r="A323" s="728"/>
      <c r="B323" s="3582" t="s">
        <v>545</v>
      </c>
      <c r="C323" s="3577"/>
      <c r="D323" s="3158">
        <f>E323+L323+F323+G323+H323+I323+J323+K323</f>
        <v>10910000</v>
      </c>
      <c r="E323" s="3159">
        <v>0</v>
      </c>
      <c r="F323" s="3159">
        <v>0</v>
      </c>
      <c r="G323" s="3158">
        <f>3650000-40000</f>
        <v>3610000</v>
      </c>
      <c r="H323" s="3158">
        <v>3650000</v>
      </c>
      <c r="I323" s="3158">
        <v>3650000</v>
      </c>
      <c r="J323" s="3159">
        <v>0</v>
      </c>
      <c r="K323" s="3159">
        <v>0</v>
      </c>
      <c r="L323" s="3160"/>
      <c r="M323" s="3497">
        <f>SUM(G323:K323)</f>
        <v>10910000</v>
      </c>
      <c r="N323" s="3579"/>
      <c r="O323" s="3108"/>
    </row>
    <row r="324" spans="1:15" s="2512" customFormat="1" ht="13.5" hidden="1" thickBot="1">
      <c r="A324" s="3581"/>
      <c r="B324" s="3573" t="s">
        <v>338</v>
      </c>
      <c r="C324" s="3578"/>
      <c r="D324" s="3574">
        <f>E324+L324+F324+G324+H324+I324+J324+K324</f>
        <v>1050000</v>
      </c>
      <c r="E324" s="3575">
        <v>0</v>
      </c>
      <c r="F324" s="3575">
        <v>0</v>
      </c>
      <c r="G324" s="3574">
        <v>350000</v>
      </c>
      <c r="H324" s="3574">
        <v>350000</v>
      </c>
      <c r="I324" s="3574">
        <v>350000</v>
      </c>
      <c r="J324" s="3575">
        <v>0</v>
      </c>
      <c r="K324" s="3575">
        <v>0</v>
      </c>
      <c r="L324" s="3576"/>
      <c r="M324" s="3161">
        <f>SUM(G324:K324)</f>
        <v>1050000</v>
      </c>
      <c r="N324" s="3580"/>
      <c r="O324" s="3108"/>
    </row>
    <row r="325" spans="1:15" s="2512" customFormat="1" hidden="1">
      <c r="A325" s="2586"/>
      <c r="B325" s="2962"/>
      <c r="C325" s="2587"/>
      <c r="D325" s="2963"/>
      <c r="E325" s="2964"/>
      <c r="F325" s="2965"/>
      <c r="G325" s="2965"/>
      <c r="H325" s="2965"/>
      <c r="I325" s="2965"/>
      <c r="J325" s="2965"/>
      <c r="K325" s="2965"/>
      <c r="L325" s="2966"/>
      <c r="M325" s="2967"/>
      <c r="N325" s="2968"/>
      <c r="O325" s="2539"/>
    </row>
    <row r="326" spans="1:15" hidden="1">
      <c r="B326" s="2522" t="s">
        <v>347</v>
      </c>
      <c r="C326" s="2522"/>
      <c r="D326" s="2522"/>
      <c r="E326" s="2522"/>
      <c r="F326" s="2522"/>
      <c r="G326" s="2522"/>
      <c r="H326" s="2522"/>
      <c r="I326" s="2522"/>
      <c r="J326" s="2522"/>
      <c r="K326" s="2522"/>
      <c r="L326" s="2522"/>
    </row>
    <row r="327" spans="1:15" hidden="1">
      <c r="B327" s="2522" t="s">
        <v>348</v>
      </c>
      <c r="C327" s="2522"/>
      <c r="D327" s="2523">
        <f>D38+D72+D85+D109+D149+D161+D187+D217+D232+D250+D265+D294+D134+D57+D309</f>
        <v>124184475</v>
      </c>
      <c r="E327" s="2523">
        <f t="shared" ref="E327:K327" si="218">E38+E72+E85+E109+E149+E161+E187+E217+E232+E250+E265+E294+E134+E57+E309</f>
        <v>18714583</v>
      </c>
      <c r="F327" s="2523">
        <f t="shared" si="218"/>
        <v>19100922</v>
      </c>
      <c r="G327" s="2523">
        <f t="shared" si="218"/>
        <v>42409235</v>
      </c>
      <c r="H327" s="2523">
        <f t="shared" si="218"/>
        <v>15273709</v>
      </c>
      <c r="I327" s="2523">
        <f t="shared" si="218"/>
        <v>12446359</v>
      </c>
      <c r="J327" s="2523">
        <f t="shared" si="218"/>
        <v>8937163</v>
      </c>
      <c r="K327" s="2523">
        <f t="shared" si="218"/>
        <v>7302504</v>
      </c>
      <c r="L327" s="2523">
        <f t="shared" ref="L327" si="219">L38+L72+L85+L109+L149+L161+L187+L217+L232+L250+L265+L294+L134</f>
        <v>0</v>
      </c>
    </row>
    <row r="328" spans="1:15" hidden="1">
      <c r="B328" s="2522" t="s">
        <v>349</v>
      </c>
      <c r="C328" s="2522"/>
      <c r="D328" s="2523">
        <f t="shared" ref="D328:K328" si="220">D97+D121+D171+D199+D276</f>
        <v>717684</v>
      </c>
      <c r="E328" s="2523">
        <f t="shared" si="220"/>
        <v>82191</v>
      </c>
      <c r="F328" s="2523">
        <f t="shared" si="220"/>
        <v>603193</v>
      </c>
      <c r="G328" s="2523">
        <f t="shared" si="220"/>
        <v>32300</v>
      </c>
      <c r="H328" s="2523">
        <f t="shared" si="220"/>
        <v>0</v>
      </c>
      <c r="I328" s="2523">
        <f t="shared" si="220"/>
        <v>0</v>
      </c>
      <c r="J328" s="2523">
        <f t="shared" si="220"/>
        <v>0</v>
      </c>
      <c r="K328" s="2523">
        <f t="shared" si="220"/>
        <v>0</v>
      </c>
      <c r="L328" s="2523">
        <f>L97+L121+L171+L199+L276</f>
        <v>0</v>
      </c>
    </row>
    <row r="329" spans="1:15" hidden="1">
      <c r="B329" s="2522" t="s">
        <v>350</v>
      </c>
      <c r="C329" s="2522"/>
      <c r="D329" s="962">
        <f>D327+D328</f>
        <v>124902159</v>
      </c>
      <c r="E329" s="962">
        <f t="shared" ref="E329:K329" si="221">E327+E328</f>
        <v>18796774</v>
      </c>
      <c r="F329" s="962">
        <f t="shared" si="221"/>
        <v>19704115</v>
      </c>
      <c r="G329" s="962">
        <f t="shared" si="221"/>
        <v>42441535</v>
      </c>
      <c r="H329" s="962">
        <f t="shared" si="221"/>
        <v>15273709</v>
      </c>
      <c r="I329" s="962">
        <f t="shared" si="221"/>
        <v>12446359</v>
      </c>
      <c r="J329" s="962">
        <f t="shared" si="221"/>
        <v>8937163</v>
      </c>
      <c r="K329" s="962">
        <f t="shared" si="221"/>
        <v>7302504</v>
      </c>
      <c r="L329" s="962">
        <f>L327+L328</f>
        <v>0</v>
      </c>
    </row>
    <row r="330" spans="1:15" hidden="1">
      <c r="B330" s="963" t="s">
        <v>40</v>
      </c>
      <c r="C330" s="963"/>
      <c r="D330" s="964">
        <f t="shared" ref="D330:L330" si="222">D329-D18</f>
        <v>0</v>
      </c>
      <c r="E330" s="964">
        <f t="shared" si="222"/>
        <v>0</v>
      </c>
      <c r="F330" s="964">
        <f t="shared" si="222"/>
        <v>0</v>
      </c>
      <c r="G330" s="964">
        <f t="shared" si="222"/>
        <v>0</v>
      </c>
      <c r="H330" s="964">
        <f t="shared" si="222"/>
        <v>0</v>
      </c>
      <c r="I330" s="964">
        <f t="shared" si="222"/>
        <v>0</v>
      </c>
      <c r="J330" s="964">
        <f t="shared" si="222"/>
        <v>0</v>
      </c>
      <c r="K330" s="964">
        <f t="shared" si="222"/>
        <v>0</v>
      </c>
      <c r="L330" s="964">
        <f t="shared" si="222"/>
        <v>0</v>
      </c>
    </row>
    <row r="331" spans="1:15" hidden="1">
      <c r="B331" s="2413"/>
      <c r="C331" s="2413"/>
      <c r="D331" s="2413"/>
      <c r="E331" s="2413"/>
      <c r="F331" s="2413"/>
      <c r="G331" s="2413"/>
      <c r="H331" s="2413"/>
      <c r="I331" s="2413"/>
      <c r="J331" s="2413"/>
      <c r="K331" s="2413"/>
    </row>
    <row r="332" spans="1:15" hidden="1"/>
    <row r="333" spans="1:15" ht="31.5" hidden="1" customHeight="1">
      <c r="B333" s="1830" t="s">
        <v>522</v>
      </c>
    </row>
    <row r="445" spans="1:1" ht="13.5" thickBot="1">
      <c r="A445" s="2524"/>
    </row>
    <row r="446" spans="1:1" ht="13.5" thickBot="1">
      <c r="A446" s="2525"/>
    </row>
    <row r="447" spans="1:1" ht="13.5" thickBot="1">
      <c r="A447" s="2525"/>
    </row>
    <row r="448" spans="1:1" ht="13.5" thickBot="1">
      <c r="A448" s="2525"/>
    </row>
    <row r="449" spans="1:14" ht="13.5" thickBot="1">
      <c r="A449" s="2525"/>
    </row>
    <row r="450" spans="1:14" ht="13.5" thickBot="1">
      <c r="A450" s="2525"/>
    </row>
    <row r="451" spans="1:14" ht="13.5" thickBot="1">
      <c r="A451" s="2525"/>
      <c r="L451" s="2526"/>
      <c r="M451" s="2527"/>
      <c r="N451" s="2527"/>
    </row>
    <row r="452" spans="1:14" ht="13.5" thickBot="1">
      <c r="A452" s="2525"/>
      <c r="C452" s="2527"/>
      <c r="L452" s="2528"/>
      <c r="M452" s="2529"/>
      <c r="N452" s="2529"/>
    </row>
    <row r="453" spans="1:14" ht="13.5" thickBot="1">
      <c r="A453" s="2525"/>
      <c r="C453" s="2529"/>
      <c r="D453" s="2527"/>
      <c r="E453" s="2527"/>
      <c r="F453" s="2527"/>
      <c r="G453" s="2527"/>
      <c r="H453" s="2527"/>
      <c r="I453" s="2527"/>
      <c r="J453" s="2527"/>
      <c r="K453" s="2527"/>
      <c r="L453" s="2530"/>
      <c r="M453" s="2529"/>
      <c r="N453" s="2529"/>
    </row>
    <row r="454" spans="1:14" ht="13.5" thickBot="1">
      <c r="A454" s="2525"/>
      <c r="C454" s="2531"/>
      <c r="D454" s="2531"/>
      <c r="E454" s="2531"/>
      <c r="F454" s="2531"/>
      <c r="G454" s="2531"/>
      <c r="H454" s="2531"/>
      <c r="I454" s="2531"/>
      <c r="J454" s="2531"/>
      <c r="K454" s="2531"/>
      <c r="L454" s="2531"/>
      <c r="M454" s="2531"/>
      <c r="N454" s="2529"/>
    </row>
    <row r="455" spans="1:14" ht="13.5" thickBot="1">
      <c r="A455" s="2525"/>
      <c r="N455" s="2529"/>
    </row>
    <row r="456" spans="1:14" ht="13.5" thickBot="1">
      <c r="A456" s="2525"/>
      <c r="N456" s="2529"/>
    </row>
    <row r="457" spans="1:14" ht="13.5" thickBot="1">
      <c r="A457" s="2525"/>
      <c r="N457" s="2529"/>
    </row>
    <row r="458" spans="1:14" ht="13.5" thickBot="1">
      <c r="A458" s="2525"/>
      <c r="N458" s="2529"/>
    </row>
    <row r="459" spans="1:14" ht="13.5" thickBot="1">
      <c r="A459" s="2525"/>
      <c r="N459" s="2531"/>
    </row>
    <row r="460" spans="1:14" ht="13.5" thickBot="1">
      <c r="A460" s="2525"/>
    </row>
    <row r="461" spans="1:14" ht="13.5" thickBot="1">
      <c r="A461" s="2525"/>
    </row>
    <row r="462" spans="1:14">
      <c r="A462" s="2532"/>
    </row>
    <row r="560" spans="14:14" ht="13.5" thickBot="1">
      <c r="N560" s="2527"/>
    </row>
    <row r="561" spans="1:14" ht="13.5" thickBot="1">
      <c r="N561" s="2529"/>
    </row>
    <row r="562" spans="1:14" ht="13.5" thickBot="1">
      <c r="N562" s="2529"/>
    </row>
    <row r="563" spans="1:14" ht="13.5" thickBot="1">
      <c r="N563" s="2529"/>
    </row>
    <row r="564" spans="1:14" ht="13.5" thickBot="1">
      <c r="L564" s="2526"/>
      <c r="M564" s="2527"/>
      <c r="N564" s="2529"/>
    </row>
    <row r="565" spans="1:14" ht="13.5" thickBot="1">
      <c r="L565" s="2528"/>
      <c r="M565" s="2529"/>
      <c r="N565" s="2529"/>
    </row>
    <row r="566" spans="1:14" ht="13.5" thickBot="1">
      <c r="L566" s="2528"/>
      <c r="M566" s="2529"/>
      <c r="N566" s="2529"/>
    </row>
    <row r="567" spans="1:14" ht="13.5" thickBot="1">
      <c r="L567" s="2528"/>
      <c r="M567" s="2529"/>
      <c r="N567" s="2529"/>
    </row>
    <row r="568" spans="1:14" ht="13.5" thickBot="1">
      <c r="L568" s="2528"/>
      <c r="M568" s="2529"/>
      <c r="N568" s="2529"/>
    </row>
    <row r="569" spans="1:14" ht="13.5" thickBot="1">
      <c r="A569" s="2524"/>
      <c r="B569" s="2527"/>
      <c r="C569" s="2527"/>
      <c r="D569" s="2527"/>
      <c r="E569" s="2527"/>
      <c r="F569" s="2527"/>
      <c r="G569" s="2527"/>
      <c r="H569" s="2527"/>
      <c r="I569" s="2527"/>
      <c r="J569" s="2527"/>
      <c r="K569" s="2527"/>
      <c r="L569" s="2530"/>
      <c r="M569" s="2529"/>
      <c r="N569" s="2529"/>
    </row>
    <row r="570" spans="1:14" ht="13.5" thickBot="1">
      <c r="A570" s="2525"/>
      <c r="B570" s="2531"/>
      <c r="C570" s="2531"/>
      <c r="D570" s="2531"/>
      <c r="E570" s="2531"/>
      <c r="F570" s="2531"/>
      <c r="G570" s="2531"/>
      <c r="H570" s="2531"/>
      <c r="I570" s="2531"/>
      <c r="J570" s="2531"/>
      <c r="K570" s="2531"/>
      <c r="L570" s="2531"/>
      <c r="M570" s="2531"/>
      <c r="N570" s="2529"/>
    </row>
    <row r="571" spans="1:14" ht="13.5" thickBot="1">
      <c r="A571" s="2525"/>
      <c r="N571" s="2529"/>
    </row>
    <row r="572" spans="1:14" ht="13.5" thickBot="1">
      <c r="A572" s="2525"/>
      <c r="N572" s="2529"/>
    </row>
    <row r="573" spans="1:14" ht="13.5" thickBot="1">
      <c r="A573" s="2525"/>
      <c r="N573" s="2529"/>
    </row>
    <row r="574" spans="1:14" ht="13.5" thickBot="1">
      <c r="A574" s="2525"/>
      <c r="N574" s="2529"/>
    </row>
    <row r="575" spans="1:14" ht="13.5" thickBot="1">
      <c r="A575" s="2525"/>
      <c r="N575" s="2529"/>
    </row>
    <row r="576" spans="1:14" ht="13.5" thickBot="1">
      <c r="A576" s="2525"/>
      <c r="N576" s="2529"/>
    </row>
    <row r="577" spans="1:14">
      <c r="A577" s="2532"/>
      <c r="N577" s="2531"/>
    </row>
  </sheetData>
  <mergeCells count="136">
    <mergeCell ref="C321:C322"/>
    <mergeCell ref="N319:N322"/>
    <mergeCell ref="A319:A322"/>
    <mergeCell ref="A313:A318"/>
    <mergeCell ref="N313:N318"/>
    <mergeCell ref="C317:C318"/>
    <mergeCell ref="M134:M138"/>
    <mergeCell ref="C135:C138"/>
    <mergeCell ref="N114:N120"/>
    <mergeCell ref="A281:A298"/>
    <mergeCell ref="N281:N293"/>
    <mergeCell ref="C283:C291"/>
    <mergeCell ref="M294:M298"/>
    <mergeCell ref="N294:N298"/>
    <mergeCell ref="C295:C298"/>
    <mergeCell ref="A270:A280"/>
    <mergeCell ref="N270:N275"/>
    <mergeCell ref="C272:C275"/>
    <mergeCell ref="M276:M280"/>
    <mergeCell ref="N276:N280"/>
    <mergeCell ref="C277:C280"/>
    <mergeCell ref="A255:A269"/>
    <mergeCell ref="N255:N264"/>
    <mergeCell ref="C257:C262"/>
    <mergeCell ref="A222:A236"/>
    <mergeCell ref="N222:N231"/>
    <mergeCell ref="C224:C229"/>
    <mergeCell ref="M232:M236"/>
    <mergeCell ref="N232:N236"/>
    <mergeCell ref="C233:C236"/>
    <mergeCell ref="A204:A221"/>
    <mergeCell ref="N204:N216"/>
    <mergeCell ref="C206:C214"/>
    <mergeCell ref="M217:M221"/>
    <mergeCell ref="N217:N221"/>
    <mergeCell ref="C218:C221"/>
    <mergeCell ref="M265:M269"/>
    <mergeCell ref="N265:N269"/>
    <mergeCell ref="C266:C269"/>
    <mergeCell ref="A237:A254"/>
    <mergeCell ref="N237:N249"/>
    <mergeCell ref="C239:C247"/>
    <mergeCell ref="M250:M254"/>
    <mergeCell ref="N250:N254"/>
    <mergeCell ref="C251:C254"/>
    <mergeCell ref="M121:M125"/>
    <mergeCell ref="C122:C125"/>
    <mergeCell ref="M97:M101"/>
    <mergeCell ref="C98:C101"/>
    <mergeCell ref="A3:N3"/>
    <mergeCell ref="C4:C5"/>
    <mergeCell ref="D4:D5"/>
    <mergeCell ref="N4:N5"/>
    <mergeCell ref="M4:M5"/>
    <mergeCell ref="B4:B5"/>
    <mergeCell ref="A4:A5"/>
    <mergeCell ref="A24:A43"/>
    <mergeCell ref="C26:C37"/>
    <mergeCell ref="C39:C43"/>
    <mergeCell ref="M38:M43"/>
    <mergeCell ref="M18:M23"/>
    <mergeCell ref="L4:L5"/>
    <mergeCell ref="N24:N37"/>
    <mergeCell ref="G4:K4"/>
    <mergeCell ref="F4:F5"/>
    <mergeCell ref="N38:N42"/>
    <mergeCell ref="C46:C56"/>
    <mergeCell ref="N57:N60"/>
    <mergeCell ref="N85:N89"/>
    <mergeCell ref="N152:N160"/>
    <mergeCell ref="M171:M173"/>
    <mergeCell ref="A152:A163"/>
    <mergeCell ref="M161:M163"/>
    <mergeCell ref="C162:C163"/>
    <mergeCell ref="N139:N146"/>
    <mergeCell ref="C58:C60"/>
    <mergeCell ref="A44:A60"/>
    <mergeCell ref="M57:M60"/>
    <mergeCell ref="N44:N56"/>
    <mergeCell ref="N121:N125"/>
    <mergeCell ref="N97:N101"/>
    <mergeCell ref="N61:N69"/>
    <mergeCell ref="N72:N76"/>
    <mergeCell ref="A78:A89"/>
    <mergeCell ref="C80:C84"/>
    <mergeCell ref="C86:C89"/>
    <mergeCell ref="M85:M89"/>
    <mergeCell ref="A61:A76"/>
    <mergeCell ref="C63:C69"/>
    <mergeCell ref="C73:C76"/>
    <mergeCell ref="M72:M76"/>
    <mergeCell ref="A114:A125"/>
    <mergeCell ref="C116:C120"/>
    <mergeCell ref="A139:A151"/>
    <mergeCell ref="C141:C146"/>
    <mergeCell ref="M149:M151"/>
    <mergeCell ref="C150:C151"/>
    <mergeCell ref="A174:A191"/>
    <mergeCell ref="C176:C184"/>
    <mergeCell ref="M187:M191"/>
    <mergeCell ref="C188:C191"/>
    <mergeCell ref="A164:A173"/>
    <mergeCell ref="N161:N163"/>
    <mergeCell ref="N171:N173"/>
    <mergeCell ref="N192:N198"/>
    <mergeCell ref="N199:N203"/>
    <mergeCell ref="A192:A203"/>
    <mergeCell ref="C194:C198"/>
    <mergeCell ref="M199:M203"/>
    <mergeCell ref="C200:C203"/>
    <mergeCell ref="N174:N186"/>
    <mergeCell ref="N187:N191"/>
    <mergeCell ref="A299:A311"/>
    <mergeCell ref="C301:C308"/>
    <mergeCell ref="C310:C311"/>
    <mergeCell ref="M309:M311"/>
    <mergeCell ref="N300:N308"/>
    <mergeCell ref="N309:N311"/>
    <mergeCell ref="N78:N84"/>
    <mergeCell ref="N102:N108"/>
    <mergeCell ref="N109:N113"/>
    <mergeCell ref="A90:A101"/>
    <mergeCell ref="C110:C113"/>
    <mergeCell ref="C92:C96"/>
    <mergeCell ref="A102:A113"/>
    <mergeCell ref="A126:A138"/>
    <mergeCell ref="C104:C108"/>
    <mergeCell ref="M109:M113"/>
    <mergeCell ref="N90:N96"/>
    <mergeCell ref="N126:N133"/>
    <mergeCell ref="C128:C133"/>
    <mergeCell ref="C166:C167"/>
    <mergeCell ref="C172:C173"/>
    <mergeCell ref="N149:N151"/>
    <mergeCell ref="C154:C160"/>
    <mergeCell ref="N164:N167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23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60" max="13" man="1"/>
    <brk id="125" max="13" man="1"/>
    <brk id="173" max="13" man="1"/>
    <brk id="236" max="13" man="1"/>
    <brk id="280" max="13" man="1"/>
    <brk id="322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705"/>
  <sheetViews>
    <sheetView showGridLines="0" view="pageBreakPreview" topLeftCell="D1" zoomScale="90" zoomScaleSheetLayoutView="90" workbookViewId="0">
      <pane ySplit="6" topLeftCell="A307" activePane="bottomLeft" state="frozen"/>
      <selection activeCell="L22" sqref="L22:L23"/>
      <selection pane="bottomLeft" activeCell="A322" sqref="A322:N329"/>
    </sheetView>
  </sheetViews>
  <sheetFormatPr defaultColWidth="9.140625" defaultRowHeight="11.25"/>
  <cols>
    <col min="1" max="1" width="3.28515625" style="545" customWidth="1"/>
    <col min="2" max="2" width="60" style="172" customWidth="1"/>
    <col min="3" max="3" width="12" style="172" customWidth="1"/>
    <col min="4" max="4" width="14.140625" style="172" customWidth="1"/>
    <col min="5" max="5" width="12.85546875" style="172" customWidth="1"/>
    <col min="6" max="6" width="13.7109375" style="494" customWidth="1"/>
    <col min="7" max="7" width="11.28515625" style="494" customWidth="1"/>
    <col min="8" max="9" width="11.140625" style="494" customWidth="1"/>
    <col min="10" max="10" width="10.28515625" style="494" customWidth="1"/>
    <col min="11" max="11" width="8.7109375" style="494" customWidth="1"/>
    <col min="12" max="12" width="1.28515625" style="494" hidden="1" customWidth="1"/>
    <col min="13" max="13" width="12.5703125" style="494" customWidth="1"/>
    <col min="14" max="14" width="16" style="571" customWidth="1"/>
    <col min="15" max="15" width="16.5703125" style="172" hidden="1" customWidth="1"/>
    <col min="16" max="27" width="0" style="172" hidden="1" customWidth="1"/>
    <col min="28" max="16384" width="9.140625" style="172"/>
  </cols>
  <sheetData>
    <row r="1" spans="1:16" ht="22.5" customHeight="1">
      <c r="G1" s="172"/>
      <c r="H1" s="3"/>
      <c r="I1" s="3"/>
      <c r="J1" s="210" t="s">
        <v>387</v>
      </c>
      <c r="K1" s="3"/>
      <c r="L1" s="3"/>
      <c r="M1" s="3"/>
      <c r="N1" s="4"/>
    </row>
    <row r="2" spans="1:16" ht="18.75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4"/>
    </row>
    <row r="3" spans="1:16" ht="48.75" customHeight="1" thickBot="1">
      <c r="A3" s="4012" t="s">
        <v>158</v>
      </c>
      <c r="B3" s="4012"/>
      <c r="C3" s="4012"/>
      <c r="D3" s="4012"/>
      <c r="E3" s="4012"/>
      <c r="F3" s="4012"/>
      <c r="G3" s="4012"/>
      <c r="H3" s="4012"/>
      <c r="I3" s="4012"/>
      <c r="J3" s="4012"/>
      <c r="K3" s="4012"/>
      <c r="L3" s="4012"/>
      <c r="M3" s="4012"/>
      <c r="N3" s="4012"/>
    </row>
    <row r="4" spans="1:16" ht="47.25" customHeight="1">
      <c r="A4" s="546"/>
      <c r="B4" s="4013" t="s">
        <v>66</v>
      </c>
      <c r="C4" s="3765" t="s">
        <v>62</v>
      </c>
      <c r="D4" s="4016" t="s">
        <v>107</v>
      </c>
      <c r="E4" s="2407" t="s">
        <v>240</v>
      </c>
      <c r="F4" s="3818" t="s">
        <v>572</v>
      </c>
      <c r="G4" s="3786" t="s">
        <v>540</v>
      </c>
      <c r="H4" s="3787"/>
      <c r="I4" s="3787"/>
      <c r="J4" s="3787"/>
      <c r="K4" s="3788"/>
      <c r="L4" s="3938">
        <v>2024</v>
      </c>
      <c r="M4" s="4020" t="s">
        <v>552</v>
      </c>
      <c r="N4" s="4018" t="s">
        <v>64</v>
      </c>
    </row>
    <row r="5" spans="1:16" ht="23.25" customHeight="1" thickBot="1">
      <c r="A5" s="547"/>
      <c r="B5" s="4014"/>
      <c r="C5" s="4015"/>
      <c r="D5" s="4017"/>
      <c r="E5" s="1107" t="s">
        <v>538</v>
      </c>
      <c r="F5" s="3940"/>
      <c r="G5" s="2379" t="s">
        <v>193</v>
      </c>
      <c r="H5" s="2379" t="s">
        <v>194</v>
      </c>
      <c r="I5" s="2379" t="s">
        <v>234</v>
      </c>
      <c r="J5" s="2379" t="s">
        <v>235</v>
      </c>
      <c r="K5" s="2379" t="s">
        <v>233</v>
      </c>
      <c r="L5" s="3939"/>
      <c r="M5" s="4021"/>
      <c r="N5" s="4019"/>
      <c r="O5" s="173">
        <f>D7-D10</f>
        <v>0</v>
      </c>
    </row>
    <row r="6" spans="1:16" ht="15" customHeight="1">
      <c r="A6" s="2359">
        <v>1</v>
      </c>
      <c r="B6" s="2392">
        <v>2</v>
      </c>
      <c r="C6" s="1114" t="s">
        <v>108</v>
      </c>
      <c r="D6" s="1114" t="s">
        <v>109</v>
      </c>
      <c r="E6" s="2360">
        <v>5</v>
      </c>
      <c r="F6" s="1114">
        <v>6</v>
      </c>
      <c r="G6" s="1114">
        <v>7</v>
      </c>
      <c r="H6" s="1114">
        <v>8</v>
      </c>
      <c r="I6" s="1114">
        <v>9</v>
      </c>
      <c r="J6" s="1114">
        <v>10</v>
      </c>
      <c r="K6" s="1114">
        <v>11</v>
      </c>
      <c r="L6" s="1114"/>
      <c r="M6" s="1218">
        <v>12</v>
      </c>
      <c r="N6" s="1219">
        <v>13</v>
      </c>
    </row>
    <row r="7" spans="1:16" s="196" customFormat="1" ht="16.5" customHeight="1">
      <c r="A7" s="3057"/>
      <c r="B7" s="941" t="s">
        <v>67</v>
      </c>
      <c r="C7" s="942"/>
      <c r="D7" s="189">
        <f>+D8+D9</f>
        <v>100943290</v>
      </c>
      <c r="E7" s="189">
        <f t="shared" ref="E7:K7" si="0">+E8+E9</f>
        <v>1064035</v>
      </c>
      <c r="F7" s="189">
        <f t="shared" si="0"/>
        <v>12690810</v>
      </c>
      <c r="G7" s="189">
        <f t="shared" si="0"/>
        <v>47956302</v>
      </c>
      <c r="H7" s="189">
        <f t="shared" si="0"/>
        <v>39020133</v>
      </c>
      <c r="I7" s="189">
        <f t="shared" si="0"/>
        <v>212010</v>
      </c>
      <c r="J7" s="189">
        <f t="shared" si="0"/>
        <v>0</v>
      </c>
      <c r="K7" s="189">
        <f t="shared" si="0"/>
        <v>0</v>
      </c>
      <c r="L7" s="189">
        <f>+L8+L9</f>
        <v>0</v>
      </c>
      <c r="M7" s="123">
        <f>+M8+M9</f>
        <v>86830777</v>
      </c>
      <c r="N7" s="548"/>
      <c r="O7" s="354">
        <f>D26+D38+D50+D86+D95+D136+D145+D157+D170+D179+D192+D218+D231+D240+D253+D262+D274+D283</f>
        <v>75933351</v>
      </c>
    </row>
    <row r="8" spans="1:16" s="196" customFormat="1" ht="13.5" customHeight="1">
      <c r="A8" s="3057"/>
      <c r="B8" s="943" t="s">
        <v>68</v>
      </c>
      <c r="C8" s="944"/>
      <c r="D8" s="183">
        <f>D136+D157+D179+D218+D240+D253+D274+D127+D192</f>
        <v>4406339</v>
      </c>
      <c r="E8" s="183">
        <f t="shared" ref="E8:M8" si="1">E136+E157+E179+E218+E240+E253+E274+E127+E192</f>
        <v>80037</v>
      </c>
      <c r="F8" s="183">
        <f t="shared" si="1"/>
        <v>862818</v>
      </c>
      <c r="G8" s="183">
        <f t="shared" si="1"/>
        <v>2360001</v>
      </c>
      <c r="H8" s="183">
        <f t="shared" si="1"/>
        <v>891473</v>
      </c>
      <c r="I8" s="183">
        <f t="shared" si="1"/>
        <v>212010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414">
        <f t="shared" si="1"/>
        <v>3463484</v>
      </c>
      <c r="N8" s="548"/>
      <c r="O8" s="354"/>
    </row>
    <row r="9" spans="1:16" s="196" customFormat="1" ht="15.75" customHeight="1" thickBot="1">
      <c r="A9" s="3057"/>
      <c r="B9" s="945" t="s">
        <v>8</v>
      </c>
      <c r="C9" s="946"/>
      <c r="D9" s="549">
        <f t="shared" ref="D9:K9" si="2">D26+D38+D50+D86+D95+D145+D170+D262+D283+D111+D74+D205+D62</f>
        <v>96536951</v>
      </c>
      <c r="E9" s="549">
        <f t="shared" si="2"/>
        <v>983998</v>
      </c>
      <c r="F9" s="549">
        <f t="shared" si="2"/>
        <v>11827992</v>
      </c>
      <c r="G9" s="549">
        <f t="shared" si="2"/>
        <v>45596301</v>
      </c>
      <c r="H9" s="549">
        <f t="shared" si="2"/>
        <v>38128660</v>
      </c>
      <c r="I9" s="549">
        <f t="shared" si="2"/>
        <v>0</v>
      </c>
      <c r="J9" s="549">
        <f t="shared" si="2"/>
        <v>0</v>
      </c>
      <c r="K9" s="549">
        <f t="shared" si="2"/>
        <v>0</v>
      </c>
      <c r="L9" s="549">
        <f>L26+L38+L50+L86+L95+L145+L170+L262+L283+L111+L74+L205</f>
        <v>0</v>
      </c>
      <c r="M9" s="14">
        <f>M26+M38+M50+M86+M95+M145+M170+M262+M283+M111+M74+M205+M62</f>
        <v>83367293</v>
      </c>
      <c r="N9" s="548"/>
      <c r="O9" s="354"/>
    </row>
    <row r="10" spans="1:16" ht="14.25" customHeight="1">
      <c r="A10" s="3057"/>
      <c r="B10" s="169" t="s">
        <v>9</v>
      </c>
      <c r="C10" s="75"/>
      <c r="D10" s="1178">
        <f>D11+D15</f>
        <v>100943290</v>
      </c>
      <c r="E10" s="1178">
        <f t="shared" ref="E10:K10" si="3">E11+E15</f>
        <v>1064035</v>
      </c>
      <c r="F10" s="1178">
        <f t="shared" si="3"/>
        <v>12690810</v>
      </c>
      <c r="G10" s="1178">
        <f t="shared" si="3"/>
        <v>47956302</v>
      </c>
      <c r="H10" s="1178">
        <f t="shared" si="3"/>
        <v>39020133</v>
      </c>
      <c r="I10" s="1178">
        <f t="shared" si="3"/>
        <v>212010</v>
      </c>
      <c r="J10" s="1178">
        <f t="shared" si="3"/>
        <v>0</v>
      </c>
      <c r="K10" s="1178">
        <f t="shared" si="3"/>
        <v>0</v>
      </c>
      <c r="L10" s="1178">
        <f>L11+L15</f>
        <v>0</v>
      </c>
      <c r="M10" s="2647">
        <f>M11+M15</f>
        <v>86385215</v>
      </c>
      <c r="N10" s="2645"/>
      <c r="O10" s="173"/>
      <c r="P10" s="173"/>
    </row>
    <row r="11" spans="1:16" ht="14.25" customHeight="1">
      <c r="A11" s="3057"/>
      <c r="B11" s="2361" t="s">
        <v>22</v>
      </c>
      <c r="C11" s="2362"/>
      <c r="D11" s="1372">
        <f>D12+D13+D14</f>
        <v>19055132</v>
      </c>
      <c r="E11" s="1372">
        <f t="shared" ref="E11:J11" si="4">E12+E13+E14</f>
        <v>428735</v>
      </c>
      <c r="F11" s="1372">
        <f t="shared" si="4"/>
        <v>2139080</v>
      </c>
      <c r="G11" s="1372">
        <f t="shared" si="4"/>
        <v>7692210</v>
      </c>
      <c r="H11" s="1372">
        <f t="shared" si="4"/>
        <v>8763306</v>
      </c>
      <c r="I11" s="1372">
        <f t="shared" si="4"/>
        <v>31801</v>
      </c>
      <c r="J11" s="1372">
        <f t="shared" si="4"/>
        <v>0</v>
      </c>
      <c r="K11" s="1372">
        <f t="shared" ref="K11" si="5">K12+K13+K14</f>
        <v>0</v>
      </c>
      <c r="L11" s="1372">
        <f>L12+L13+L14</f>
        <v>0</v>
      </c>
      <c r="M11" s="1245">
        <f>+M12+M13+M14</f>
        <v>15684087</v>
      </c>
      <c r="N11" s="2646"/>
    </row>
    <row r="12" spans="1:16" ht="14.25" customHeight="1">
      <c r="A12" s="3057"/>
      <c r="B12" s="1482" t="s">
        <v>11</v>
      </c>
      <c r="C12" s="2363"/>
      <c r="D12" s="1483">
        <f t="shared" ref="D12:K12" si="6">D28+D40+D52+D88+D97+D138+D147+D159+D172+D181+D194+D207+D220+D233+D242+D255+D264+D276+D285+D113+D129+D76+D64</f>
        <v>17781902</v>
      </c>
      <c r="E12" s="1483">
        <f t="shared" si="6"/>
        <v>278735</v>
      </c>
      <c r="F12" s="1483">
        <f>F28+F40+F52+F88+F97+F138+F147+F159+F172+F181+F194+F207+F220+F233+F242+F255+F264+F276+F285+F113+F129+F76+F64</f>
        <v>1819080</v>
      </c>
      <c r="G12" s="1483">
        <f t="shared" si="6"/>
        <v>6888980</v>
      </c>
      <c r="H12" s="1483">
        <f t="shared" si="6"/>
        <v>8763306</v>
      </c>
      <c r="I12" s="1483">
        <f t="shared" si="6"/>
        <v>31801</v>
      </c>
      <c r="J12" s="1483">
        <f t="shared" si="6"/>
        <v>0</v>
      </c>
      <c r="K12" s="1483">
        <f t="shared" si="6"/>
        <v>0</v>
      </c>
      <c r="L12" s="1483">
        <f>L28+L40+L52+L88+L97+L138+L147+L159+L172+L181+L194+L207+L220+L233+L242+L255+L264+L276+L285+L113+L129+L76</f>
        <v>0</v>
      </c>
      <c r="M12" s="1444">
        <f>M28+M40+M52+M88+M97+M138+M147+M159+M172+M181+M194+M207+M220+M233+M242+M255+M264+M276+M285+M113+M129+M76+M64</f>
        <v>15684087</v>
      </c>
      <c r="N12" s="2646"/>
      <c r="O12" s="173"/>
    </row>
    <row r="13" spans="1:16" ht="14.25" customHeight="1">
      <c r="A13" s="3057"/>
      <c r="B13" s="1482" t="s">
        <v>53</v>
      </c>
      <c r="C13" s="2363"/>
      <c r="D13" s="1483">
        <f>+D148</f>
        <v>320000</v>
      </c>
      <c r="E13" s="1483">
        <f t="shared" ref="E13:J13" si="7">+E148</f>
        <v>0</v>
      </c>
      <c r="F13" s="1483">
        <f t="shared" si="7"/>
        <v>320000</v>
      </c>
      <c r="G13" s="1483">
        <f t="shared" si="7"/>
        <v>0</v>
      </c>
      <c r="H13" s="1483">
        <f t="shared" si="7"/>
        <v>0</v>
      </c>
      <c r="I13" s="1483">
        <f t="shared" si="7"/>
        <v>0</v>
      </c>
      <c r="J13" s="1483">
        <f t="shared" si="7"/>
        <v>0</v>
      </c>
      <c r="K13" s="1483">
        <f t="shared" ref="K13" si="8">+K148</f>
        <v>0</v>
      </c>
      <c r="L13" s="1483">
        <f>+L148</f>
        <v>0</v>
      </c>
      <c r="M13" s="1444">
        <f>SUM(G13:K13)</f>
        <v>0</v>
      </c>
      <c r="N13" s="2646"/>
      <c r="O13" s="173"/>
    </row>
    <row r="14" spans="1:16" ht="14.25" customHeight="1">
      <c r="A14" s="3057"/>
      <c r="B14" s="1482" t="s">
        <v>14</v>
      </c>
      <c r="C14" s="2363"/>
      <c r="D14" s="1483">
        <f t="shared" ref="D14:K14" si="9">D265+D286+D29+D41+D53+D100+D116</f>
        <v>953230</v>
      </c>
      <c r="E14" s="1483">
        <f t="shared" si="9"/>
        <v>150000</v>
      </c>
      <c r="F14" s="1483">
        <f t="shared" si="9"/>
        <v>0</v>
      </c>
      <c r="G14" s="1483">
        <f t="shared" si="9"/>
        <v>803230</v>
      </c>
      <c r="H14" s="1483">
        <f t="shared" si="9"/>
        <v>0</v>
      </c>
      <c r="I14" s="1483">
        <f t="shared" si="9"/>
        <v>0</v>
      </c>
      <c r="J14" s="1483">
        <f t="shared" si="9"/>
        <v>0</v>
      </c>
      <c r="K14" s="1483">
        <f t="shared" si="9"/>
        <v>0</v>
      </c>
      <c r="L14" s="1483">
        <f>L265+L286+L29+L41+L53</f>
        <v>0</v>
      </c>
      <c r="M14" s="1444">
        <f>M265+M286+M29+M41+M53</f>
        <v>0</v>
      </c>
      <c r="N14" s="2646"/>
      <c r="O14" s="173"/>
    </row>
    <row r="15" spans="1:16" ht="14.25" customHeight="1">
      <c r="A15" s="3057"/>
      <c r="B15" s="2361" t="s">
        <v>17</v>
      </c>
      <c r="C15" s="2362"/>
      <c r="D15" s="1372">
        <f>+D16+D17</f>
        <v>81888158</v>
      </c>
      <c r="E15" s="1372">
        <f t="shared" ref="E15:J15" si="10">+E16+E17</f>
        <v>635300</v>
      </c>
      <c r="F15" s="1372">
        <f t="shared" si="10"/>
        <v>10551730</v>
      </c>
      <c r="G15" s="1372">
        <f t="shared" si="10"/>
        <v>40264092</v>
      </c>
      <c r="H15" s="1372">
        <f t="shared" si="10"/>
        <v>30256827</v>
      </c>
      <c r="I15" s="1372">
        <f t="shared" si="10"/>
        <v>180209</v>
      </c>
      <c r="J15" s="1372">
        <f t="shared" si="10"/>
        <v>0</v>
      </c>
      <c r="K15" s="1372">
        <f t="shared" ref="K15" si="11">+K16+K17</f>
        <v>0</v>
      </c>
      <c r="L15" s="1372">
        <f>+L16+L17</f>
        <v>0</v>
      </c>
      <c r="M15" s="1245">
        <f>+M16</f>
        <v>70701128</v>
      </c>
      <c r="N15" s="2646"/>
    </row>
    <row r="16" spans="1:16" ht="15" customHeight="1">
      <c r="A16" s="3057"/>
      <c r="B16" s="1482" t="s">
        <v>19</v>
      </c>
      <c r="C16" s="2364"/>
      <c r="D16" s="1484">
        <f t="shared" ref="D16:K16" si="12">D31+D43+D55+D90+D102+D140+D150+D163+D174+D185+D224+D246+D257+D267+D278+D288+D118+D131+D79+D198+D211+D67</f>
        <v>81888158</v>
      </c>
      <c r="E16" s="1484">
        <f t="shared" si="12"/>
        <v>635300</v>
      </c>
      <c r="F16" s="1484">
        <f t="shared" si="12"/>
        <v>10551730</v>
      </c>
      <c r="G16" s="1484">
        <f t="shared" si="12"/>
        <v>40264092</v>
      </c>
      <c r="H16" s="1484">
        <f t="shared" si="12"/>
        <v>30256827</v>
      </c>
      <c r="I16" s="1484">
        <f t="shared" si="12"/>
        <v>180209</v>
      </c>
      <c r="J16" s="1484">
        <f t="shared" si="12"/>
        <v>0</v>
      </c>
      <c r="K16" s="1484">
        <f t="shared" si="12"/>
        <v>0</v>
      </c>
      <c r="L16" s="1484">
        <f>L31+L43+L55+L90+L102+L140+L150+L163+L174+L185+L224+L246+L257+L267+L278+L288+L118+L131+L79</f>
        <v>0</v>
      </c>
      <c r="M16" s="1444">
        <f>SUM(G16:K16)</f>
        <v>70701128</v>
      </c>
      <c r="N16" s="2646"/>
      <c r="O16" s="173"/>
    </row>
    <row r="17" spans="1:15" ht="13.5" hidden="1" customHeight="1">
      <c r="A17" s="3057"/>
      <c r="B17" s="2544" t="s">
        <v>18</v>
      </c>
      <c r="C17" s="2575"/>
      <c r="D17" s="1484"/>
      <c r="E17" s="1484"/>
      <c r="F17" s="1484"/>
      <c r="G17" s="1484"/>
      <c r="H17" s="1484"/>
      <c r="I17" s="1484"/>
      <c r="J17" s="1484"/>
      <c r="K17" s="1484"/>
      <c r="L17" s="1484"/>
      <c r="M17" s="2365"/>
      <c r="N17" s="2646"/>
    </row>
    <row r="18" spans="1:15" ht="14.25" customHeight="1">
      <c r="A18" s="3057"/>
      <c r="B18" s="169" t="s">
        <v>20</v>
      </c>
      <c r="C18" s="1999"/>
      <c r="D18" s="1178">
        <f>D22+D19</f>
        <v>83161388</v>
      </c>
      <c r="E18" s="1178">
        <f>E22+E19</f>
        <v>150977</v>
      </c>
      <c r="F18" s="1178">
        <f t="shared" ref="F18:K18" si="13">F22+F19</f>
        <v>11006419</v>
      </c>
      <c r="G18" s="1178">
        <f t="shared" si="13"/>
        <v>31980754</v>
      </c>
      <c r="H18" s="1178">
        <f t="shared" si="13"/>
        <v>34462982</v>
      </c>
      <c r="I18" s="1178">
        <f t="shared" si="13"/>
        <v>5560256</v>
      </c>
      <c r="J18" s="1178">
        <f t="shared" si="13"/>
        <v>0</v>
      </c>
      <c r="K18" s="1178">
        <f t="shared" si="13"/>
        <v>0</v>
      </c>
      <c r="L18" s="1178">
        <f>L22+L19</f>
        <v>0</v>
      </c>
      <c r="M18" s="3757" t="s">
        <v>52</v>
      </c>
      <c r="N18" s="2646"/>
      <c r="O18" s="173"/>
    </row>
    <row r="19" spans="1:15" ht="14.25" customHeight="1">
      <c r="A19" s="3057"/>
      <c r="B19" s="2361" t="s">
        <v>10</v>
      </c>
      <c r="C19" s="2364"/>
      <c r="D19" s="2366">
        <f>D20+D21</f>
        <v>1273230</v>
      </c>
      <c r="E19" s="2366">
        <f t="shared" ref="E19:K19" si="14">E20+E21</f>
        <v>150000</v>
      </c>
      <c r="F19" s="2366">
        <f t="shared" si="14"/>
        <v>320000</v>
      </c>
      <c r="G19" s="2366">
        <f t="shared" si="14"/>
        <v>803230</v>
      </c>
      <c r="H19" s="2366">
        <f t="shared" si="14"/>
        <v>0</v>
      </c>
      <c r="I19" s="2366">
        <f t="shared" si="14"/>
        <v>0</v>
      </c>
      <c r="J19" s="2366">
        <f t="shared" si="14"/>
        <v>0</v>
      </c>
      <c r="K19" s="2366">
        <f t="shared" si="14"/>
        <v>0</v>
      </c>
      <c r="L19" s="2366">
        <f>L20+L21</f>
        <v>0</v>
      </c>
      <c r="M19" s="3717"/>
      <c r="N19" s="2646"/>
      <c r="O19" s="173"/>
    </row>
    <row r="20" spans="1:15" ht="14.25" customHeight="1">
      <c r="A20" s="3057"/>
      <c r="B20" s="1482" t="s">
        <v>53</v>
      </c>
      <c r="C20" s="2364"/>
      <c r="D20" s="1484">
        <f>D153</f>
        <v>320000</v>
      </c>
      <c r="E20" s="1484">
        <f t="shared" ref="E20:K20" si="15">E153</f>
        <v>0</v>
      </c>
      <c r="F20" s="1484">
        <f t="shared" si="15"/>
        <v>320000</v>
      </c>
      <c r="G20" s="1484">
        <f t="shared" si="15"/>
        <v>0</v>
      </c>
      <c r="H20" s="1484">
        <f t="shared" si="15"/>
        <v>0</v>
      </c>
      <c r="I20" s="1484">
        <f t="shared" si="15"/>
        <v>0</v>
      </c>
      <c r="J20" s="1484">
        <f t="shared" si="15"/>
        <v>0</v>
      </c>
      <c r="K20" s="1484">
        <f t="shared" si="15"/>
        <v>0</v>
      </c>
      <c r="L20" s="1484">
        <f>L153</f>
        <v>0</v>
      </c>
      <c r="M20" s="3717"/>
      <c r="N20" s="2646"/>
      <c r="O20" s="173"/>
    </row>
    <row r="21" spans="1:15" ht="14.25" customHeight="1">
      <c r="A21" s="3057"/>
      <c r="B21" s="1482" t="s">
        <v>14</v>
      </c>
      <c r="C21" s="2364"/>
      <c r="D21" s="1484">
        <f t="shared" ref="D21:K21" si="16">D270+D291+D34+D46+D58+D107+D123</f>
        <v>953230</v>
      </c>
      <c r="E21" s="1484">
        <f t="shared" si="16"/>
        <v>150000</v>
      </c>
      <c r="F21" s="1484">
        <f t="shared" si="16"/>
        <v>0</v>
      </c>
      <c r="G21" s="1484">
        <f t="shared" si="16"/>
        <v>803230</v>
      </c>
      <c r="H21" s="1484">
        <f t="shared" si="16"/>
        <v>0</v>
      </c>
      <c r="I21" s="1484">
        <f t="shared" si="16"/>
        <v>0</v>
      </c>
      <c r="J21" s="1484">
        <f t="shared" si="16"/>
        <v>0</v>
      </c>
      <c r="K21" s="1484">
        <f t="shared" si="16"/>
        <v>0</v>
      </c>
      <c r="L21" s="1484">
        <f>L270+L291+L34+L46+L58</f>
        <v>0</v>
      </c>
      <c r="M21" s="3717"/>
      <c r="N21" s="2646"/>
      <c r="O21" s="173"/>
    </row>
    <row r="22" spans="1:15" ht="14.25" customHeight="1">
      <c r="A22" s="3057"/>
      <c r="B22" s="2361" t="s">
        <v>17</v>
      </c>
      <c r="C22" s="2364"/>
      <c r="D22" s="2366">
        <f>+D23+D24</f>
        <v>81888158</v>
      </c>
      <c r="E22" s="2366">
        <f t="shared" ref="E22:K22" si="17">+E23+E24</f>
        <v>977</v>
      </c>
      <c r="F22" s="2366">
        <f t="shared" si="17"/>
        <v>10686419</v>
      </c>
      <c r="G22" s="2366">
        <f t="shared" si="17"/>
        <v>31177524</v>
      </c>
      <c r="H22" s="2366">
        <f t="shared" si="17"/>
        <v>34462982</v>
      </c>
      <c r="I22" s="2366">
        <f t="shared" si="17"/>
        <v>5560256</v>
      </c>
      <c r="J22" s="2366">
        <f t="shared" si="17"/>
        <v>0</v>
      </c>
      <c r="K22" s="2366">
        <f t="shared" si="17"/>
        <v>0</v>
      </c>
      <c r="L22" s="2366">
        <f>+L23+L24</f>
        <v>0</v>
      </c>
      <c r="M22" s="3717"/>
      <c r="N22" s="2646"/>
    </row>
    <row r="23" spans="1:15" ht="14.25" customHeight="1" thickBot="1">
      <c r="A23" s="552"/>
      <c r="B23" s="1482" t="s">
        <v>19</v>
      </c>
      <c r="C23" s="2364"/>
      <c r="D23" s="1484">
        <f t="shared" ref="D23:K23" si="18">+D36+D48+D109+D143+D155+D93+D168+D177+D190+D203+D216+D60+D229+D238+D251+D259+D271+D281+D293+D125+D134+D84+D72</f>
        <v>81888158</v>
      </c>
      <c r="E23" s="1484">
        <f t="shared" si="18"/>
        <v>977</v>
      </c>
      <c r="F23" s="1484">
        <f t="shared" si="18"/>
        <v>10686419</v>
      </c>
      <c r="G23" s="1484">
        <f t="shared" si="18"/>
        <v>31177524</v>
      </c>
      <c r="H23" s="1484">
        <f t="shared" si="18"/>
        <v>34462982</v>
      </c>
      <c r="I23" s="1484">
        <f t="shared" si="18"/>
        <v>5560256</v>
      </c>
      <c r="J23" s="1484">
        <f t="shared" si="18"/>
        <v>0</v>
      </c>
      <c r="K23" s="1484">
        <f t="shared" si="18"/>
        <v>0</v>
      </c>
      <c r="L23" s="1484">
        <f>+L36+L48+L109+L143+L155+L93+L168+L177+L190+L203+L216+L60+L229+L238+L251+L259+L271+L281+L293+L125+L134+L84</f>
        <v>0</v>
      </c>
      <c r="M23" s="3717"/>
      <c r="N23" s="2646"/>
      <c r="O23" s="173">
        <f>D23-D16</f>
        <v>0</v>
      </c>
    </row>
    <row r="24" spans="1:15" ht="13.5" hidden="1" customHeight="1" thickBot="1">
      <c r="A24" s="552"/>
      <c r="B24" s="2367" t="s">
        <v>18</v>
      </c>
      <c r="C24" s="2367"/>
      <c r="D24" s="2367"/>
      <c r="E24" s="2367"/>
      <c r="F24" s="2367"/>
      <c r="G24" s="2367"/>
      <c r="H24" s="2367"/>
      <c r="I24" s="2367"/>
      <c r="J24" s="2367"/>
      <c r="K24" s="1906"/>
      <c r="L24" s="2367"/>
      <c r="M24" s="3718"/>
      <c r="N24" s="2646"/>
    </row>
    <row r="25" spans="1:15" s="196" customFormat="1" ht="30" customHeight="1">
      <c r="A25" s="4002" t="s">
        <v>54</v>
      </c>
      <c r="B25" s="157" t="s">
        <v>591</v>
      </c>
      <c r="C25" s="2113" t="s">
        <v>72</v>
      </c>
      <c r="D25" s="554"/>
      <c r="E25" s="1646"/>
      <c r="F25" s="2114"/>
      <c r="G25" s="2114"/>
      <c r="H25" s="1646"/>
      <c r="I25" s="1646"/>
      <c r="J25" s="1646"/>
      <c r="K25" s="2115"/>
      <c r="L25" s="2114"/>
      <c r="M25" s="556"/>
      <c r="N25" s="4009" t="s">
        <v>77</v>
      </c>
    </row>
    <row r="26" spans="1:15" s="196" customFormat="1" ht="12.75">
      <c r="A26" s="3992"/>
      <c r="B26" s="1176" t="s">
        <v>9</v>
      </c>
      <c r="C26" s="1999"/>
      <c r="D26" s="1178">
        <f>D27+D30</f>
        <v>9097560</v>
      </c>
      <c r="E26" s="1421">
        <f>+E30+E27</f>
        <v>0</v>
      </c>
      <c r="F26" s="1178">
        <f>+F27+F30</f>
        <v>184985</v>
      </c>
      <c r="G26" s="1178">
        <f t="shared" ref="G26:H26" si="19">+G27+G30</f>
        <v>3400875</v>
      </c>
      <c r="H26" s="1178">
        <f t="shared" si="19"/>
        <v>5511700</v>
      </c>
      <c r="I26" s="1178"/>
      <c r="J26" s="1178"/>
      <c r="K26" s="1178"/>
      <c r="L26" s="1178">
        <f>+L30+L27</f>
        <v>0</v>
      </c>
      <c r="M26" s="1179">
        <f>+M30+M27</f>
        <v>8912575</v>
      </c>
      <c r="N26" s="4010"/>
    </row>
    <row r="27" spans="1:15" s="196" customFormat="1" ht="13.5" customHeight="1">
      <c r="A27" s="3992"/>
      <c r="B27" s="1180" t="s">
        <v>22</v>
      </c>
      <c r="C27" s="3664" t="s">
        <v>159</v>
      </c>
      <c r="D27" s="1181">
        <f>D28+D29</f>
        <v>1449634</v>
      </c>
      <c r="E27" s="1649">
        <f>E28+E29</f>
        <v>0</v>
      </c>
      <c r="F27" s="1186">
        <f>F28+F29</f>
        <v>27748</v>
      </c>
      <c r="G27" s="1186">
        <f t="shared" ref="G27:H27" si="20">G28+G29</f>
        <v>595131</v>
      </c>
      <c r="H27" s="1186">
        <f t="shared" si="20"/>
        <v>826755</v>
      </c>
      <c r="I27" s="1186"/>
      <c r="J27" s="1186"/>
      <c r="K27" s="1186"/>
      <c r="L27" s="2166">
        <f>L28+L29</f>
        <v>0</v>
      </c>
      <c r="M27" s="1432">
        <f>M28+M29</f>
        <v>1421886</v>
      </c>
      <c r="N27" s="4010"/>
    </row>
    <row r="28" spans="1:15" s="196" customFormat="1" ht="14.25" customHeight="1">
      <c r="A28" s="3992"/>
      <c r="B28" s="2576" t="s">
        <v>11</v>
      </c>
      <c r="C28" s="3722"/>
      <c r="D28" s="1115">
        <f>E28+L28+F28+G28+H28+I28+J28+K28</f>
        <v>1449634</v>
      </c>
      <c r="E28" s="2165">
        <v>0</v>
      </c>
      <c r="F28" s="1184">
        <v>27748</v>
      </c>
      <c r="G28" s="1184">
        <f>608500-13369</f>
        <v>595131</v>
      </c>
      <c r="H28" s="1184">
        <v>826755</v>
      </c>
      <c r="I28" s="1184"/>
      <c r="J28" s="1184"/>
      <c r="K28" s="1184"/>
      <c r="L28" s="1184"/>
      <c r="M28" s="1444">
        <f>SUM(G28:K28)</f>
        <v>1421886</v>
      </c>
      <c r="N28" s="4010"/>
    </row>
    <row r="29" spans="1:15" s="196" customFormat="1" ht="14.25" hidden="1" customHeight="1">
      <c r="A29" s="3992"/>
      <c r="B29" s="2576" t="s">
        <v>14</v>
      </c>
      <c r="C29" s="3722"/>
      <c r="D29" s="1115">
        <f>E29+L29+F29+G29+H29+I29+J29+K29</f>
        <v>0</v>
      </c>
      <c r="E29" s="2165"/>
      <c r="F29" s="1184"/>
      <c r="G29" s="1184"/>
      <c r="H29" s="1184"/>
      <c r="I29" s="1184"/>
      <c r="J29" s="1184"/>
      <c r="K29" s="1184"/>
      <c r="L29" s="1184">
        <v>0</v>
      </c>
      <c r="M29" s="1444">
        <f>SUM(G29:K29)</f>
        <v>0</v>
      </c>
      <c r="N29" s="4010"/>
    </row>
    <row r="30" spans="1:15" s="196" customFormat="1" ht="14.25" customHeight="1">
      <c r="A30" s="3992"/>
      <c r="B30" s="1185" t="s">
        <v>17</v>
      </c>
      <c r="C30" s="3722"/>
      <c r="D30" s="1181">
        <f>D31</f>
        <v>7647926</v>
      </c>
      <c r="E30" s="1488">
        <f>+E31</f>
        <v>0</v>
      </c>
      <c r="F30" s="1186">
        <f>+F31</f>
        <v>157237</v>
      </c>
      <c r="G30" s="1186">
        <f t="shared" ref="G30:H30" si="21">+G31</f>
        <v>2805744</v>
      </c>
      <c r="H30" s="1186">
        <f t="shared" si="21"/>
        <v>4684945</v>
      </c>
      <c r="I30" s="1186"/>
      <c r="J30" s="1186"/>
      <c r="K30" s="1186"/>
      <c r="L30" s="1186">
        <f>+L31</f>
        <v>0</v>
      </c>
      <c r="M30" s="1432">
        <f>+M31</f>
        <v>7490689</v>
      </c>
      <c r="N30" s="4010"/>
    </row>
    <row r="31" spans="1:15" s="196" customFormat="1" ht="15" customHeight="1">
      <c r="A31" s="3992"/>
      <c r="B31" s="2544" t="s">
        <v>19</v>
      </c>
      <c r="C31" s="3789"/>
      <c r="D31" s="1115">
        <f>E31+L31+F31+G31+H31+I31+J31+K31</f>
        <v>7647926</v>
      </c>
      <c r="E31" s="1486">
        <v>0</v>
      </c>
      <c r="F31" s="1184">
        <v>157237</v>
      </c>
      <c r="G31" s="1184">
        <f>2881500-75756</f>
        <v>2805744</v>
      </c>
      <c r="H31" s="1184">
        <v>4684945</v>
      </c>
      <c r="I31" s="1184"/>
      <c r="J31" s="1184"/>
      <c r="K31" s="1184"/>
      <c r="L31" s="1184"/>
      <c r="M31" s="1444">
        <f>SUM(G31:K31)</f>
        <v>7490689</v>
      </c>
      <c r="N31" s="4011"/>
    </row>
    <row r="32" spans="1:15" s="196" customFormat="1" ht="12.75">
      <c r="A32" s="3992"/>
      <c r="B32" s="1722" t="s">
        <v>20</v>
      </c>
      <c r="C32" s="1999"/>
      <c r="D32" s="1178">
        <f>+D35+D33</f>
        <v>7647926</v>
      </c>
      <c r="E32" s="1421">
        <f>+E35</f>
        <v>0</v>
      </c>
      <c r="F32" s="1178">
        <f>F35+F33</f>
        <v>0</v>
      </c>
      <c r="G32" s="1178">
        <f>G35+G33</f>
        <v>2962981</v>
      </c>
      <c r="H32" s="1178">
        <f>H35+H33</f>
        <v>4684945</v>
      </c>
      <c r="I32" s="1178"/>
      <c r="J32" s="1178"/>
      <c r="K32" s="1178"/>
      <c r="L32" s="1178">
        <f>L35</f>
        <v>0</v>
      </c>
      <c r="M32" s="3757" t="s">
        <v>52</v>
      </c>
      <c r="N32" s="4005" t="s">
        <v>92</v>
      </c>
      <c r="O32" s="354"/>
    </row>
    <row r="33" spans="1:16" s="196" customFormat="1" ht="12.75" hidden="1">
      <c r="A33" s="3992"/>
      <c r="B33" s="1743" t="s">
        <v>395</v>
      </c>
      <c r="C33" s="3759" t="s">
        <v>159</v>
      </c>
      <c r="D33" s="1187">
        <f t="shared" ref="D33:K33" si="22">D34</f>
        <v>0</v>
      </c>
      <c r="E33" s="1488">
        <f t="shared" ref="E33" si="23">+E34</f>
        <v>0</v>
      </c>
      <c r="F33" s="1186">
        <f t="shared" si="22"/>
        <v>0</v>
      </c>
      <c r="G33" s="1488">
        <f t="shared" si="22"/>
        <v>0</v>
      </c>
      <c r="H33" s="1488">
        <f t="shared" si="22"/>
        <v>0</v>
      </c>
      <c r="I33" s="1488">
        <f t="shared" si="22"/>
        <v>0</v>
      </c>
      <c r="J33" s="1488">
        <f t="shared" si="22"/>
        <v>0</v>
      </c>
      <c r="K33" s="1488">
        <f t="shared" si="22"/>
        <v>0</v>
      </c>
      <c r="L33" s="2125">
        <f>L34</f>
        <v>0</v>
      </c>
      <c r="M33" s="3717"/>
      <c r="N33" s="4005"/>
      <c r="O33" s="354"/>
    </row>
    <row r="34" spans="1:16" s="196" customFormat="1" ht="12.75" hidden="1">
      <c r="A34" s="3992"/>
      <c r="B34" s="2576" t="s">
        <v>14</v>
      </c>
      <c r="C34" s="4022"/>
      <c r="D34" s="1155">
        <f>E34+L34+F34+G34+H34+I34+J34+K34</f>
        <v>0</v>
      </c>
      <c r="E34" s="1215"/>
      <c r="F34" s="1184"/>
      <c r="G34" s="1215">
        <v>0</v>
      </c>
      <c r="H34" s="1215">
        <v>0</v>
      </c>
      <c r="I34" s="1215">
        <v>0</v>
      </c>
      <c r="J34" s="1215">
        <v>0</v>
      </c>
      <c r="K34" s="1215">
        <v>0</v>
      </c>
      <c r="L34" s="2126">
        <v>0</v>
      </c>
      <c r="M34" s="3717"/>
      <c r="N34" s="4005"/>
      <c r="O34" s="354">
        <f>F34-'[4]Tab. 6H - Kultura fiz. i turyst'!$G$34</f>
        <v>-1146458</v>
      </c>
    </row>
    <row r="35" spans="1:16" s="196" customFormat="1" ht="14.25" customHeight="1">
      <c r="A35" s="3992"/>
      <c r="B35" s="1743" t="s">
        <v>17</v>
      </c>
      <c r="C35" s="3828" t="s">
        <v>204</v>
      </c>
      <c r="D35" s="1181">
        <f>+D36</f>
        <v>7647926</v>
      </c>
      <c r="E35" s="1227">
        <f t="shared" ref="E35" si="24">+E36</f>
        <v>0</v>
      </c>
      <c r="F35" s="1187">
        <f t="shared" ref="F35:H35" si="25">F36</f>
        <v>0</v>
      </c>
      <c r="G35" s="1187">
        <f t="shared" si="25"/>
        <v>2962981</v>
      </c>
      <c r="H35" s="1187">
        <f t="shared" si="25"/>
        <v>4684945</v>
      </c>
      <c r="I35" s="1187"/>
      <c r="J35" s="1187"/>
      <c r="K35" s="1187"/>
      <c r="L35" s="1187">
        <f>L36</f>
        <v>0</v>
      </c>
      <c r="M35" s="3717"/>
      <c r="N35" s="4005"/>
    </row>
    <row r="36" spans="1:16" s="196" customFormat="1" ht="14.25" customHeight="1" thickBot="1">
      <c r="A36" s="3990"/>
      <c r="B36" s="2577" t="s">
        <v>19</v>
      </c>
      <c r="C36" s="3971"/>
      <c r="D36" s="1636">
        <f>E36+L36+F36+G36+H36+I36+J36+K36</f>
        <v>7647926</v>
      </c>
      <c r="E36" s="1909">
        <v>0</v>
      </c>
      <c r="F36" s="1433"/>
      <c r="G36" s="1433">
        <f>3038737-75756</f>
        <v>2962981</v>
      </c>
      <c r="H36" s="1433">
        <v>4684945</v>
      </c>
      <c r="I36" s="1433"/>
      <c r="J36" s="1433"/>
      <c r="K36" s="1433"/>
      <c r="L36" s="1433">
        <f>14000000-13175000-825000</f>
        <v>0</v>
      </c>
      <c r="M36" s="3718"/>
      <c r="N36" s="4006"/>
    </row>
    <row r="37" spans="1:16" ht="33" customHeight="1">
      <c r="A37" s="4002" t="s">
        <v>55</v>
      </c>
      <c r="B37" s="157" t="s">
        <v>592</v>
      </c>
      <c r="C37" s="2113" t="s">
        <v>72</v>
      </c>
      <c r="D37" s="1059"/>
      <c r="E37" s="2127"/>
      <c r="F37" s="2128"/>
      <c r="G37" s="2128"/>
      <c r="H37" s="2118"/>
      <c r="I37" s="2118"/>
      <c r="J37" s="2118"/>
      <c r="K37" s="2119"/>
      <c r="L37" s="2128"/>
      <c r="M37" s="1060"/>
      <c r="N37" s="4009" t="s">
        <v>77</v>
      </c>
    </row>
    <row r="38" spans="1:16" ht="15" customHeight="1">
      <c r="A38" s="3989"/>
      <c r="B38" s="1176" t="s">
        <v>9</v>
      </c>
      <c r="C38" s="2303"/>
      <c r="D38" s="1178">
        <f>+D39+D42</f>
        <v>17600000</v>
      </c>
      <c r="E38" s="1178">
        <f t="shared" ref="E38" si="26">+E39+E42</f>
        <v>46710</v>
      </c>
      <c r="F38" s="1178">
        <f>+F39+F42</f>
        <v>111930</v>
      </c>
      <c r="G38" s="1178">
        <f t="shared" ref="G38:H38" si="27">+G39+G42</f>
        <v>4600000</v>
      </c>
      <c r="H38" s="1178">
        <f t="shared" si="27"/>
        <v>12841360</v>
      </c>
      <c r="I38" s="1178"/>
      <c r="J38" s="1178"/>
      <c r="K38" s="1178"/>
      <c r="L38" s="1178">
        <f>+L39+L42</f>
        <v>0</v>
      </c>
      <c r="M38" s="1179">
        <f>M39+M42</f>
        <v>17441360</v>
      </c>
      <c r="N38" s="4010"/>
      <c r="O38" s="173"/>
      <c r="P38" s="173"/>
    </row>
    <row r="39" spans="1:16" s="196" customFormat="1" ht="14.25" customHeight="1">
      <c r="A39" s="3989"/>
      <c r="B39" s="1180" t="s">
        <v>22</v>
      </c>
      <c r="C39" s="3664" t="s">
        <v>159</v>
      </c>
      <c r="D39" s="1181">
        <f>D40+D41</f>
        <v>6047482</v>
      </c>
      <c r="E39" s="1181">
        <f t="shared" ref="E39:F39" si="28">E40+E41</f>
        <v>46710</v>
      </c>
      <c r="F39" s="1181">
        <f t="shared" si="28"/>
        <v>16790</v>
      </c>
      <c r="G39" s="1181">
        <f t="shared" ref="G39:H39" si="29">G40+G41</f>
        <v>1150000</v>
      </c>
      <c r="H39" s="1181">
        <f t="shared" si="29"/>
        <v>4833982</v>
      </c>
      <c r="I39" s="1186"/>
      <c r="J39" s="1186"/>
      <c r="K39" s="1186"/>
      <c r="L39" s="1181">
        <f>L40+L41</f>
        <v>0</v>
      </c>
      <c r="M39" s="1432">
        <f>M40+M41</f>
        <v>5983982</v>
      </c>
      <c r="N39" s="4010"/>
    </row>
    <row r="40" spans="1:16" s="196" customFormat="1" ht="12.75">
      <c r="A40" s="3989"/>
      <c r="B40" s="2576" t="s">
        <v>11</v>
      </c>
      <c r="C40" s="3722"/>
      <c r="D40" s="1115">
        <f>E40+L40+F40+G40+H40+I40+J40+K40</f>
        <v>6047482</v>
      </c>
      <c r="E40" s="1115">
        <v>46710</v>
      </c>
      <c r="F40" s="1184">
        <v>16790</v>
      </c>
      <c r="G40" s="1184">
        <v>1150000</v>
      </c>
      <c r="H40" s="1184">
        <v>4833982</v>
      </c>
      <c r="I40" s="1184"/>
      <c r="J40" s="1184"/>
      <c r="K40" s="1184"/>
      <c r="L40" s="1184"/>
      <c r="M40" s="1444">
        <f>SUM(G40:K40)</f>
        <v>5983982</v>
      </c>
      <c r="N40" s="4010"/>
    </row>
    <row r="41" spans="1:16" s="196" customFormat="1" ht="12.75" hidden="1">
      <c r="A41" s="3989"/>
      <c r="B41" s="2576" t="s">
        <v>14</v>
      </c>
      <c r="C41" s="3722"/>
      <c r="D41" s="1115">
        <f>E41+L41+F41+G41+H41+I41+J41+K41</f>
        <v>0</v>
      </c>
      <c r="E41" s="1184"/>
      <c r="F41" s="1184"/>
      <c r="G41" s="1184"/>
      <c r="H41" s="1184"/>
      <c r="I41" s="1184"/>
      <c r="J41" s="1184"/>
      <c r="K41" s="1184"/>
      <c r="L41" s="1184"/>
      <c r="M41" s="1444">
        <f>SUM(G41:K41)</f>
        <v>0</v>
      </c>
      <c r="N41" s="4010"/>
    </row>
    <row r="42" spans="1:16" ht="14.25" customHeight="1">
      <c r="A42" s="3989"/>
      <c r="B42" s="1185" t="s">
        <v>17</v>
      </c>
      <c r="C42" s="3722"/>
      <c r="D42" s="1181">
        <f>+D43</f>
        <v>11552518</v>
      </c>
      <c r="E42" s="2304">
        <f>E43</f>
        <v>0</v>
      </c>
      <c r="F42" s="2166">
        <f>F43</f>
        <v>95140</v>
      </c>
      <c r="G42" s="2166">
        <f t="shared" ref="G42:H42" si="30">G43</f>
        <v>3450000</v>
      </c>
      <c r="H42" s="2166">
        <f t="shared" si="30"/>
        <v>8007378</v>
      </c>
      <c r="I42" s="1186"/>
      <c r="J42" s="1186"/>
      <c r="K42" s="1186"/>
      <c r="L42" s="2166">
        <f>L43</f>
        <v>0</v>
      </c>
      <c r="M42" s="1643">
        <f>+M43</f>
        <v>11457378</v>
      </c>
      <c r="N42" s="4010"/>
    </row>
    <row r="43" spans="1:16" ht="12.75">
      <c r="A43" s="3989"/>
      <c r="B43" s="2544" t="s">
        <v>19</v>
      </c>
      <c r="C43" s="3789"/>
      <c r="D43" s="1115">
        <f>E43+L43+F43+G43+H43+I43+J43+K43</f>
        <v>11552518</v>
      </c>
      <c r="E43" s="1486">
        <v>0</v>
      </c>
      <c r="F43" s="1184">
        <v>95140</v>
      </c>
      <c r="G43" s="1184">
        <v>3450000</v>
      </c>
      <c r="H43" s="1184">
        <v>8007378</v>
      </c>
      <c r="I43" s="1184"/>
      <c r="J43" s="1184"/>
      <c r="K43" s="1184"/>
      <c r="L43" s="1184"/>
      <c r="M43" s="1444">
        <f>SUM(G43:K43)</f>
        <v>11457378</v>
      </c>
      <c r="N43" s="4011"/>
    </row>
    <row r="44" spans="1:16" ht="12">
      <c r="A44" s="3989"/>
      <c r="B44" s="1722" t="s">
        <v>20</v>
      </c>
      <c r="C44" s="1999"/>
      <c r="D44" s="1178">
        <f>+D47+D45</f>
        <v>11552518</v>
      </c>
      <c r="E44" s="1421">
        <f>E47+E45</f>
        <v>0</v>
      </c>
      <c r="F44" s="1421">
        <f t="shared" ref="F44:H44" si="31">F47+F45</f>
        <v>0</v>
      </c>
      <c r="G44" s="1178">
        <f t="shared" si="31"/>
        <v>3545140</v>
      </c>
      <c r="H44" s="1178">
        <f t="shared" si="31"/>
        <v>8007378</v>
      </c>
      <c r="I44" s="1178"/>
      <c r="J44" s="1178"/>
      <c r="K44" s="1178"/>
      <c r="L44" s="1178">
        <f>L47+L45</f>
        <v>0</v>
      </c>
      <c r="M44" s="4024"/>
      <c r="N44" s="4023" t="s">
        <v>92</v>
      </c>
    </row>
    <row r="45" spans="1:16" ht="12" hidden="1">
      <c r="A45" s="3989"/>
      <c r="B45" s="1743" t="s">
        <v>395</v>
      </c>
      <c r="C45" s="4007" t="s">
        <v>159</v>
      </c>
      <c r="D45" s="1187">
        <f t="shared" ref="D45:K45" si="32">D46</f>
        <v>0</v>
      </c>
      <c r="E45" s="2125">
        <f t="shared" si="32"/>
        <v>0</v>
      </c>
      <c r="F45" s="1488">
        <f t="shared" si="32"/>
        <v>0</v>
      </c>
      <c r="G45" s="1488">
        <f t="shared" si="32"/>
        <v>0</v>
      </c>
      <c r="H45" s="1488">
        <f t="shared" si="32"/>
        <v>0</v>
      </c>
      <c r="I45" s="1488">
        <f t="shared" si="32"/>
        <v>0</v>
      </c>
      <c r="J45" s="1488">
        <f t="shared" si="32"/>
        <v>0</v>
      </c>
      <c r="K45" s="1488">
        <f t="shared" si="32"/>
        <v>0</v>
      </c>
      <c r="L45" s="2125">
        <f>L46</f>
        <v>0</v>
      </c>
      <c r="M45" s="4025"/>
      <c r="N45" s="4005"/>
    </row>
    <row r="46" spans="1:16" ht="12.75" hidden="1">
      <c r="A46" s="3989"/>
      <c r="B46" s="2576" t="s">
        <v>14</v>
      </c>
      <c r="C46" s="4008"/>
      <c r="D46" s="1155">
        <f>E46+L46+F46+G46+H46+I46+J46+K46</f>
        <v>0</v>
      </c>
      <c r="E46" s="2126"/>
      <c r="F46" s="1486"/>
      <c r="G46" s="1215">
        <v>0</v>
      </c>
      <c r="H46" s="1215">
        <v>0</v>
      </c>
      <c r="I46" s="1215">
        <v>0</v>
      </c>
      <c r="J46" s="1215">
        <v>0</v>
      </c>
      <c r="K46" s="1215">
        <v>0</v>
      </c>
      <c r="L46" s="2126"/>
      <c r="M46" s="4025"/>
      <c r="N46" s="4005"/>
      <c r="O46" s="173">
        <f>F46-'[4]Tab. 6H - Kultura fiz. i turyst'!$G$46</f>
        <v>-535390</v>
      </c>
    </row>
    <row r="47" spans="1:16" ht="12.75" customHeight="1">
      <c r="A47" s="3989"/>
      <c r="B47" s="1743" t="s">
        <v>17</v>
      </c>
      <c r="C47" s="3759" t="s">
        <v>204</v>
      </c>
      <c r="D47" s="1181">
        <f>+D48</f>
        <v>11552518</v>
      </c>
      <c r="E47" s="1227">
        <f t="shared" ref="E47" si="33">+E48</f>
        <v>0</v>
      </c>
      <c r="F47" s="1227">
        <f t="shared" ref="F47:H47" si="34">F48</f>
        <v>0</v>
      </c>
      <c r="G47" s="1187">
        <f t="shared" si="34"/>
        <v>3545140</v>
      </c>
      <c r="H47" s="1187">
        <f t="shared" si="34"/>
        <v>8007378</v>
      </c>
      <c r="I47" s="1187"/>
      <c r="J47" s="1187"/>
      <c r="K47" s="1187"/>
      <c r="L47" s="1227">
        <f>L48</f>
        <v>0</v>
      </c>
      <c r="M47" s="4025"/>
      <c r="N47" s="4005"/>
    </row>
    <row r="48" spans="1:16" ht="13.5" thickBot="1">
      <c r="A48" s="4001"/>
      <c r="B48" s="3035" t="s">
        <v>19</v>
      </c>
      <c r="C48" s="3971"/>
      <c r="D48" s="1636">
        <f>E48+L48+F48+G48+H48+I48+J48+K48</f>
        <v>11552518</v>
      </c>
      <c r="E48" s="1909">
        <v>0</v>
      </c>
      <c r="F48" s="1434">
        <v>0</v>
      </c>
      <c r="G48" s="1433">
        <v>3545140</v>
      </c>
      <c r="H48" s="1433">
        <v>8007378</v>
      </c>
      <c r="I48" s="1433"/>
      <c r="J48" s="1433"/>
      <c r="K48" s="1433"/>
      <c r="L48" s="1434">
        <f>5600000-135126-4889874-575000</f>
        <v>0</v>
      </c>
      <c r="M48" s="4026"/>
      <c r="N48" s="4006"/>
    </row>
    <row r="49" spans="1:16" ht="33" customHeight="1">
      <c r="A49" s="4002" t="s">
        <v>56</v>
      </c>
      <c r="B49" s="157" t="s">
        <v>603</v>
      </c>
      <c r="C49" s="2113" t="s">
        <v>72</v>
      </c>
      <c r="D49" s="1059"/>
      <c r="E49" s="2127"/>
      <c r="F49" s="2128"/>
      <c r="G49" s="2128"/>
      <c r="H49" s="2118"/>
      <c r="I49" s="2118"/>
      <c r="J49" s="2118"/>
      <c r="K49" s="2119"/>
      <c r="L49" s="2128"/>
      <c r="M49" s="1060"/>
      <c r="N49" s="4009" t="s">
        <v>77</v>
      </c>
    </row>
    <row r="50" spans="1:16" ht="12">
      <c r="A50" s="3989"/>
      <c r="B50" s="1176" t="s">
        <v>9</v>
      </c>
      <c r="C50" s="2303"/>
      <c r="D50" s="1178">
        <f>+D51+D54</f>
        <v>6426670</v>
      </c>
      <c r="E50" s="1421">
        <f>+E51+E54</f>
        <v>0</v>
      </c>
      <c r="F50" s="1178">
        <f>+F51+F54</f>
        <v>181671</v>
      </c>
      <c r="G50" s="1178">
        <f t="shared" ref="G50:H50" si="35">+G51+G54</f>
        <v>1598750</v>
      </c>
      <c r="H50" s="1178">
        <f t="shared" si="35"/>
        <v>4646249</v>
      </c>
      <c r="I50" s="1178"/>
      <c r="J50" s="1178"/>
      <c r="K50" s="1178"/>
      <c r="L50" s="1178">
        <f>+L51+L54</f>
        <v>0</v>
      </c>
      <c r="M50" s="1179">
        <f>M51+M54</f>
        <v>6244999</v>
      </c>
      <c r="N50" s="4010"/>
      <c r="O50" s="173"/>
      <c r="P50" s="173"/>
    </row>
    <row r="51" spans="1:16" s="196" customFormat="1" ht="14.25" customHeight="1">
      <c r="A51" s="3989"/>
      <c r="B51" s="1180" t="s">
        <v>22</v>
      </c>
      <c r="C51" s="3664" t="s">
        <v>159</v>
      </c>
      <c r="D51" s="1181">
        <f>D52+D53</f>
        <v>1006501</v>
      </c>
      <c r="E51" s="1419">
        <f t="shared" ref="E51" si="36">E52+E53</f>
        <v>0</v>
      </c>
      <c r="F51" s="1181">
        <f t="shared" ref="F51:H51" si="37">F52+F53</f>
        <v>27251</v>
      </c>
      <c r="G51" s="1181">
        <f t="shared" si="37"/>
        <v>282312</v>
      </c>
      <c r="H51" s="1181">
        <f t="shared" si="37"/>
        <v>696938</v>
      </c>
      <c r="I51" s="1186"/>
      <c r="J51" s="1186"/>
      <c r="K51" s="1186"/>
      <c r="L51" s="1181">
        <f>L52+L53</f>
        <v>0</v>
      </c>
      <c r="M51" s="1432">
        <f>M52+M53</f>
        <v>979250</v>
      </c>
      <c r="N51" s="4010"/>
    </row>
    <row r="52" spans="1:16" s="196" customFormat="1" ht="12.75">
      <c r="A52" s="3989"/>
      <c r="B52" s="2576" t="s">
        <v>11</v>
      </c>
      <c r="C52" s="3722"/>
      <c r="D52" s="1115">
        <f>E52+L52+F52+G52+H52+I52+J52+K52</f>
        <v>1006501</v>
      </c>
      <c r="E52" s="1486">
        <v>0</v>
      </c>
      <c r="F52" s="1184">
        <v>27251</v>
      </c>
      <c r="G52" s="1184">
        <v>282312</v>
      </c>
      <c r="H52" s="1184">
        <v>696938</v>
      </c>
      <c r="I52" s="1184"/>
      <c r="J52" s="1184"/>
      <c r="K52" s="1184"/>
      <c r="L52" s="1184"/>
      <c r="M52" s="1444">
        <f>SUM(G52:K52)</f>
        <v>979250</v>
      </c>
      <c r="N52" s="4010"/>
    </row>
    <row r="53" spans="1:16" s="196" customFormat="1" ht="12.75" hidden="1">
      <c r="A53" s="3989"/>
      <c r="B53" s="2576" t="s">
        <v>14</v>
      </c>
      <c r="C53" s="3722"/>
      <c r="D53" s="1115">
        <f>E53+L53+F53+G53+H53+I53+J53+K53</f>
        <v>0</v>
      </c>
      <c r="E53" s="1486"/>
      <c r="F53" s="1184"/>
      <c r="G53" s="1184"/>
      <c r="H53" s="1184"/>
      <c r="I53" s="1184"/>
      <c r="J53" s="1184"/>
      <c r="K53" s="1184"/>
      <c r="L53" s="1184"/>
      <c r="M53" s="1444">
        <f>SUM(G53:K53)</f>
        <v>0</v>
      </c>
      <c r="N53" s="4010"/>
    </row>
    <row r="54" spans="1:16" ht="12">
      <c r="A54" s="3989"/>
      <c r="B54" s="1185" t="s">
        <v>17</v>
      </c>
      <c r="C54" s="3722"/>
      <c r="D54" s="1181">
        <f>+D55</f>
        <v>5420169</v>
      </c>
      <c r="E54" s="2304">
        <f>E55</f>
        <v>0</v>
      </c>
      <c r="F54" s="2166">
        <f>F55</f>
        <v>154420</v>
      </c>
      <c r="G54" s="2166">
        <f>G55</f>
        <v>1316438</v>
      </c>
      <c r="H54" s="2166">
        <f>H55</f>
        <v>3949311</v>
      </c>
      <c r="I54" s="1186"/>
      <c r="J54" s="1186"/>
      <c r="K54" s="1186"/>
      <c r="L54" s="2166">
        <f>L55</f>
        <v>0</v>
      </c>
      <c r="M54" s="1643">
        <f>+M55</f>
        <v>5265749</v>
      </c>
      <c r="N54" s="4010"/>
    </row>
    <row r="55" spans="1:16" ht="12.75">
      <c r="A55" s="3989"/>
      <c r="B55" s="2544" t="s">
        <v>19</v>
      </c>
      <c r="C55" s="3789"/>
      <c r="D55" s="1115">
        <f>E55+L55+F55+G55+H55+I55+J55+K55</f>
        <v>5420169</v>
      </c>
      <c r="E55" s="1486">
        <v>0</v>
      </c>
      <c r="F55" s="1184">
        <v>154420</v>
      </c>
      <c r="G55" s="1184">
        <v>1316438</v>
      </c>
      <c r="H55" s="1184">
        <v>3949311</v>
      </c>
      <c r="I55" s="1184"/>
      <c r="J55" s="1184"/>
      <c r="K55" s="1184"/>
      <c r="L55" s="1184"/>
      <c r="M55" s="1444">
        <f>SUM(G55:K55)</f>
        <v>5265749</v>
      </c>
      <c r="N55" s="4011"/>
    </row>
    <row r="56" spans="1:16" ht="12">
      <c r="A56" s="3989"/>
      <c r="B56" s="1722" t="s">
        <v>20</v>
      </c>
      <c r="C56" s="1999"/>
      <c r="D56" s="1178">
        <f>+D59+D57</f>
        <v>5420169</v>
      </c>
      <c r="E56" s="1421">
        <f t="shared" ref="E56" si="38">+E59+E57</f>
        <v>0</v>
      </c>
      <c r="F56" s="1421">
        <f t="shared" ref="F56:H56" si="39">+F59+F57</f>
        <v>0</v>
      </c>
      <c r="G56" s="1178">
        <f t="shared" si="39"/>
        <v>1470858</v>
      </c>
      <c r="H56" s="1178">
        <f t="shared" si="39"/>
        <v>3949311</v>
      </c>
      <c r="I56" s="1178"/>
      <c r="J56" s="1178"/>
      <c r="K56" s="1178"/>
      <c r="L56" s="1178">
        <f>+L59+L57</f>
        <v>0</v>
      </c>
      <c r="M56" s="3984"/>
      <c r="N56" s="4005" t="s">
        <v>92</v>
      </c>
    </row>
    <row r="57" spans="1:16" ht="12" hidden="1">
      <c r="A57" s="3989"/>
      <c r="B57" s="1743" t="s">
        <v>395</v>
      </c>
      <c r="C57" s="4007" t="s">
        <v>159</v>
      </c>
      <c r="D57" s="1187">
        <f t="shared" ref="D57:H57" si="40">D58</f>
        <v>0</v>
      </c>
      <c r="E57" s="1227">
        <f t="shared" si="40"/>
        <v>0</v>
      </c>
      <c r="F57" s="1488">
        <f t="shared" si="40"/>
        <v>0</v>
      </c>
      <c r="G57" s="1186">
        <f t="shared" si="40"/>
        <v>0</v>
      </c>
      <c r="H57" s="1186">
        <f t="shared" si="40"/>
        <v>0</v>
      </c>
      <c r="I57" s="1488"/>
      <c r="J57" s="1488"/>
      <c r="K57" s="1488"/>
      <c r="L57" s="2125">
        <f>L58</f>
        <v>0</v>
      </c>
      <c r="M57" s="3985"/>
      <c r="N57" s="4005"/>
    </row>
    <row r="58" spans="1:16" ht="12.75" hidden="1">
      <c r="A58" s="3989"/>
      <c r="B58" s="2576" t="s">
        <v>14</v>
      </c>
      <c r="C58" s="4008"/>
      <c r="D58" s="1155">
        <f>E58+L58+F58+G58+H58+I58+J58+K58</f>
        <v>0</v>
      </c>
      <c r="E58" s="2246"/>
      <c r="F58" s="1486"/>
      <c r="G58" s="1215"/>
      <c r="H58" s="1215"/>
      <c r="I58" s="1215"/>
      <c r="J58" s="1215"/>
      <c r="K58" s="1215"/>
      <c r="L58" s="2126"/>
      <c r="M58" s="3985"/>
      <c r="N58" s="4005"/>
      <c r="O58" s="173"/>
    </row>
    <row r="59" spans="1:16" ht="12.75" customHeight="1">
      <c r="A59" s="3989"/>
      <c r="B59" s="1743" t="s">
        <v>17</v>
      </c>
      <c r="C59" s="3759" t="s">
        <v>204</v>
      </c>
      <c r="D59" s="1181">
        <f>+D60</f>
        <v>5420169</v>
      </c>
      <c r="E59" s="1227">
        <f t="shared" ref="E59:H59" si="41">E60</f>
        <v>0</v>
      </c>
      <c r="F59" s="1227">
        <f t="shared" si="41"/>
        <v>0</v>
      </c>
      <c r="G59" s="2166">
        <f t="shared" si="41"/>
        <v>1470858</v>
      </c>
      <c r="H59" s="2166">
        <f t="shared" si="41"/>
        <v>3949311</v>
      </c>
      <c r="I59" s="1187"/>
      <c r="J59" s="1187"/>
      <c r="K59" s="1187"/>
      <c r="L59" s="1187">
        <f>L60</f>
        <v>0</v>
      </c>
      <c r="M59" s="3985"/>
      <c r="N59" s="4005"/>
    </row>
    <row r="60" spans="1:16" ht="13.5" thickBot="1">
      <c r="A60" s="4001"/>
      <c r="B60" s="2577" t="s">
        <v>19</v>
      </c>
      <c r="C60" s="3666"/>
      <c r="D60" s="1636">
        <f>E60+L60+F60+G60+H60+I60+J60+K60</f>
        <v>5420169</v>
      </c>
      <c r="E60" s="1434">
        <v>0</v>
      </c>
      <c r="F60" s="1434">
        <v>0</v>
      </c>
      <c r="G60" s="1184">
        <v>1470858</v>
      </c>
      <c r="H60" s="1433">
        <v>3949311</v>
      </c>
      <c r="I60" s="1433"/>
      <c r="J60" s="1433"/>
      <c r="K60" s="1433"/>
      <c r="L60" s="1433">
        <f>2890000-2040000-850000</f>
        <v>0</v>
      </c>
      <c r="M60" s="3986"/>
      <c r="N60" s="4006"/>
    </row>
    <row r="61" spans="1:16" s="3505" customFormat="1" ht="42" customHeight="1">
      <c r="A61" s="4002" t="s">
        <v>57</v>
      </c>
      <c r="B61" s="157" t="s">
        <v>604</v>
      </c>
      <c r="C61" s="2113" t="s">
        <v>72</v>
      </c>
      <c r="D61" s="1059"/>
      <c r="E61" s="2127"/>
      <c r="F61" s="2128"/>
      <c r="G61" s="2128"/>
      <c r="H61" s="2118"/>
      <c r="I61" s="2118"/>
      <c r="J61" s="2118"/>
      <c r="K61" s="2119"/>
      <c r="L61" s="2128"/>
      <c r="M61" s="1060"/>
      <c r="N61" s="4009" t="s">
        <v>77</v>
      </c>
    </row>
    <row r="62" spans="1:16" s="3505" customFormat="1" ht="12">
      <c r="A62" s="3989"/>
      <c r="B62" s="1176" t="s">
        <v>9</v>
      </c>
      <c r="C62" s="2303"/>
      <c r="D62" s="1178">
        <f>+D63+D66</f>
        <v>8500000</v>
      </c>
      <c r="E62" s="1421">
        <f>+E63+E66</f>
        <v>0</v>
      </c>
      <c r="F62" s="1421">
        <f>+F63+F66</f>
        <v>0</v>
      </c>
      <c r="G62" s="1178">
        <f t="shared" ref="G62" si="42">+G63+G66</f>
        <v>2162500</v>
      </c>
      <c r="H62" s="1178">
        <f t="shared" ref="H62" si="43">+H63+H66</f>
        <v>6337500</v>
      </c>
      <c r="I62" s="1178"/>
      <c r="J62" s="1178"/>
      <c r="K62" s="1178"/>
      <c r="L62" s="1178">
        <f>+L63+L66</f>
        <v>0</v>
      </c>
      <c r="M62" s="1179">
        <f>M63+M66</f>
        <v>8500000</v>
      </c>
      <c r="N62" s="4010"/>
      <c r="O62" s="3506"/>
      <c r="P62" s="3506"/>
    </row>
    <row r="63" spans="1:16" s="3507" customFormat="1" ht="14.25" customHeight="1">
      <c r="A63" s="3989"/>
      <c r="B63" s="1180" t="s">
        <v>22</v>
      </c>
      <c r="C63" s="3664" t="s">
        <v>159</v>
      </c>
      <c r="D63" s="1181">
        <f>D64+D65</f>
        <v>1317500</v>
      </c>
      <c r="E63" s="1419">
        <f t="shared" ref="E63:H63" si="44">E64+E65</f>
        <v>0</v>
      </c>
      <c r="F63" s="1419">
        <f t="shared" si="44"/>
        <v>0</v>
      </c>
      <c r="G63" s="1181">
        <f t="shared" si="44"/>
        <v>366875</v>
      </c>
      <c r="H63" s="1181">
        <f t="shared" si="44"/>
        <v>950625</v>
      </c>
      <c r="I63" s="1186"/>
      <c r="J63" s="1186"/>
      <c r="K63" s="1186"/>
      <c r="L63" s="1181">
        <f>L64+L65</f>
        <v>0</v>
      </c>
      <c r="M63" s="1432">
        <f>M64+M65</f>
        <v>1317500</v>
      </c>
      <c r="N63" s="4010"/>
    </row>
    <row r="64" spans="1:16" s="3507" customFormat="1" ht="12.75">
      <c r="A64" s="3989"/>
      <c r="B64" s="2576" t="s">
        <v>11</v>
      </c>
      <c r="C64" s="3722"/>
      <c r="D64" s="1115">
        <f>E64+L64+F64+G64+H64+I64+J64+K64</f>
        <v>1317500</v>
      </c>
      <c r="E64" s="1486">
        <v>0</v>
      </c>
      <c r="F64" s="1486">
        <v>0</v>
      </c>
      <c r="G64" s="1184">
        <v>366875</v>
      </c>
      <c r="H64" s="1184">
        <v>950625</v>
      </c>
      <c r="I64" s="1184"/>
      <c r="J64" s="1184"/>
      <c r="K64" s="1184"/>
      <c r="L64" s="1184"/>
      <c r="M64" s="1444">
        <f>SUM(G64:K64)</f>
        <v>1317500</v>
      </c>
      <c r="N64" s="4010"/>
    </row>
    <row r="65" spans="1:15" s="3507" customFormat="1" ht="12.75" hidden="1">
      <c r="A65" s="3989"/>
      <c r="B65" s="2576" t="s">
        <v>14</v>
      </c>
      <c r="C65" s="3722"/>
      <c r="D65" s="1115">
        <f>E65+L65+F65+G65+H65+I65+J65+K65</f>
        <v>0</v>
      </c>
      <c r="E65" s="1486"/>
      <c r="F65" s="1486"/>
      <c r="G65" s="1184"/>
      <c r="H65" s="1184"/>
      <c r="I65" s="1184"/>
      <c r="J65" s="1184"/>
      <c r="K65" s="1184"/>
      <c r="L65" s="1184"/>
      <c r="M65" s="1444">
        <f>SUM(G65:K65)</f>
        <v>0</v>
      </c>
      <c r="N65" s="4010"/>
    </row>
    <row r="66" spans="1:15" s="3505" customFormat="1" ht="12">
      <c r="A66" s="3989"/>
      <c r="B66" s="1185" t="s">
        <v>17</v>
      </c>
      <c r="C66" s="3722"/>
      <c r="D66" s="1181">
        <f>+D67</f>
        <v>7182500</v>
      </c>
      <c r="E66" s="2304">
        <f>E67</f>
        <v>0</v>
      </c>
      <c r="F66" s="2304">
        <f>F67</f>
        <v>0</v>
      </c>
      <c r="G66" s="2166">
        <f>G67</f>
        <v>1795625</v>
      </c>
      <c r="H66" s="2166">
        <f>H67</f>
        <v>5386875</v>
      </c>
      <c r="I66" s="1186"/>
      <c r="J66" s="1186"/>
      <c r="K66" s="1186"/>
      <c r="L66" s="2166">
        <f>L67</f>
        <v>0</v>
      </c>
      <c r="M66" s="1643">
        <f>+M67</f>
        <v>7182500</v>
      </c>
      <c r="N66" s="4010"/>
    </row>
    <row r="67" spans="1:15" s="3505" customFormat="1" ht="12.75">
      <c r="A67" s="3989"/>
      <c r="B67" s="2544" t="s">
        <v>19</v>
      </c>
      <c r="C67" s="3789"/>
      <c r="D67" s="1115">
        <f>E67+L67+F67+G67+H67+I67+J67+K67</f>
        <v>7182500</v>
      </c>
      <c r="E67" s="1486">
        <v>0</v>
      </c>
      <c r="F67" s="1486">
        <v>0</v>
      </c>
      <c r="G67" s="1184">
        <v>1795625</v>
      </c>
      <c r="H67" s="1184">
        <v>5386875</v>
      </c>
      <c r="I67" s="1184"/>
      <c r="J67" s="1184"/>
      <c r="K67" s="1184"/>
      <c r="L67" s="1184"/>
      <c r="M67" s="1444">
        <f>SUM(G67:K67)</f>
        <v>7182500</v>
      </c>
      <c r="N67" s="4011"/>
    </row>
    <row r="68" spans="1:15" s="3505" customFormat="1" ht="12">
      <c r="A68" s="3989"/>
      <c r="B68" s="1722" t="s">
        <v>20</v>
      </c>
      <c r="C68" s="1999"/>
      <c r="D68" s="1178">
        <f>+D71+D69</f>
        <v>7182500</v>
      </c>
      <c r="E68" s="1421">
        <f t="shared" ref="E68:H68" si="45">+E71+E69</f>
        <v>0</v>
      </c>
      <c r="F68" s="1421">
        <f t="shared" si="45"/>
        <v>0</v>
      </c>
      <c r="G68" s="1178">
        <f t="shared" si="45"/>
        <v>1795625</v>
      </c>
      <c r="H68" s="1178">
        <f t="shared" si="45"/>
        <v>5386875</v>
      </c>
      <c r="I68" s="1178"/>
      <c r="J68" s="1178"/>
      <c r="K68" s="1178"/>
      <c r="L68" s="1178">
        <f>+L71+L69</f>
        <v>0</v>
      </c>
      <c r="M68" s="3984"/>
      <c r="N68" s="4005" t="s">
        <v>92</v>
      </c>
    </row>
    <row r="69" spans="1:15" s="3505" customFormat="1" ht="12" hidden="1">
      <c r="A69" s="3989"/>
      <c r="B69" s="1743" t="s">
        <v>395</v>
      </c>
      <c r="C69" s="4007" t="s">
        <v>159</v>
      </c>
      <c r="D69" s="1187">
        <f t="shared" ref="D69:H69" si="46">D70</f>
        <v>0</v>
      </c>
      <c r="E69" s="1227">
        <f t="shared" si="46"/>
        <v>0</v>
      </c>
      <c r="F69" s="1488">
        <f t="shared" si="46"/>
        <v>0</v>
      </c>
      <c r="G69" s="1186">
        <f t="shared" si="46"/>
        <v>0</v>
      </c>
      <c r="H69" s="1186">
        <f t="shared" si="46"/>
        <v>0</v>
      </c>
      <c r="I69" s="1488"/>
      <c r="J69" s="1488"/>
      <c r="K69" s="1488"/>
      <c r="L69" s="2125">
        <f>L70</f>
        <v>0</v>
      </c>
      <c r="M69" s="3985"/>
      <c r="N69" s="4005"/>
    </row>
    <row r="70" spans="1:15" s="3505" customFormat="1" ht="12.75" hidden="1">
      <c r="A70" s="3989"/>
      <c r="B70" s="2576" t="s">
        <v>14</v>
      </c>
      <c r="C70" s="4008"/>
      <c r="D70" s="1155">
        <f>E70+L70+F70+G70+H70+I70+J70+K70</f>
        <v>0</v>
      </c>
      <c r="E70" s="2246"/>
      <c r="F70" s="1486"/>
      <c r="G70" s="1215"/>
      <c r="H70" s="1215"/>
      <c r="I70" s="1215"/>
      <c r="J70" s="1215"/>
      <c r="K70" s="1215"/>
      <c r="L70" s="2126"/>
      <c r="M70" s="3985"/>
      <c r="N70" s="4005"/>
      <c r="O70" s="3506"/>
    </row>
    <row r="71" spans="1:15" s="3505" customFormat="1" ht="12.75" customHeight="1">
      <c r="A71" s="3989"/>
      <c r="B71" s="1743" t="s">
        <v>17</v>
      </c>
      <c r="C71" s="3759" t="s">
        <v>204</v>
      </c>
      <c r="D71" s="1181">
        <f>+D72</f>
        <v>7182500</v>
      </c>
      <c r="E71" s="1227">
        <f t="shared" ref="E71:H71" si="47">E72</f>
        <v>0</v>
      </c>
      <c r="F71" s="1227">
        <f t="shared" si="47"/>
        <v>0</v>
      </c>
      <c r="G71" s="2166">
        <f t="shared" si="47"/>
        <v>1795625</v>
      </c>
      <c r="H71" s="2166">
        <f t="shared" si="47"/>
        <v>5386875</v>
      </c>
      <c r="I71" s="1187"/>
      <c r="J71" s="1187"/>
      <c r="K71" s="1187"/>
      <c r="L71" s="1187">
        <f>L72</f>
        <v>0</v>
      </c>
      <c r="M71" s="3985"/>
      <c r="N71" s="4005"/>
    </row>
    <row r="72" spans="1:15" s="3505" customFormat="1" ht="13.5" thickBot="1">
      <c r="A72" s="4001"/>
      <c r="B72" s="2577" t="s">
        <v>19</v>
      </c>
      <c r="C72" s="3666"/>
      <c r="D72" s="1636">
        <f>E72+L72+F72+G72+H72+I72+J72+K72</f>
        <v>7182500</v>
      </c>
      <c r="E72" s="1434">
        <v>0</v>
      </c>
      <c r="F72" s="1434">
        <v>0</v>
      </c>
      <c r="G72" s="1184">
        <v>1795625</v>
      </c>
      <c r="H72" s="1433">
        <v>5386875</v>
      </c>
      <c r="I72" s="1433"/>
      <c r="J72" s="1433"/>
      <c r="K72" s="1433"/>
      <c r="L72" s="1433">
        <f>2890000-2040000-850000</f>
        <v>0</v>
      </c>
      <c r="M72" s="3986"/>
      <c r="N72" s="4006"/>
    </row>
    <row r="73" spans="1:15" ht="30.75" customHeight="1">
      <c r="A73" s="4002" t="s">
        <v>58</v>
      </c>
      <c r="B73" s="157" t="s">
        <v>554</v>
      </c>
      <c r="C73" s="2113" t="s">
        <v>72</v>
      </c>
      <c r="D73" s="1059"/>
      <c r="E73" s="2127"/>
      <c r="F73" s="2128"/>
      <c r="G73" s="2128"/>
      <c r="H73" s="2118"/>
      <c r="I73" s="2118"/>
      <c r="J73" s="2118"/>
      <c r="K73" s="2119"/>
      <c r="L73" s="2128"/>
      <c r="M73" s="1060"/>
      <c r="N73" s="4009" t="s">
        <v>77</v>
      </c>
    </row>
    <row r="74" spans="1:15" ht="14.25" customHeight="1">
      <c r="A74" s="3989"/>
      <c r="B74" s="1176" t="s">
        <v>9</v>
      </c>
      <c r="C74" s="2303"/>
      <c r="D74" s="1178">
        <f>+D75+D78</f>
        <v>7320637</v>
      </c>
      <c r="E74" s="1178">
        <f t="shared" ref="E74" si="48">+E75+E78</f>
        <v>13578</v>
      </c>
      <c r="F74" s="1178">
        <f>+F75+F78</f>
        <v>123000</v>
      </c>
      <c r="G74" s="1178">
        <f>+G75+G78</f>
        <v>7184059</v>
      </c>
      <c r="H74" s="1178"/>
      <c r="I74" s="1178"/>
      <c r="J74" s="1178"/>
      <c r="K74" s="1178"/>
      <c r="L74" s="1178">
        <f>+L75+L78</f>
        <v>0</v>
      </c>
      <c r="M74" s="1179">
        <f>M75+M78</f>
        <v>7184059</v>
      </c>
      <c r="N74" s="4010"/>
    </row>
    <row r="75" spans="1:15" ht="14.25" customHeight="1">
      <c r="A75" s="3989"/>
      <c r="B75" s="1180" t="s">
        <v>22</v>
      </c>
      <c r="C75" s="3664" t="s">
        <v>159</v>
      </c>
      <c r="D75" s="1181">
        <f>D76+D77</f>
        <v>1194637</v>
      </c>
      <c r="E75" s="1181">
        <f t="shared" ref="E75:G75" si="49">E76+E77</f>
        <v>13578</v>
      </c>
      <c r="F75" s="1181">
        <f t="shared" si="49"/>
        <v>18450</v>
      </c>
      <c r="G75" s="1181">
        <f t="shared" si="49"/>
        <v>1162609</v>
      </c>
      <c r="H75" s="1186"/>
      <c r="I75" s="1186"/>
      <c r="J75" s="1186"/>
      <c r="K75" s="1186"/>
      <c r="L75" s="1181">
        <f>L76+L77</f>
        <v>0</v>
      </c>
      <c r="M75" s="1432">
        <f>M76+M77</f>
        <v>1162609</v>
      </c>
      <c r="N75" s="4010"/>
    </row>
    <row r="76" spans="1:15" ht="14.25" customHeight="1">
      <c r="A76" s="3989"/>
      <c r="B76" s="2544" t="s">
        <v>11</v>
      </c>
      <c r="C76" s="3722"/>
      <c r="D76" s="1115">
        <f>E76+L76+F76+G76+H76+I76+J76+K76</f>
        <v>1194637</v>
      </c>
      <c r="E76" s="1115">
        <v>13578</v>
      </c>
      <c r="F76" s="1184">
        <v>18450</v>
      </c>
      <c r="G76" s="1184">
        <f>1215000+100000-152391</f>
        <v>1162609</v>
      </c>
      <c r="H76" s="1184"/>
      <c r="I76" s="1184"/>
      <c r="J76" s="1184"/>
      <c r="K76" s="1184"/>
      <c r="L76" s="1184"/>
      <c r="M76" s="1444">
        <f>SUM(G76:K76)</f>
        <v>1162609</v>
      </c>
      <c r="N76" s="4010"/>
    </row>
    <row r="77" spans="1:15" ht="12.75" hidden="1">
      <c r="A77" s="3989"/>
      <c r="B77" s="2576" t="s">
        <v>14</v>
      </c>
      <c r="C77" s="3722"/>
      <c r="D77" s="1115">
        <f>E77+L77+F77+G77+H77+I77+J77+K77</f>
        <v>0</v>
      </c>
      <c r="E77" s="2165">
        <v>0</v>
      </c>
      <c r="F77" s="1184">
        <v>0</v>
      </c>
      <c r="G77" s="1184">
        <v>0</v>
      </c>
      <c r="H77" s="1184"/>
      <c r="I77" s="1184"/>
      <c r="J77" s="1184"/>
      <c r="K77" s="1184"/>
      <c r="L77" s="1184"/>
      <c r="M77" s="1444">
        <f>SUM(F77:K77)</f>
        <v>0</v>
      </c>
      <c r="N77" s="4010"/>
    </row>
    <row r="78" spans="1:15" ht="12">
      <c r="A78" s="3989"/>
      <c r="B78" s="1185" t="s">
        <v>17</v>
      </c>
      <c r="C78" s="3722"/>
      <c r="D78" s="1181">
        <f>+D79</f>
        <v>6126000</v>
      </c>
      <c r="E78" s="1649">
        <f t="shared" ref="E78" si="50">+E79</f>
        <v>0</v>
      </c>
      <c r="F78" s="2166">
        <f>F79</f>
        <v>104550</v>
      </c>
      <c r="G78" s="2166">
        <f>G79</f>
        <v>6021450</v>
      </c>
      <c r="H78" s="1186"/>
      <c r="I78" s="1186"/>
      <c r="J78" s="1186"/>
      <c r="K78" s="1186"/>
      <c r="L78" s="2166">
        <f>L79</f>
        <v>0</v>
      </c>
      <c r="M78" s="1643">
        <f>+M79</f>
        <v>6021450</v>
      </c>
      <c r="N78" s="4010"/>
    </row>
    <row r="79" spans="1:15" ht="12.75">
      <c r="A79" s="3989"/>
      <c r="B79" s="2544" t="s">
        <v>19</v>
      </c>
      <c r="C79" s="3789"/>
      <c r="D79" s="1115">
        <f>E79+L79+F79+G79+H79+I79+J79+K79</f>
        <v>6126000</v>
      </c>
      <c r="E79" s="2165">
        <v>0</v>
      </c>
      <c r="F79" s="1184">
        <v>104550</v>
      </c>
      <c r="G79" s="1184">
        <f>6885000-863550</f>
        <v>6021450</v>
      </c>
      <c r="H79" s="1184"/>
      <c r="I79" s="1184"/>
      <c r="J79" s="1184"/>
      <c r="K79" s="1184"/>
      <c r="L79" s="1184"/>
      <c r="M79" s="1444">
        <f>SUM(G79:K79)</f>
        <v>6021450</v>
      </c>
      <c r="N79" s="4011"/>
    </row>
    <row r="80" spans="1:15" ht="14.25" customHeight="1">
      <c r="A80" s="3989"/>
      <c r="B80" s="1722" t="s">
        <v>20</v>
      </c>
      <c r="C80" s="1999"/>
      <c r="D80" s="1178">
        <f>+D83+D81</f>
        <v>6126000</v>
      </c>
      <c r="E80" s="1421">
        <f t="shared" ref="E80:F80" si="51">+E83+E81</f>
        <v>0</v>
      </c>
      <c r="F80" s="1421">
        <f t="shared" si="51"/>
        <v>0</v>
      </c>
      <c r="G80" s="1178">
        <f>G83</f>
        <v>6126000</v>
      </c>
      <c r="H80" s="1178"/>
      <c r="I80" s="1178"/>
      <c r="J80" s="1178"/>
      <c r="K80" s="1178"/>
      <c r="L80" s="1178">
        <f>+L83+L81</f>
        <v>0</v>
      </c>
      <c r="M80" s="3984"/>
      <c r="N80" s="4005" t="s">
        <v>92</v>
      </c>
    </row>
    <row r="81" spans="1:16" ht="12" hidden="1" customHeight="1">
      <c r="A81" s="3989"/>
      <c r="B81" s="1743" t="s">
        <v>395</v>
      </c>
      <c r="C81" s="4007" t="s">
        <v>159</v>
      </c>
      <c r="D81" s="1187">
        <f t="shared" ref="D81:K81" si="52">D82</f>
        <v>0</v>
      </c>
      <c r="E81" s="1488">
        <f t="shared" ref="E81" si="53">+E82</f>
        <v>0</v>
      </c>
      <c r="F81" s="1488">
        <f t="shared" si="52"/>
        <v>0</v>
      </c>
      <c r="G81" s="1488">
        <f t="shared" si="52"/>
        <v>0</v>
      </c>
      <c r="H81" s="1488">
        <f t="shared" si="52"/>
        <v>0</v>
      </c>
      <c r="I81" s="1488">
        <f t="shared" si="52"/>
        <v>0</v>
      </c>
      <c r="J81" s="1488">
        <f t="shared" si="52"/>
        <v>0</v>
      </c>
      <c r="K81" s="1488">
        <f t="shared" si="52"/>
        <v>0</v>
      </c>
      <c r="L81" s="2125">
        <f>L82</f>
        <v>0</v>
      </c>
      <c r="M81" s="3985"/>
      <c r="N81" s="4005"/>
    </row>
    <row r="82" spans="1:16" ht="12.75" hidden="1" customHeight="1">
      <c r="A82" s="3989"/>
      <c r="B82" s="2576" t="s">
        <v>14</v>
      </c>
      <c r="C82" s="4008"/>
      <c r="D82" s="1155">
        <f>E82+L82+F82+G82+H82+I82+J82+K82</f>
        <v>0</v>
      </c>
      <c r="E82" s="1215">
        <v>0</v>
      </c>
      <c r="F82" s="1486">
        <v>0</v>
      </c>
      <c r="G82" s="1215">
        <v>0</v>
      </c>
      <c r="H82" s="1215">
        <v>0</v>
      </c>
      <c r="I82" s="1215">
        <v>0</v>
      </c>
      <c r="J82" s="1215">
        <v>0</v>
      </c>
      <c r="K82" s="1215">
        <v>0</v>
      </c>
      <c r="L82" s="2126"/>
      <c r="M82" s="3985"/>
      <c r="N82" s="4005"/>
    </row>
    <row r="83" spans="1:16" ht="12">
      <c r="A83" s="3989"/>
      <c r="B83" s="1743" t="s">
        <v>17</v>
      </c>
      <c r="C83" s="3759" t="s">
        <v>204</v>
      </c>
      <c r="D83" s="1181">
        <f>+D84</f>
        <v>6126000</v>
      </c>
      <c r="E83" s="1227">
        <f t="shared" ref="E83" si="54">+E84</f>
        <v>0</v>
      </c>
      <c r="F83" s="1227">
        <f t="shared" ref="F83:G83" si="55">F84</f>
        <v>0</v>
      </c>
      <c r="G83" s="1187">
        <f t="shared" si="55"/>
        <v>6126000</v>
      </c>
      <c r="H83" s="1187"/>
      <c r="I83" s="1187"/>
      <c r="J83" s="1187"/>
      <c r="K83" s="1187"/>
      <c r="L83" s="1187">
        <f>L84</f>
        <v>0</v>
      </c>
      <c r="M83" s="3985"/>
      <c r="N83" s="4005"/>
    </row>
    <row r="84" spans="1:16" ht="13.5" thickBot="1">
      <c r="A84" s="4001"/>
      <c r="B84" s="2577" t="s">
        <v>19</v>
      </c>
      <c r="C84" s="3666"/>
      <c r="D84" s="1636">
        <f>E84+L84+F84+G84+H84+I84+J84+K84</f>
        <v>6126000</v>
      </c>
      <c r="E84" s="1909">
        <v>0</v>
      </c>
      <c r="F84" s="1434">
        <v>0</v>
      </c>
      <c r="G84" s="2372">
        <f>6989550-863550</f>
        <v>6126000</v>
      </c>
      <c r="H84" s="1433"/>
      <c r="I84" s="1433"/>
      <c r="J84" s="1433"/>
      <c r="K84" s="1433"/>
      <c r="L84" s="1433">
        <f>2890000-2040000-850000</f>
        <v>0</v>
      </c>
      <c r="M84" s="3986"/>
      <c r="N84" s="4006"/>
    </row>
    <row r="85" spans="1:16" ht="27" customHeight="1">
      <c r="A85" s="4002" t="s">
        <v>105</v>
      </c>
      <c r="B85" s="157" t="s">
        <v>531</v>
      </c>
      <c r="C85" s="2113" t="s">
        <v>72</v>
      </c>
      <c r="D85" s="1059"/>
      <c r="E85" s="2127"/>
      <c r="F85" s="2128"/>
      <c r="G85" s="2128"/>
      <c r="H85" s="2118"/>
      <c r="I85" s="2118"/>
      <c r="J85" s="2118"/>
      <c r="K85" s="2119"/>
      <c r="L85" s="2128"/>
      <c r="M85" s="1060"/>
      <c r="N85" s="4009" t="s">
        <v>77</v>
      </c>
      <c r="O85" s="173">
        <f>D86-'[5]Tab. 6H - Kultura fiz. i turyst'!$D$74</f>
        <v>-1184291</v>
      </c>
    </row>
    <row r="86" spans="1:16" ht="16.5" customHeight="1">
      <c r="A86" s="3989"/>
      <c r="B86" s="1176" t="s">
        <v>9</v>
      </c>
      <c r="C86" s="2303"/>
      <c r="D86" s="1178">
        <f>+D87+D89</f>
        <v>6315709</v>
      </c>
      <c r="E86" s="1421">
        <f t="shared" ref="E86" si="56">+E87+E89</f>
        <v>0</v>
      </c>
      <c r="F86" s="1421">
        <f>+F87+F89</f>
        <v>0</v>
      </c>
      <c r="G86" s="1178">
        <f>+G87+G89</f>
        <v>4344295</v>
      </c>
      <c r="H86" s="1178">
        <f>+H87+H89</f>
        <v>1971414</v>
      </c>
      <c r="I86" s="1178"/>
      <c r="J86" s="1178"/>
      <c r="K86" s="1178"/>
      <c r="L86" s="1421">
        <f>+L87+L89</f>
        <v>0</v>
      </c>
      <c r="M86" s="1179">
        <f>M87+M89</f>
        <v>6315709</v>
      </c>
      <c r="N86" s="4010"/>
      <c r="O86" s="173"/>
      <c r="P86" s="173"/>
    </row>
    <row r="87" spans="1:16" s="196" customFormat="1" ht="14.25" customHeight="1">
      <c r="A87" s="3989"/>
      <c r="B87" s="1180" t="s">
        <v>22</v>
      </c>
      <c r="C87" s="3664" t="s">
        <v>159</v>
      </c>
      <c r="D87" s="1181">
        <f>D88</f>
        <v>947357</v>
      </c>
      <c r="E87" s="1649">
        <f t="shared" ref="E87:H87" si="57">E88</f>
        <v>0</v>
      </c>
      <c r="F87" s="2304">
        <f t="shared" si="57"/>
        <v>0</v>
      </c>
      <c r="G87" s="2166">
        <f t="shared" si="57"/>
        <v>651645</v>
      </c>
      <c r="H87" s="2166">
        <f t="shared" si="57"/>
        <v>295712</v>
      </c>
      <c r="I87" s="1186"/>
      <c r="J87" s="1186"/>
      <c r="K87" s="1186"/>
      <c r="L87" s="2304">
        <f>L88</f>
        <v>0</v>
      </c>
      <c r="M87" s="1432">
        <f>M88</f>
        <v>947357</v>
      </c>
      <c r="N87" s="4010"/>
    </row>
    <row r="88" spans="1:16" s="196" customFormat="1" ht="14.25" customHeight="1">
      <c r="A88" s="3989"/>
      <c r="B88" s="1183" t="s">
        <v>11</v>
      </c>
      <c r="C88" s="3722"/>
      <c r="D88" s="1115">
        <f>E88+L88+F88+G88+H88+I88+J88+K88</f>
        <v>947357</v>
      </c>
      <c r="E88" s="2165">
        <v>0</v>
      </c>
      <c r="F88" s="1486">
        <f>900000-375000-210000-287749-27251</f>
        <v>0</v>
      </c>
      <c r="G88" s="1184">
        <f>600000+157500-92387-13468</f>
        <v>651645</v>
      </c>
      <c r="H88" s="1184">
        <f>52500+243212</f>
        <v>295712</v>
      </c>
      <c r="I88" s="1184"/>
      <c r="J88" s="1184"/>
      <c r="K88" s="1184"/>
      <c r="L88" s="1486">
        <f>225000-225000</f>
        <v>0</v>
      </c>
      <c r="M88" s="1444">
        <f>SUM(G88:K88)</f>
        <v>947357</v>
      </c>
      <c r="N88" s="4010"/>
    </row>
    <row r="89" spans="1:16" ht="14.25" customHeight="1">
      <c r="A89" s="3989"/>
      <c r="B89" s="1185" t="s">
        <v>17</v>
      </c>
      <c r="C89" s="3722"/>
      <c r="D89" s="1181">
        <f>+D90</f>
        <v>5368352</v>
      </c>
      <c r="E89" s="1649">
        <f t="shared" ref="E89" si="58">+E90</f>
        <v>0</v>
      </c>
      <c r="F89" s="2304">
        <f>F90</f>
        <v>0</v>
      </c>
      <c r="G89" s="2166">
        <f>G90</f>
        <v>3692650</v>
      </c>
      <c r="H89" s="2166">
        <f>H90</f>
        <v>1675702</v>
      </c>
      <c r="I89" s="1186"/>
      <c r="J89" s="1186"/>
      <c r="K89" s="1186"/>
      <c r="L89" s="2304">
        <f>L90</f>
        <v>0</v>
      </c>
      <c r="M89" s="1643">
        <f>+M90</f>
        <v>5368352</v>
      </c>
      <c r="N89" s="4010"/>
    </row>
    <row r="90" spans="1:16" ht="13.5" customHeight="1">
      <c r="A90" s="3989"/>
      <c r="B90" s="2544" t="s">
        <v>19</v>
      </c>
      <c r="C90" s="3789"/>
      <c r="D90" s="1115">
        <f>E90+L90+F90+G90+H90+I90+J90+K90</f>
        <v>5368352</v>
      </c>
      <c r="E90" s="2165">
        <v>0</v>
      </c>
      <c r="F90" s="1486">
        <f>5100000-2125000-1190000-1630580-154420</f>
        <v>0</v>
      </c>
      <c r="G90" s="1184">
        <f>3400000+892500-523528-76322</f>
        <v>3692650</v>
      </c>
      <c r="H90" s="1184">
        <f>297500+1378202</f>
        <v>1675702</v>
      </c>
      <c r="I90" s="1184"/>
      <c r="J90" s="1184"/>
      <c r="K90" s="1184"/>
      <c r="L90" s="1486">
        <f>1275000-1275000</f>
        <v>0</v>
      </c>
      <c r="M90" s="1444">
        <f>SUM(G90:K90)</f>
        <v>5368352</v>
      </c>
      <c r="N90" s="4011"/>
    </row>
    <row r="91" spans="1:16" ht="15.75" customHeight="1">
      <c r="A91" s="3989"/>
      <c r="B91" s="1722" t="s">
        <v>20</v>
      </c>
      <c r="C91" s="1999"/>
      <c r="D91" s="1178">
        <f>+D92</f>
        <v>5368352</v>
      </c>
      <c r="E91" s="1421">
        <f t="shared" ref="E91:E92" si="59">+E92</f>
        <v>0</v>
      </c>
      <c r="F91" s="1421">
        <f t="shared" ref="F91:H92" si="60">F92</f>
        <v>0</v>
      </c>
      <c r="G91" s="1178">
        <f t="shared" si="60"/>
        <v>2093352</v>
      </c>
      <c r="H91" s="1178">
        <f t="shared" si="60"/>
        <v>3275000</v>
      </c>
      <c r="I91" s="1178"/>
      <c r="J91" s="1178"/>
      <c r="K91" s="1178"/>
      <c r="L91" s="1421">
        <f>L92</f>
        <v>0</v>
      </c>
      <c r="M91" s="3984"/>
      <c r="N91" s="4005" t="s">
        <v>92</v>
      </c>
    </row>
    <row r="92" spans="1:16" ht="15" customHeight="1">
      <c r="A92" s="3989"/>
      <c r="B92" s="1743" t="s">
        <v>17</v>
      </c>
      <c r="C92" s="3759" t="s">
        <v>204</v>
      </c>
      <c r="D92" s="1181">
        <f>+D93</f>
        <v>5368352</v>
      </c>
      <c r="E92" s="1227">
        <f t="shared" si="59"/>
        <v>0</v>
      </c>
      <c r="F92" s="1227">
        <f t="shared" si="60"/>
        <v>0</v>
      </c>
      <c r="G92" s="1187">
        <f t="shared" si="60"/>
        <v>2093352</v>
      </c>
      <c r="H92" s="1187">
        <f t="shared" si="60"/>
        <v>3275000</v>
      </c>
      <c r="I92" s="1187"/>
      <c r="J92" s="1187"/>
      <c r="K92" s="1187"/>
      <c r="L92" s="1227">
        <f>L93</f>
        <v>0</v>
      </c>
      <c r="M92" s="3985"/>
      <c r="N92" s="4005"/>
    </row>
    <row r="93" spans="1:16" ht="15" customHeight="1" thickBot="1">
      <c r="A93" s="4001"/>
      <c r="B93" s="2577" t="s">
        <v>19</v>
      </c>
      <c r="C93" s="3666"/>
      <c r="D93" s="1636">
        <f>E93+L93+F93+G93+H93+I93+J93+K93</f>
        <v>5368352</v>
      </c>
      <c r="E93" s="1909">
        <v>0</v>
      </c>
      <c r="F93" s="1434">
        <f>1800000-1800000</f>
        <v>0</v>
      </c>
      <c r="G93" s="1433">
        <f>4575000+1800000-3275000-775906-230742</f>
        <v>2093352</v>
      </c>
      <c r="H93" s="1433">
        <v>3275000</v>
      </c>
      <c r="I93" s="1433"/>
      <c r="J93" s="1433"/>
      <c r="K93" s="1433"/>
      <c r="L93" s="1434">
        <v>0</v>
      </c>
      <c r="M93" s="3986"/>
      <c r="N93" s="4006"/>
    </row>
    <row r="94" spans="1:16" s="196" customFormat="1" ht="41.25" customHeight="1">
      <c r="A94" s="4002" t="s">
        <v>78</v>
      </c>
      <c r="B94" s="157" t="s">
        <v>504</v>
      </c>
      <c r="C94" s="2113" t="s">
        <v>72</v>
      </c>
      <c r="D94" s="555"/>
      <c r="E94" s="1113"/>
      <c r="F94" s="555"/>
      <c r="G94" s="555"/>
      <c r="H94" s="555"/>
      <c r="I94" s="555"/>
      <c r="J94" s="555"/>
      <c r="K94" s="555"/>
      <c r="L94" s="555"/>
      <c r="M94" s="3548"/>
      <c r="N94" s="3709" t="s">
        <v>635</v>
      </c>
    </row>
    <row r="95" spans="1:16" s="196" customFormat="1" ht="14.25" customHeight="1">
      <c r="A95" s="3992"/>
      <c r="B95" s="1176" t="s">
        <v>9</v>
      </c>
      <c r="C95" s="1999"/>
      <c r="D95" s="1178">
        <f>+D101+D96</f>
        <v>6938348</v>
      </c>
      <c r="E95" s="1421">
        <f t="shared" ref="E95" si="61">+E101+E96</f>
        <v>0</v>
      </c>
      <c r="F95" s="1178">
        <f t="shared" ref="F95:K95" si="62">+F101+F96</f>
        <v>2177664</v>
      </c>
      <c r="G95" s="1178">
        <f t="shared" si="62"/>
        <v>4760684</v>
      </c>
      <c r="H95" s="1421">
        <f t="shared" si="62"/>
        <v>0</v>
      </c>
      <c r="I95" s="1421">
        <f t="shared" si="62"/>
        <v>0</v>
      </c>
      <c r="J95" s="1421">
        <f t="shared" si="62"/>
        <v>0</v>
      </c>
      <c r="K95" s="1421">
        <f t="shared" si="62"/>
        <v>0</v>
      </c>
      <c r="L95" s="1178">
        <f>+L101+L96</f>
        <v>0</v>
      </c>
      <c r="M95" s="1179">
        <f>+M101+M96</f>
        <v>4760684</v>
      </c>
      <c r="N95" s="3710"/>
    </row>
    <row r="96" spans="1:16" s="196" customFormat="1" ht="14.25" customHeight="1">
      <c r="A96" s="3992"/>
      <c r="B96" s="1180" t="s">
        <v>22</v>
      </c>
      <c r="C96" s="3664" t="s">
        <v>159</v>
      </c>
      <c r="D96" s="1181">
        <f>D97+D100</f>
        <v>1040753</v>
      </c>
      <c r="E96" s="1649">
        <f t="shared" ref="E96" si="63">E97</f>
        <v>0</v>
      </c>
      <c r="F96" s="1186">
        <f>F97+F100</f>
        <v>326650</v>
      </c>
      <c r="G96" s="1186">
        <f t="shared" ref="G96:K96" si="64">G97+G100</f>
        <v>714103</v>
      </c>
      <c r="H96" s="1488">
        <f t="shared" si="64"/>
        <v>0</v>
      </c>
      <c r="I96" s="1488">
        <f t="shared" si="64"/>
        <v>0</v>
      </c>
      <c r="J96" s="1488">
        <f t="shared" si="64"/>
        <v>0</v>
      </c>
      <c r="K96" s="1488">
        <f t="shared" si="64"/>
        <v>0</v>
      </c>
      <c r="L96" s="1186">
        <f>L97</f>
        <v>0</v>
      </c>
      <c r="M96" s="1432">
        <f>M97+M100</f>
        <v>714103</v>
      </c>
      <c r="N96" s="3710"/>
    </row>
    <row r="97" spans="1:14" s="196" customFormat="1" ht="14.25" customHeight="1">
      <c r="A97" s="3992"/>
      <c r="B97" s="1183" t="s">
        <v>11</v>
      </c>
      <c r="C97" s="3722"/>
      <c r="D97" s="2302">
        <f t="shared" ref="D97:E97" si="65">D98+D99</f>
        <v>595191</v>
      </c>
      <c r="E97" s="1202">
        <f t="shared" si="65"/>
        <v>0</v>
      </c>
      <c r="F97" s="2302">
        <f>F98+F99</f>
        <v>326650</v>
      </c>
      <c r="G97" s="2302">
        <f t="shared" ref="G97:K97" si="66">G98+G99</f>
        <v>268541</v>
      </c>
      <c r="H97" s="1202">
        <f t="shared" si="66"/>
        <v>0</v>
      </c>
      <c r="I97" s="1202">
        <f t="shared" si="66"/>
        <v>0</v>
      </c>
      <c r="J97" s="1202">
        <f t="shared" si="66"/>
        <v>0</v>
      </c>
      <c r="K97" s="1202">
        <f t="shared" si="66"/>
        <v>0</v>
      </c>
      <c r="L97" s="2302">
        <f>L98+L99</f>
        <v>0</v>
      </c>
      <c r="M97" s="1444">
        <f>SUM(G97:K97)</f>
        <v>268541</v>
      </c>
      <c r="N97" s="3710"/>
    </row>
    <row r="98" spans="1:14" s="196" customFormat="1" ht="14.25" hidden="1" customHeight="1">
      <c r="A98" s="3992"/>
      <c r="B98" s="3549" t="s">
        <v>479</v>
      </c>
      <c r="C98" s="3722"/>
      <c r="D98" s="3550">
        <f>E98+L98+F98+G98+H98+I98+J98+K98</f>
        <v>324805</v>
      </c>
      <c r="E98" s="3551"/>
      <c r="F98" s="3552">
        <v>324805</v>
      </c>
      <c r="G98" s="3552">
        <v>0</v>
      </c>
      <c r="H98" s="3596">
        <v>0</v>
      </c>
      <c r="I98" s="3596">
        <v>0</v>
      </c>
      <c r="J98" s="3596">
        <v>0</v>
      </c>
      <c r="K98" s="3596">
        <v>0</v>
      </c>
      <c r="L98" s="3552"/>
      <c r="M98" s="1444">
        <f>SUM(G98:K98)</f>
        <v>0</v>
      </c>
      <c r="N98" s="3710"/>
    </row>
    <row r="99" spans="1:14" s="196" customFormat="1" ht="14.25" hidden="1" customHeight="1">
      <c r="A99" s="3992"/>
      <c r="B99" s="3430" t="s">
        <v>208</v>
      </c>
      <c r="C99" s="3722"/>
      <c r="D99" s="3431">
        <f>E99+L99+F99+G99+H99+I99+J99+K99</f>
        <v>270386</v>
      </c>
      <c r="E99" s="3553"/>
      <c r="F99" s="3432">
        <f>5215-3370</f>
        <v>1845</v>
      </c>
      <c r="G99" s="3432">
        <f>576876-15773+997530-844530-445562</f>
        <v>268541</v>
      </c>
      <c r="H99" s="3450"/>
      <c r="I99" s="3450"/>
      <c r="J99" s="3450"/>
      <c r="K99" s="3450"/>
      <c r="L99" s="3432"/>
      <c r="M99" s="1444">
        <f>SUM(G99:K99)</f>
        <v>268541</v>
      </c>
      <c r="N99" s="3710"/>
    </row>
    <row r="100" spans="1:14" s="196" customFormat="1" ht="14.25" customHeight="1">
      <c r="A100" s="3992"/>
      <c r="B100" s="1183" t="s">
        <v>14</v>
      </c>
      <c r="C100" s="3722"/>
      <c r="D100" s="2302">
        <f>E100+F100+G100+H100+I100+J100+K100</f>
        <v>445562</v>
      </c>
      <c r="E100" s="1202"/>
      <c r="F100" s="2302"/>
      <c r="G100" s="2302">
        <v>445562</v>
      </c>
      <c r="H100" s="1202">
        <v>0</v>
      </c>
      <c r="I100" s="1202">
        <v>0</v>
      </c>
      <c r="J100" s="1202">
        <v>0</v>
      </c>
      <c r="K100" s="1202">
        <v>0</v>
      </c>
      <c r="L100" s="3432"/>
      <c r="M100" s="1444">
        <f>SUM(G100:K100)</f>
        <v>445562</v>
      </c>
      <c r="N100" s="3710"/>
    </row>
    <row r="101" spans="1:14" s="196" customFormat="1" ht="18" customHeight="1">
      <c r="A101" s="3992"/>
      <c r="B101" s="1185" t="s">
        <v>17</v>
      </c>
      <c r="C101" s="3722"/>
      <c r="D101" s="1181">
        <f>D102</f>
        <v>5897595</v>
      </c>
      <c r="E101" s="1419">
        <f t="shared" ref="E101:K101" si="67">E102</f>
        <v>0</v>
      </c>
      <c r="F101" s="1181">
        <f t="shared" si="67"/>
        <v>1851014</v>
      </c>
      <c r="G101" s="1181">
        <f t="shared" si="67"/>
        <v>4046581</v>
      </c>
      <c r="H101" s="1419">
        <f t="shared" si="67"/>
        <v>0</v>
      </c>
      <c r="I101" s="1419">
        <f t="shared" si="67"/>
        <v>0</v>
      </c>
      <c r="J101" s="1419">
        <f t="shared" si="67"/>
        <v>0</v>
      </c>
      <c r="K101" s="1419">
        <f t="shared" si="67"/>
        <v>0</v>
      </c>
      <c r="L101" s="1181">
        <f>L102</f>
        <v>0</v>
      </c>
      <c r="M101" s="1432">
        <f>+M102</f>
        <v>4046581</v>
      </c>
      <c r="N101" s="3710"/>
    </row>
    <row r="102" spans="1:14" s="196" customFormat="1" ht="15" customHeight="1">
      <c r="A102" s="3992"/>
      <c r="B102" s="2544" t="s">
        <v>19</v>
      </c>
      <c r="C102" s="3789"/>
      <c r="D102" s="2302">
        <f t="shared" ref="D102" si="68">D103+D104</f>
        <v>5897595</v>
      </c>
      <c r="E102" s="1202">
        <f t="shared" ref="E102" si="69">E103+E104</f>
        <v>0</v>
      </c>
      <c r="F102" s="2302">
        <f>F103+F104</f>
        <v>1851014</v>
      </c>
      <c r="G102" s="2302">
        <f t="shared" ref="G102" si="70">G103+G104</f>
        <v>4046581</v>
      </c>
      <c r="H102" s="1202">
        <f t="shared" ref="H102" si="71">H103+H104</f>
        <v>0</v>
      </c>
      <c r="I102" s="1202">
        <f t="shared" ref="I102" si="72">I103+I104</f>
        <v>0</v>
      </c>
      <c r="J102" s="1202">
        <f t="shared" ref="J102" si="73">J103+J104</f>
        <v>0</v>
      </c>
      <c r="K102" s="1202">
        <f t="shared" ref="K102" si="74">K103+K104</f>
        <v>0</v>
      </c>
      <c r="L102" s="2302">
        <f t="shared" ref="L102" si="75">L103+L104</f>
        <v>0</v>
      </c>
      <c r="M102" s="1444">
        <f>SUM(G102:K102)</f>
        <v>4046581</v>
      </c>
      <c r="N102" s="3967"/>
    </row>
    <row r="103" spans="1:14" s="196" customFormat="1" ht="15" hidden="1" customHeight="1">
      <c r="A103" s="3992"/>
      <c r="B103" s="3549" t="s">
        <v>479</v>
      </c>
      <c r="C103" s="3520"/>
      <c r="D103" s="3550">
        <f>E103+L103+F103+G103+H103+I103+J103+K103</f>
        <v>1840559</v>
      </c>
      <c r="E103" s="3551"/>
      <c r="F103" s="3552">
        <v>1840559</v>
      </c>
      <c r="G103" s="3552">
        <v>0</v>
      </c>
      <c r="H103" s="3596">
        <v>0</v>
      </c>
      <c r="I103" s="3596">
        <v>0</v>
      </c>
      <c r="J103" s="3596">
        <v>0</v>
      </c>
      <c r="K103" s="3596">
        <v>0</v>
      </c>
      <c r="L103" s="3552"/>
      <c r="M103" s="1444">
        <f>SUM(G103:K103)</f>
        <v>0</v>
      </c>
      <c r="N103" s="3521"/>
    </row>
    <row r="104" spans="1:14" s="196" customFormat="1" ht="15" hidden="1" customHeight="1">
      <c r="A104" s="3992"/>
      <c r="B104" s="3430" t="s">
        <v>208</v>
      </c>
      <c r="C104" s="3520"/>
      <c r="D104" s="3431">
        <f>E104+L104+F104+G104+H104+I104+J104+K104</f>
        <v>4057036</v>
      </c>
      <c r="E104" s="3553"/>
      <c r="F104" s="3432">
        <f>29546-19091</f>
        <v>10455</v>
      </c>
      <c r="G104" s="3432">
        <f>3268970-89380+866991</f>
        <v>4046581</v>
      </c>
      <c r="H104" s="3450">
        <v>0</v>
      </c>
      <c r="I104" s="3450">
        <v>0</v>
      </c>
      <c r="J104" s="3450">
        <v>0</v>
      </c>
      <c r="K104" s="3450">
        <v>0</v>
      </c>
      <c r="L104" s="3432"/>
      <c r="M104" s="1444">
        <f>SUM(G104:K104)</f>
        <v>4046581</v>
      </c>
      <c r="N104" s="3521"/>
    </row>
    <row r="105" spans="1:14" s="196" customFormat="1" ht="15.75" customHeight="1">
      <c r="A105" s="3992"/>
      <c r="B105" s="1722" t="s">
        <v>20</v>
      </c>
      <c r="C105" s="1999"/>
      <c r="D105" s="1178">
        <f>D108+D106</f>
        <v>6343157</v>
      </c>
      <c r="E105" s="1421">
        <f t="shared" ref="E105:K105" si="76">E108+E106</f>
        <v>0</v>
      </c>
      <c r="F105" s="1178">
        <f t="shared" si="76"/>
        <v>1840559</v>
      </c>
      <c r="G105" s="1178">
        <f t="shared" si="76"/>
        <v>4502598</v>
      </c>
      <c r="H105" s="1421">
        <f t="shared" si="76"/>
        <v>0</v>
      </c>
      <c r="I105" s="1421">
        <f t="shared" si="76"/>
        <v>0</v>
      </c>
      <c r="J105" s="1421">
        <f t="shared" si="76"/>
        <v>0</v>
      </c>
      <c r="K105" s="1421">
        <f t="shared" si="76"/>
        <v>0</v>
      </c>
      <c r="L105" s="1178">
        <f>L108</f>
        <v>0</v>
      </c>
      <c r="M105" s="3757" t="s">
        <v>52</v>
      </c>
      <c r="N105" s="3977" t="s">
        <v>635</v>
      </c>
    </row>
    <row r="106" spans="1:14" s="196" customFormat="1" ht="15.75" customHeight="1">
      <c r="A106" s="3992"/>
      <c r="B106" s="1743" t="s">
        <v>10</v>
      </c>
      <c r="C106" s="3759" t="s">
        <v>204</v>
      </c>
      <c r="D106" s="1187">
        <f>D107</f>
        <v>445562</v>
      </c>
      <c r="E106" s="1438">
        <f t="shared" ref="E106:K106" si="77">E107</f>
        <v>0</v>
      </c>
      <c r="F106" s="2802">
        <f t="shared" si="77"/>
        <v>0</v>
      </c>
      <c r="G106" s="1187">
        <f t="shared" si="77"/>
        <v>445562</v>
      </c>
      <c r="H106" s="1227">
        <f t="shared" si="77"/>
        <v>0</v>
      </c>
      <c r="I106" s="1227">
        <f t="shared" si="77"/>
        <v>0</v>
      </c>
      <c r="J106" s="1227">
        <f t="shared" si="77"/>
        <v>0</v>
      </c>
      <c r="K106" s="1227">
        <f t="shared" si="77"/>
        <v>0</v>
      </c>
      <c r="L106" s="1178"/>
      <c r="M106" s="3717"/>
      <c r="N106" s="3978"/>
    </row>
    <row r="107" spans="1:14" s="196" customFormat="1" ht="15.75" customHeight="1">
      <c r="A107" s="3992"/>
      <c r="B107" s="3463" t="s">
        <v>14</v>
      </c>
      <c r="C107" s="3828"/>
      <c r="D107" s="1160">
        <f>E107+F107+G107+H107+I107+J107+K107</f>
        <v>445562</v>
      </c>
      <c r="E107" s="1438">
        <v>0</v>
      </c>
      <c r="F107" s="2802">
        <v>0</v>
      </c>
      <c r="G107" s="1190">
        <v>445562</v>
      </c>
      <c r="H107" s="2246">
        <v>0</v>
      </c>
      <c r="I107" s="2246">
        <v>0</v>
      </c>
      <c r="J107" s="2246">
        <v>0</v>
      </c>
      <c r="K107" s="2246">
        <v>0</v>
      </c>
      <c r="L107" s="1178"/>
      <c r="M107" s="3717"/>
      <c r="N107" s="3978"/>
    </row>
    <row r="108" spans="1:14" s="196" customFormat="1" ht="15" customHeight="1">
      <c r="A108" s="3992"/>
      <c r="B108" s="2089" t="s">
        <v>17</v>
      </c>
      <c r="C108" s="3828"/>
      <c r="D108" s="1489">
        <f t="shared" ref="D108:K108" si="78">D109</f>
        <v>5897595</v>
      </c>
      <c r="E108" s="2090">
        <f t="shared" ref="E108" si="79">+E109</f>
        <v>0</v>
      </c>
      <c r="F108" s="1489">
        <f t="shared" si="78"/>
        <v>1840559</v>
      </c>
      <c r="G108" s="1489">
        <f t="shared" si="78"/>
        <v>4057036</v>
      </c>
      <c r="H108" s="2090">
        <f t="shared" si="78"/>
        <v>0</v>
      </c>
      <c r="I108" s="2090">
        <f t="shared" si="78"/>
        <v>0</v>
      </c>
      <c r="J108" s="2090">
        <f t="shared" si="78"/>
        <v>0</v>
      </c>
      <c r="K108" s="2090">
        <f t="shared" si="78"/>
        <v>0</v>
      </c>
      <c r="L108" s="1187">
        <f>L109</f>
        <v>0</v>
      </c>
      <c r="M108" s="3717"/>
      <c r="N108" s="3978"/>
    </row>
    <row r="109" spans="1:14" s="196" customFormat="1" ht="15" customHeight="1" thickBot="1">
      <c r="A109" s="3990"/>
      <c r="B109" s="2577" t="s">
        <v>19</v>
      </c>
      <c r="C109" s="3971"/>
      <c r="D109" s="1636">
        <f>E109+L109+F109+G109+H109+I109+J109+K109</f>
        <v>5897595</v>
      </c>
      <c r="E109" s="1909">
        <v>0</v>
      </c>
      <c r="F109" s="1433">
        <v>1840559</v>
      </c>
      <c r="G109" s="1433">
        <f>5139075-89380-992659</f>
        <v>4057036</v>
      </c>
      <c r="H109" s="1434">
        <v>0</v>
      </c>
      <c r="I109" s="1434">
        <v>0</v>
      </c>
      <c r="J109" s="1434">
        <v>0</v>
      </c>
      <c r="K109" s="1434">
        <v>0</v>
      </c>
      <c r="L109" s="1433">
        <f>6462083-2818040-3644043</f>
        <v>0</v>
      </c>
      <c r="M109" s="3718"/>
      <c r="N109" s="3979"/>
    </row>
    <row r="110" spans="1:14" s="196" customFormat="1" ht="37.5" customHeight="1">
      <c r="A110" s="4002" t="s">
        <v>79</v>
      </c>
      <c r="B110" s="157" t="s">
        <v>503</v>
      </c>
      <c r="C110" s="2113" t="s">
        <v>72</v>
      </c>
      <c r="D110" s="555"/>
      <c r="E110" s="1113"/>
      <c r="F110" s="555"/>
      <c r="G110" s="555"/>
      <c r="H110" s="555"/>
      <c r="I110" s="555"/>
      <c r="J110" s="555"/>
      <c r="K110" s="555"/>
      <c r="L110" s="555"/>
      <c r="M110" s="3548"/>
      <c r="N110" s="609"/>
    </row>
    <row r="111" spans="1:14" s="196" customFormat="1" ht="18" customHeight="1">
      <c r="A111" s="3989"/>
      <c r="B111" s="1176" t="s">
        <v>9</v>
      </c>
      <c r="C111" s="1999"/>
      <c r="D111" s="1178">
        <f t="shared" ref="D111:M111" si="80">+D117+D112</f>
        <v>4768906</v>
      </c>
      <c r="E111" s="1421">
        <f t="shared" si="80"/>
        <v>0</v>
      </c>
      <c r="F111" s="1178">
        <f t="shared" si="80"/>
        <v>2026773</v>
      </c>
      <c r="G111" s="1178">
        <f t="shared" si="80"/>
        <v>2742133</v>
      </c>
      <c r="H111" s="1421">
        <f t="shared" si="80"/>
        <v>0</v>
      </c>
      <c r="I111" s="1421">
        <f t="shared" si="80"/>
        <v>0</v>
      </c>
      <c r="J111" s="1421">
        <f t="shared" si="80"/>
        <v>0</v>
      </c>
      <c r="K111" s="1421">
        <f t="shared" si="80"/>
        <v>0</v>
      </c>
      <c r="L111" s="1178">
        <f t="shared" si="80"/>
        <v>0</v>
      </c>
      <c r="M111" s="1179">
        <f t="shared" si="80"/>
        <v>2384465</v>
      </c>
      <c r="N111" s="4010" t="s">
        <v>635</v>
      </c>
    </row>
    <row r="112" spans="1:14" s="196" customFormat="1" ht="15" customHeight="1">
      <c r="A112" s="3989"/>
      <c r="B112" s="1180" t="s">
        <v>22</v>
      </c>
      <c r="C112" s="3664" t="s">
        <v>159</v>
      </c>
      <c r="D112" s="1181">
        <f>D113+D116</f>
        <v>715336</v>
      </c>
      <c r="E112" s="1202">
        <f t="shared" ref="E112:K112" si="81">E113+E116</f>
        <v>0</v>
      </c>
      <c r="F112" s="1181">
        <f t="shared" si="81"/>
        <v>304016</v>
      </c>
      <c r="G112" s="1181">
        <f t="shared" si="81"/>
        <v>411320</v>
      </c>
      <c r="H112" s="1202">
        <f t="shared" si="81"/>
        <v>0</v>
      </c>
      <c r="I112" s="1202">
        <f t="shared" si="81"/>
        <v>0</v>
      </c>
      <c r="J112" s="1202">
        <f t="shared" si="81"/>
        <v>0</v>
      </c>
      <c r="K112" s="1202">
        <f t="shared" si="81"/>
        <v>0</v>
      </c>
      <c r="L112" s="1186">
        <f>L113</f>
        <v>0</v>
      </c>
      <c r="M112" s="1432">
        <f>M113</f>
        <v>53652</v>
      </c>
      <c r="N112" s="4010"/>
    </row>
    <row r="113" spans="1:14" s="196" customFormat="1" ht="14.25" customHeight="1">
      <c r="A113" s="3989"/>
      <c r="B113" s="1183" t="s">
        <v>11</v>
      </c>
      <c r="C113" s="3722"/>
      <c r="D113" s="2302">
        <f t="shared" ref="D113" si="82">D114+D115</f>
        <v>357668</v>
      </c>
      <c r="E113" s="1202">
        <f t="shared" ref="E113" si="83">E114+E115</f>
        <v>0</v>
      </c>
      <c r="F113" s="2302">
        <f>F114+F115</f>
        <v>304016</v>
      </c>
      <c r="G113" s="2302">
        <f t="shared" ref="G113" si="84">G114+G115</f>
        <v>53652</v>
      </c>
      <c r="H113" s="1202">
        <f t="shared" ref="H113" si="85">H114+H115</f>
        <v>0</v>
      </c>
      <c r="I113" s="1202">
        <f t="shared" ref="I113" si="86">I114+I115</f>
        <v>0</v>
      </c>
      <c r="J113" s="1202">
        <f t="shared" ref="J113" si="87">J114+J115</f>
        <v>0</v>
      </c>
      <c r="K113" s="1202">
        <f t="shared" ref="K113" si="88">K114+K115</f>
        <v>0</v>
      </c>
      <c r="L113" s="2302">
        <f t="shared" ref="L113" si="89">L114+L115</f>
        <v>0</v>
      </c>
      <c r="M113" s="1444">
        <f>SUM(G113:K113)</f>
        <v>53652</v>
      </c>
      <c r="N113" s="4010"/>
    </row>
    <row r="114" spans="1:14" s="196" customFormat="1" ht="15" hidden="1" customHeight="1">
      <c r="A114" s="3989"/>
      <c r="B114" s="3549" t="s">
        <v>479</v>
      </c>
      <c r="C114" s="3722"/>
      <c r="D114" s="3550">
        <f>E114+L114+F114+G114+H114+I114+J114+K114</f>
        <v>302171</v>
      </c>
      <c r="E114" s="3551"/>
      <c r="F114" s="3552">
        <v>302171</v>
      </c>
      <c r="G114" s="3552">
        <v>0</v>
      </c>
      <c r="H114" s="3596">
        <v>0</v>
      </c>
      <c r="I114" s="3596">
        <v>0</v>
      </c>
      <c r="J114" s="3596">
        <v>0</v>
      </c>
      <c r="K114" s="3596">
        <v>0</v>
      </c>
      <c r="L114" s="3552"/>
      <c r="M114" s="1444">
        <f>SUM(G114:K114)</f>
        <v>0</v>
      </c>
      <c r="N114" s="4010"/>
    </row>
    <row r="115" spans="1:14" s="196" customFormat="1" ht="15" hidden="1" customHeight="1">
      <c r="A115" s="3989"/>
      <c r="B115" s="3430" t="s">
        <v>208</v>
      </c>
      <c r="C115" s="3722"/>
      <c r="D115" s="3431">
        <f>E115+L115+F115+G115+H115+I115+J115+K115</f>
        <v>55497</v>
      </c>
      <c r="E115" s="3553"/>
      <c r="F115" s="3432">
        <f>5215-3370</f>
        <v>1845</v>
      </c>
      <c r="G115" s="3432">
        <f>421828-13878+3370-357668</f>
        <v>53652</v>
      </c>
      <c r="H115" s="3450">
        <v>0</v>
      </c>
      <c r="I115" s="3450">
        <v>0</v>
      </c>
      <c r="J115" s="3450">
        <v>0</v>
      </c>
      <c r="K115" s="3450">
        <v>0</v>
      </c>
      <c r="L115" s="3432"/>
      <c r="M115" s="1444">
        <f>SUM(G115:K115)</f>
        <v>53652</v>
      </c>
      <c r="N115" s="4010"/>
    </row>
    <row r="116" spans="1:14" s="196" customFormat="1" ht="15" customHeight="1">
      <c r="A116" s="3989"/>
      <c r="B116" s="1183" t="s">
        <v>14</v>
      </c>
      <c r="C116" s="3722"/>
      <c r="D116" s="2302">
        <f>E116+F116+G116+H116+I116+J116+K116</f>
        <v>357668</v>
      </c>
      <c r="E116" s="1202"/>
      <c r="F116" s="2302"/>
      <c r="G116" s="2302">
        <v>357668</v>
      </c>
      <c r="H116" s="1202"/>
      <c r="I116" s="1202"/>
      <c r="J116" s="1202"/>
      <c r="K116" s="1202"/>
      <c r="L116" s="3432"/>
      <c r="M116" s="1444">
        <f>SUM(G116:K116)</f>
        <v>357668</v>
      </c>
      <c r="N116" s="4010"/>
    </row>
    <row r="117" spans="1:14" s="196" customFormat="1" ht="15" customHeight="1">
      <c r="A117" s="4046"/>
      <c r="B117" s="1185" t="s">
        <v>17</v>
      </c>
      <c r="C117" s="3722"/>
      <c r="D117" s="1181">
        <f>D118</f>
        <v>4053570</v>
      </c>
      <c r="E117" s="1419">
        <f t="shared" ref="E117:K117" si="90">E118</f>
        <v>0</v>
      </c>
      <c r="F117" s="1181">
        <f t="shared" si="90"/>
        <v>1722757</v>
      </c>
      <c r="G117" s="1181">
        <f t="shared" si="90"/>
        <v>2330813</v>
      </c>
      <c r="H117" s="1419">
        <f t="shared" si="90"/>
        <v>0</v>
      </c>
      <c r="I117" s="1419">
        <f t="shared" si="90"/>
        <v>0</v>
      </c>
      <c r="J117" s="1419">
        <f t="shared" si="90"/>
        <v>0</v>
      </c>
      <c r="K117" s="1419">
        <f t="shared" si="90"/>
        <v>0</v>
      </c>
      <c r="L117" s="1181">
        <f>L118</f>
        <v>0</v>
      </c>
      <c r="M117" s="1432">
        <f>+M118</f>
        <v>2330813</v>
      </c>
      <c r="N117" s="4010"/>
    </row>
    <row r="118" spans="1:14" s="196" customFormat="1" ht="15" customHeight="1">
      <c r="A118" s="3992"/>
      <c r="B118" s="2544" t="s">
        <v>19</v>
      </c>
      <c r="C118" s="3789"/>
      <c r="D118" s="2302">
        <f t="shared" ref="D118" si="91">D119+D120</f>
        <v>4053570</v>
      </c>
      <c r="E118" s="1202">
        <f t="shared" ref="E118" si="92">E119+E120</f>
        <v>0</v>
      </c>
      <c r="F118" s="2302">
        <f>F119+F120</f>
        <v>1722757</v>
      </c>
      <c r="G118" s="2302">
        <f t="shared" ref="G118" si="93">G119+G120</f>
        <v>2330813</v>
      </c>
      <c r="H118" s="1202">
        <f t="shared" ref="H118" si="94">H119+H120</f>
        <v>0</v>
      </c>
      <c r="I118" s="1202">
        <f t="shared" ref="I118" si="95">I119+I120</f>
        <v>0</v>
      </c>
      <c r="J118" s="1202">
        <f t="shared" ref="J118" si="96">J119+J120</f>
        <v>0</v>
      </c>
      <c r="K118" s="1202">
        <f t="shared" ref="K118" si="97">K119+K120</f>
        <v>0</v>
      </c>
      <c r="L118" s="2302">
        <f t="shared" ref="L118" si="98">L119+L120</f>
        <v>0</v>
      </c>
      <c r="M118" s="1444">
        <f>SUM(G118:K118)</f>
        <v>2330813</v>
      </c>
      <c r="N118" s="4011"/>
    </row>
    <row r="119" spans="1:14" s="196" customFormat="1" ht="15" hidden="1" customHeight="1">
      <c r="A119" s="3992"/>
      <c r="B119" s="3549" t="s">
        <v>479</v>
      </c>
      <c r="C119" s="3520"/>
      <c r="D119" s="3550">
        <f>E119+L119+F119+G119+H119+I119+J119+K119</f>
        <v>1712302</v>
      </c>
      <c r="E119" s="3551"/>
      <c r="F119" s="3552">
        <v>1712302</v>
      </c>
      <c r="G119" s="3552">
        <v>0</v>
      </c>
      <c r="H119" s="3596">
        <v>0</v>
      </c>
      <c r="I119" s="3596">
        <v>0</v>
      </c>
      <c r="J119" s="3596">
        <v>0</v>
      </c>
      <c r="K119" s="3596">
        <v>0</v>
      </c>
      <c r="L119" s="3552"/>
      <c r="M119" s="1444">
        <f>SUM(G119:K119)</f>
        <v>0</v>
      </c>
      <c r="N119" s="3554"/>
    </row>
    <row r="120" spans="1:14" s="196" customFormat="1" ht="15" hidden="1" customHeight="1">
      <c r="A120" s="3992"/>
      <c r="B120" s="3430" t="s">
        <v>208</v>
      </c>
      <c r="C120" s="3520"/>
      <c r="D120" s="3431">
        <f>E120+L120+F120+G120+H120+I120+J120+K120</f>
        <v>2341268</v>
      </c>
      <c r="E120" s="3553"/>
      <c r="F120" s="3432">
        <f>29546-19091</f>
        <v>10455</v>
      </c>
      <c r="G120" s="3432">
        <f>2390362-78640+19091</f>
        <v>2330813</v>
      </c>
      <c r="H120" s="3450">
        <v>0</v>
      </c>
      <c r="I120" s="3450">
        <v>0</v>
      </c>
      <c r="J120" s="3450">
        <v>0</v>
      </c>
      <c r="K120" s="3450">
        <v>0</v>
      </c>
      <c r="L120" s="3432"/>
      <c r="M120" s="1444">
        <f>SUM(G120:K120)</f>
        <v>2330813</v>
      </c>
      <c r="N120" s="3555"/>
    </row>
    <row r="121" spans="1:14" s="196" customFormat="1" ht="15" customHeight="1">
      <c r="A121" s="3989"/>
      <c r="B121" s="1722" t="s">
        <v>20</v>
      </c>
      <c r="C121" s="1999"/>
      <c r="D121" s="1178">
        <f>D124+D122</f>
        <v>4411238</v>
      </c>
      <c r="E121" s="1421">
        <f t="shared" ref="E121:K121" si="99">E124+E122</f>
        <v>0</v>
      </c>
      <c r="F121" s="1178">
        <f t="shared" si="99"/>
        <v>1627275</v>
      </c>
      <c r="G121" s="1178">
        <f t="shared" si="99"/>
        <v>2783963</v>
      </c>
      <c r="H121" s="1421">
        <f t="shared" si="99"/>
        <v>0</v>
      </c>
      <c r="I121" s="1421">
        <f t="shared" si="99"/>
        <v>0</v>
      </c>
      <c r="J121" s="1421">
        <f t="shared" si="99"/>
        <v>0</v>
      </c>
      <c r="K121" s="1421">
        <f t="shared" si="99"/>
        <v>0</v>
      </c>
      <c r="L121" s="1178">
        <f>L124</f>
        <v>0</v>
      </c>
      <c r="M121" s="3973" t="s">
        <v>52</v>
      </c>
      <c r="N121" s="3742" t="s">
        <v>635</v>
      </c>
    </row>
    <row r="122" spans="1:14" s="196" customFormat="1" ht="15" customHeight="1">
      <c r="A122" s="3989"/>
      <c r="B122" s="1743" t="s">
        <v>10</v>
      </c>
      <c r="C122" s="3969" t="s">
        <v>204</v>
      </c>
      <c r="D122" s="1187">
        <f>D123</f>
        <v>357668</v>
      </c>
      <c r="E122" s="1227">
        <f t="shared" ref="E122:K122" si="100">E123</f>
        <v>0</v>
      </c>
      <c r="F122" s="1187">
        <f t="shared" si="100"/>
        <v>0</v>
      </c>
      <c r="G122" s="1187">
        <f t="shared" si="100"/>
        <v>357668</v>
      </c>
      <c r="H122" s="1227">
        <f t="shared" si="100"/>
        <v>0</v>
      </c>
      <c r="I122" s="1227">
        <f t="shared" si="100"/>
        <v>0</v>
      </c>
      <c r="J122" s="1227">
        <f t="shared" si="100"/>
        <v>0</v>
      </c>
      <c r="K122" s="1227">
        <f t="shared" si="100"/>
        <v>0</v>
      </c>
      <c r="L122" s="1178"/>
      <c r="M122" s="3982"/>
      <c r="N122" s="3705"/>
    </row>
    <row r="123" spans="1:14" s="196" customFormat="1" ht="15" customHeight="1">
      <c r="A123" s="3989"/>
      <c r="B123" s="3556" t="s">
        <v>14</v>
      </c>
      <c r="C123" s="3969"/>
      <c r="D123" s="1155">
        <f>E123+F123+G123+H123+I123+J123+K123</f>
        <v>357668</v>
      </c>
      <c r="E123" s="1438">
        <v>0</v>
      </c>
      <c r="F123" s="2802">
        <v>0</v>
      </c>
      <c r="G123" s="1190">
        <v>357668</v>
      </c>
      <c r="H123" s="2246">
        <v>0</v>
      </c>
      <c r="I123" s="2246">
        <v>0</v>
      </c>
      <c r="J123" s="2246">
        <v>0</v>
      </c>
      <c r="K123" s="2246">
        <v>0</v>
      </c>
      <c r="L123" s="1178"/>
      <c r="M123" s="3982"/>
      <c r="N123" s="3705"/>
    </row>
    <row r="124" spans="1:14" s="196" customFormat="1" ht="15" customHeight="1">
      <c r="A124" s="3989"/>
      <c r="B124" s="1743" t="s">
        <v>17</v>
      </c>
      <c r="C124" s="3969"/>
      <c r="D124" s="1187">
        <f t="shared" ref="D124:K124" si="101">D125</f>
        <v>4053570</v>
      </c>
      <c r="E124" s="1227">
        <f t="shared" ref="E124" si="102">+E125</f>
        <v>0</v>
      </c>
      <c r="F124" s="1187">
        <f t="shared" si="101"/>
        <v>1627275</v>
      </c>
      <c r="G124" s="1187">
        <f t="shared" si="101"/>
        <v>2426295</v>
      </c>
      <c r="H124" s="1227">
        <f t="shared" si="101"/>
        <v>0</v>
      </c>
      <c r="I124" s="1227">
        <f t="shared" si="101"/>
        <v>0</v>
      </c>
      <c r="J124" s="1227">
        <f t="shared" si="101"/>
        <v>0</v>
      </c>
      <c r="K124" s="1227">
        <f t="shared" si="101"/>
        <v>0</v>
      </c>
      <c r="L124" s="1187">
        <f>L125</f>
        <v>0</v>
      </c>
      <c r="M124" s="3982"/>
      <c r="N124" s="3705"/>
    </row>
    <row r="125" spans="1:14" s="196" customFormat="1" ht="15" customHeight="1" thickBot="1">
      <c r="A125" s="4001"/>
      <c r="B125" s="2578" t="s">
        <v>19</v>
      </c>
      <c r="C125" s="3970"/>
      <c r="D125" s="1410">
        <f>E125+L125+F125+G125+H125+I125+J125+K125</f>
        <v>4053570</v>
      </c>
      <c r="E125" s="1746">
        <v>0</v>
      </c>
      <c r="F125" s="1433">
        <v>1627275</v>
      </c>
      <c r="G125" s="1433">
        <f>4132210-78640-1627275</f>
        <v>2426295</v>
      </c>
      <c r="H125" s="1434">
        <v>0</v>
      </c>
      <c r="I125" s="1434">
        <v>0</v>
      </c>
      <c r="J125" s="1434">
        <v>0</v>
      </c>
      <c r="K125" s="1434">
        <v>0</v>
      </c>
      <c r="L125" s="1433">
        <f>6462083-2818040-3644043</f>
        <v>0</v>
      </c>
      <c r="M125" s="3983"/>
      <c r="N125" s="3706"/>
    </row>
    <row r="126" spans="1:14" s="196" customFormat="1" ht="31.5" customHeight="1">
      <c r="A126" s="3989" t="s">
        <v>80</v>
      </c>
      <c r="B126" s="1644" t="s">
        <v>510</v>
      </c>
      <c r="C126" s="3433" t="s">
        <v>99</v>
      </c>
      <c r="D126" s="3434"/>
      <c r="E126" s="3435"/>
      <c r="F126" s="3436"/>
      <c r="G126" s="3436"/>
      <c r="H126" s="3437"/>
      <c r="I126" s="3437"/>
      <c r="J126" s="3437"/>
      <c r="K126" s="3438"/>
      <c r="L126" s="3436"/>
      <c r="M126" s="3439"/>
      <c r="N126" s="3705" t="s">
        <v>269</v>
      </c>
    </row>
    <row r="127" spans="1:14" s="196" customFormat="1" ht="15" customHeight="1">
      <c r="A127" s="3989"/>
      <c r="B127" s="1176" t="s">
        <v>9</v>
      </c>
      <c r="C127" s="2303"/>
      <c r="D127" s="1178">
        <f>+D128+D130</f>
        <v>215327</v>
      </c>
      <c r="E127" s="1421">
        <f t="shared" ref="E127" si="103">+E128+E130</f>
        <v>0</v>
      </c>
      <c r="F127" s="1178">
        <f>+F128+F130</f>
        <v>75469</v>
      </c>
      <c r="G127" s="1178">
        <f>+G128+G130</f>
        <v>139858</v>
      </c>
      <c r="H127" s="1178"/>
      <c r="I127" s="1178"/>
      <c r="J127" s="1178"/>
      <c r="K127" s="1178"/>
      <c r="L127" s="1421">
        <f>+L128+L130</f>
        <v>0</v>
      </c>
      <c r="M127" s="1179">
        <f>M128+M130</f>
        <v>139858</v>
      </c>
      <c r="N127" s="3705"/>
    </row>
    <row r="128" spans="1:14" s="196" customFormat="1" ht="15" customHeight="1">
      <c r="A128" s="3989"/>
      <c r="B128" s="1180" t="s">
        <v>22</v>
      </c>
      <c r="C128" s="3664" t="s">
        <v>138</v>
      </c>
      <c r="D128" s="1181">
        <f>D129</f>
        <v>32300</v>
      </c>
      <c r="E128" s="1649">
        <f t="shared" ref="E128:G128" si="104">E129</f>
        <v>0</v>
      </c>
      <c r="F128" s="2166">
        <f t="shared" si="104"/>
        <v>11322</v>
      </c>
      <c r="G128" s="2166">
        <f t="shared" si="104"/>
        <v>20978</v>
      </c>
      <c r="H128" s="1186"/>
      <c r="I128" s="1186"/>
      <c r="J128" s="1186"/>
      <c r="K128" s="1186"/>
      <c r="L128" s="2304">
        <f>L129</f>
        <v>0</v>
      </c>
      <c r="M128" s="1182">
        <f>M129</f>
        <v>20978</v>
      </c>
      <c r="N128" s="3705"/>
    </row>
    <row r="129" spans="1:14" s="196" customFormat="1" ht="15" customHeight="1">
      <c r="A129" s="3989"/>
      <c r="B129" s="1183" t="s">
        <v>11</v>
      </c>
      <c r="C129" s="3722"/>
      <c r="D129" s="1115">
        <f>E129+L129+F129+G129+H129+I129+J129+K129</f>
        <v>32300</v>
      </c>
      <c r="E129" s="2165">
        <v>0</v>
      </c>
      <c r="F129" s="1184">
        <f>11611-289</f>
        <v>11322</v>
      </c>
      <c r="G129" s="1184">
        <f>18040+2938</f>
        <v>20978</v>
      </c>
      <c r="H129" s="1184"/>
      <c r="I129" s="1184"/>
      <c r="J129" s="1184"/>
      <c r="K129" s="1184"/>
      <c r="L129" s="1486">
        <f>225000-225000</f>
        <v>0</v>
      </c>
      <c r="M129" s="1444">
        <f>SUM(G129:K129)</f>
        <v>20978</v>
      </c>
      <c r="N129" s="3705"/>
    </row>
    <row r="130" spans="1:14" s="196" customFormat="1" ht="15" customHeight="1">
      <c r="A130" s="3989"/>
      <c r="B130" s="1185" t="s">
        <v>17</v>
      </c>
      <c r="C130" s="3722"/>
      <c r="D130" s="1181">
        <f>+D131</f>
        <v>183027</v>
      </c>
      <c r="E130" s="1649">
        <f t="shared" ref="E130" si="105">+E131</f>
        <v>0</v>
      </c>
      <c r="F130" s="2166">
        <f>F131</f>
        <v>64147</v>
      </c>
      <c r="G130" s="2166">
        <f>G131</f>
        <v>118880</v>
      </c>
      <c r="H130" s="1186"/>
      <c r="I130" s="1186"/>
      <c r="J130" s="1186"/>
      <c r="K130" s="1186"/>
      <c r="L130" s="2304">
        <f>L131</f>
        <v>0</v>
      </c>
      <c r="M130" s="1643">
        <f>+M131</f>
        <v>118880</v>
      </c>
      <c r="N130" s="3705"/>
    </row>
    <row r="131" spans="1:14" s="196" customFormat="1" ht="15" customHeight="1">
      <c r="A131" s="3989"/>
      <c r="B131" s="2544" t="s">
        <v>19</v>
      </c>
      <c r="C131" s="3789"/>
      <c r="D131" s="1115">
        <f>E131+L131+F131+G131+H131+I131+J131+K131</f>
        <v>183027</v>
      </c>
      <c r="E131" s="2165">
        <v>0</v>
      </c>
      <c r="F131" s="1184">
        <f>65797-1650</f>
        <v>64147</v>
      </c>
      <c r="G131" s="1184">
        <f>102223+16657</f>
        <v>118880</v>
      </c>
      <c r="H131" s="1184"/>
      <c r="I131" s="1184"/>
      <c r="J131" s="1184"/>
      <c r="K131" s="1184"/>
      <c r="L131" s="1486">
        <f>1275000-1275000</f>
        <v>0</v>
      </c>
      <c r="M131" s="1444">
        <f>SUM(G131:K131)</f>
        <v>118880</v>
      </c>
      <c r="N131" s="3832"/>
    </row>
    <row r="132" spans="1:14" s="196" customFormat="1" ht="15" customHeight="1">
      <c r="A132" s="3989"/>
      <c r="B132" s="1722" t="s">
        <v>20</v>
      </c>
      <c r="C132" s="1999"/>
      <c r="D132" s="1178">
        <f>+D133</f>
        <v>183027</v>
      </c>
      <c r="E132" s="1421">
        <f t="shared" ref="E132:E133" si="106">+E133</f>
        <v>0</v>
      </c>
      <c r="F132" s="1178">
        <f t="shared" ref="F132:G133" si="107">F133</f>
        <v>64147</v>
      </c>
      <c r="G132" s="1178">
        <f t="shared" si="107"/>
        <v>118880</v>
      </c>
      <c r="H132" s="1178"/>
      <c r="I132" s="1178"/>
      <c r="J132" s="1178"/>
      <c r="K132" s="1178"/>
      <c r="L132" s="1421">
        <f>L133</f>
        <v>0</v>
      </c>
      <c r="M132" s="3984"/>
      <c r="N132" s="3705" t="s">
        <v>606</v>
      </c>
    </row>
    <row r="133" spans="1:14" s="196" customFormat="1" ht="15" customHeight="1">
      <c r="A133" s="3989"/>
      <c r="B133" s="1743" t="s">
        <v>17</v>
      </c>
      <c r="C133" s="3759" t="s">
        <v>204</v>
      </c>
      <c r="D133" s="1181">
        <f>+D134</f>
        <v>183027</v>
      </c>
      <c r="E133" s="1227">
        <f t="shared" si="106"/>
        <v>0</v>
      </c>
      <c r="F133" s="1187">
        <f t="shared" si="107"/>
        <v>64147</v>
      </c>
      <c r="G133" s="1187">
        <f t="shared" si="107"/>
        <v>118880</v>
      </c>
      <c r="H133" s="1187"/>
      <c r="I133" s="1187"/>
      <c r="J133" s="1187"/>
      <c r="K133" s="1187"/>
      <c r="L133" s="1227">
        <f>L134</f>
        <v>0</v>
      </c>
      <c r="M133" s="3985"/>
      <c r="N133" s="3705"/>
    </row>
    <row r="134" spans="1:14" s="196" customFormat="1" ht="15" customHeight="1" thickBot="1">
      <c r="A134" s="4001"/>
      <c r="B134" s="3557" t="s">
        <v>19</v>
      </c>
      <c r="C134" s="3666"/>
      <c r="D134" s="1410">
        <f>E134+L134+F134+G134+H134+I134+J134+K134</f>
        <v>183027</v>
      </c>
      <c r="E134" s="1909">
        <v>0</v>
      </c>
      <c r="F134" s="1433">
        <v>64147</v>
      </c>
      <c r="G134" s="1433">
        <f>168020-49140</f>
        <v>118880</v>
      </c>
      <c r="H134" s="1433"/>
      <c r="I134" s="1433"/>
      <c r="J134" s="1433"/>
      <c r="K134" s="1433"/>
      <c r="L134" s="1434">
        <v>0</v>
      </c>
      <c r="M134" s="3986"/>
      <c r="N134" s="3706"/>
    </row>
    <row r="135" spans="1:14" s="196" customFormat="1" ht="36.75" thickBot="1">
      <c r="A135" s="4001" t="s">
        <v>81</v>
      </c>
      <c r="B135" s="1644" t="s">
        <v>550</v>
      </c>
      <c r="C135" s="2686" t="s">
        <v>160</v>
      </c>
      <c r="D135" s="567"/>
      <c r="E135" s="2687"/>
      <c r="F135" s="2688"/>
      <c r="G135" s="2688"/>
      <c r="H135" s="2689"/>
      <c r="I135" s="2689"/>
      <c r="J135" s="2689"/>
      <c r="K135" s="2690"/>
      <c r="L135" s="2688"/>
      <c r="M135" s="2691"/>
      <c r="N135" s="3709" t="s">
        <v>634</v>
      </c>
    </row>
    <row r="136" spans="1:14" s="196" customFormat="1" ht="15" customHeight="1" thickBot="1">
      <c r="A136" s="3988"/>
      <c r="B136" s="1176" t="s">
        <v>9</v>
      </c>
      <c r="C136" s="1999"/>
      <c r="D136" s="1178">
        <f>D137+D139</f>
        <v>119600</v>
      </c>
      <c r="E136" s="1421">
        <f t="shared" ref="E136" si="108">E137+E139</f>
        <v>0</v>
      </c>
      <c r="F136" s="1178">
        <f>F137+F141</f>
        <v>57309</v>
      </c>
      <c r="G136" s="1178">
        <f>G137+G141</f>
        <v>62291</v>
      </c>
      <c r="H136" s="1178">
        <f t="shared" ref="H136:K136" si="109">+H139</f>
        <v>0</v>
      </c>
      <c r="I136" s="1178">
        <f t="shared" si="109"/>
        <v>0</v>
      </c>
      <c r="J136" s="1178">
        <f t="shared" si="109"/>
        <v>0</v>
      </c>
      <c r="K136" s="1178">
        <f t="shared" si="109"/>
        <v>0</v>
      </c>
      <c r="L136" s="1421">
        <f>+L139</f>
        <v>0</v>
      </c>
      <c r="M136" s="2036">
        <f>+M139+M137</f>
        <v>62291</v>
      </c>
      <c r="N136" s="3710"/>
    </row>
    <row r="137" spans="1:14" s="196" customFormat="1" ht="15" customHeight="1">
      <c r="A137" s="3991"/>
      <c r="B137" s="1233" t="s">
        <v>22</v>
      </c>
      <c r="C137" s="3664" t="s">
        <v>201</v>
      </c>
      <c r="D137" s="1181">
        <f>D138</f>
        <v>17940</v>
      </c>
      <c r="E137" s="1649">
        <f t="shared" ref="E137" si="110">E138</f>
        <v>0</v>
      </c>
      <c r="F137" s="1186">
        <f>F138</f>
        <v>8596</v>
      </c>
      <c r="G137" s="1186">
        <f>G138</f>
        <v>9344</v>
      </c>
      <c r="H137" s="1186">
        <v>0</v>
      </c>
      <c r="I137" s="1186">
        <v>0</v>
      </c>
      <c r="J137" s="1186">
        <v>0</v>
      </c>
      <c r="K137" s="1186">
        <v>0</v>
      </c>
      <c r="L137" s="1488">
        <f>L138</f>
        <v>0</v>
      </c>
      <c r="M137" s="56">
        <f>M138</f>
        <v>9344</v>
      </c>
      <c r="N137" s="3710"/>
    </row>
    <row r="138" spans="1:14" s="196" customFormat="1" ht="15" customHeight="1" thickBot="1">
      <c r="A138" s="3990"/>
      <c r="B138" s="2692" t="s">
        <v>11</v>
      </c>
      <c r="C138" s="3722"/>
      <c r="D138" s="1115">
        <f>E138+L138+F138+G138+H138+I138+J138+K138</f>
        <v>17940</v>
      </c>
      <c r="E138" s="2165">
        <v>0</v>
      </c>
      <c r="F138" s="1184">
        <f>17940-9344</f>
        <v>8596</v>
      </c>
      <c r="G138" s="1184">
        <f>9344</f>
        <v>9344</v>
      </c>
      <c r="H138" s="1184">
        <v>0</v>
      </c>
      <c r="I138" s="1184">
        <v>0</v>
      </c>
      <c r="J138" s="1184">
        <v>0</v>
      </c>
      <c r="K138" s="1184">
        <v>0</v>
      </c>
      <c r="L138" s="1486">
        <v>0</v>
      </c>
      <c r="M138" s="1444">
        <f>SUM(G138:K138)</f>
        <v>9344</v>
      </c>
      <c r="N138" s="3710"/>
    </row>
    <row r="139" spans="1:14" s="196" customFormat="1" ht="15" customHeight="1" thickBot="1">
      <c r="A139" s="3988"/>
      <c r="B139" s="1743" t="s">
        <v>17</v>
      </c>
      <c r="C139" s="3723"/>
      <c r="D139" s="1181">
        <f>D140</f>
        <v>101660</v>
      </c>
      <c r="E139" s="2793">
        <f t="shared" ref="E139:M139" si="111">+E140</f>
        <v>0</v>
      </c>
      <c r="F139" s="1192">
        <f>F140</f>
        <v>48713</v>
      </c>
      <c r="G139" s="1192">
        <f>G140</f>
        <v>52947</v>
      </c>
      <c r="H139" s="1192">
        <v>0</v>
      </c>
      <c r="I139" s="1192">
        <v>0</v>
      </c>
      <c r="J139" s="1192">
        <v>0</v>
      </c>
      <c r="K139" s="1192">
        <v>0</v>
      </c>
      <c r="L139" s="1418">
        <v>0</v>
      </c>
      <c r="M139" s="2037">
        <f t="shared" si="111"/>
        <v>52947</v>
      </c>
      <c r="N139" s="3710"/>
    </row>
    <row r="140" spans="1:14" s="196" customFormat="1" ht="13.5" customHeight="1" thickBot="1">
      <c r="A140" s="3988"/>
      <c r="B140" s="2576" t="s">
        <v>19</v>
      </c>
      <c r="C140" s="3972"/>
      <c r="D140" s="731">
        <f>E140+L140+F140+G140+H140+I140+J140+K140</f>
        <v>101660</v>
      </c>
      <c r="E140" s="3004">
        <v>0</v>
      </c>
      <c r="F140" s="719">
        <f>101660-52947</f>
        <v>48713</v>
      </c>
      <c r="G140" s="719">
        <f>52947</f>
        <v>52947</v>
      </c>
      <c r="H140" s="719">
        <v>0</v>
      </c>
      <c r="I140" s="719">
        <v>0</v>
      </c>
      <c r="J140" s="719">
        <v>0</v>
      </c>
      <c r="K140" s="719">
        <v>0</v>
      </c>
      <c r="L140" s="2693">
        <v>0</v>
      </c>
      <c r="M140" s="1444">
        <f>SUM(G140:K140)</f>
        <v>52947</v>
      </c>
      <c r="N140" s="3710"/>
    </row>
    <row r="141" spans="1:14" s="196" customFormat="1" ht="15" customHeight="1">
      <c r="A141" s="3992"/>
      <c r="B141" s="2694" t="s">
        <v>20</v>
      </c>
      <c r="C141" s="2695"/>
      <c r="D141" s="2696">
        <f t="shared" ref="D141:K142" si="112">D142</f>
        <v>101660</v>
      </c>
      <c r="E141" s="1421">
        <f t="shared" ref="E141" si="113">E142+E144</f>
        <v>0</v>
      </c>
      <c r="F141" s="991">
        <f t="shared" si="112"/>
        <v>48713</v>
      </c>
      <c r="G141" s="991">
        <f t="shared" si="112"/>
        <v>52947</v>
      </c>
      <c r="H141" s="2697">
        <f t="shared" si="112"/>
        <v>0</v>
      </c>
      <c r="I141" s="991">
        <f t="shared" si="112"/>
        <v>0</v>
      </c>
      <c r="J141" s="991">
        <f t="shared" si="112"/>
        <v>0</v>
      </c>
      <c r="K141" s="991">
        <f t="shared" si="112"/>
        <v>0</v>
      </c>
      <c r="L141" s="1635">
        <v>0</v>
      </c>
      <c r="M141" s="3973" t="s">
        <v>52</v>
      </c>
      <c r="N141" s="3966" t="s">
        <v>282</v>
      </c>
    </row>
    <row r="142" spans="1:14" s="196" customFormat="1" ht="15" customHeight="1">
      <c r="A142" s="3992"/>
      <c r="B142" s="2089" t="s">
        <v>17</v>
      </c>
      <c r="C142" s="3975" t="s">
        <v>204</v>
      </c>
      <c r="D142" s="2698">
        <f t="shared" si="112"/>
        <v>101660</v>
      </c>
      <c r="E142" s="2090">
        <f t="shared" ref="E142" si="114">+E143</f>
        <v>0</v>
      </c>
      <c r="F142" s="1489">
        <f t="shared" si="112"/>
        <v>48713</v>
      </c>
      <c r="G142" s="1489">
        <f t="shared" si="112"/>
        <v>52947</v>
      </c>
      <c r="H142" s="1489">
        <f t="shared" si="112"/>
        <v>0</v>
      </c>
      <c r="I142" s="1489">
        <f t="shared" si="112"/>
        <v>0</v>
      </c>
      <c r="J142" s="1489">
        <f t="shared" si="112"/>
        <v>0</v>
      </c>
      <c r="K142" s="1489">
        <f t="shared" si="112"/>
        <v>0</v>
      </c>
      <c r="L142" s="2090">
        <f>L143</f>
        <v>0</v>
      </c>
      <c r="M142" s="3918"/>
      <c r="N142" s="3710"/>
    </row>
    <row r="143" spans="1:14" s="196" customFormat="1" ht="13.5" customHeight="1" thickBot="1">
      <c r="A143" s="3992"/>
      <c r="B143" s="2578" t="s">
        <v>19</v>
      </c>
      <c r="C143" s="3976"/>
      <c r="D143" s="2699">
        <f>E143+L143+F143+G143+H143+I143+J143+K143</f>
        <v>101660</v>
      </c>
      <c r="E143" s="1439">
        <v>0</v>
      </c>
      <c r="F143" s="1433">
        <f>101660-52947</f>
        <v>48713</v>
      </c>
      <c r="G143" s="1433">
        <f>52947</f>
        <v>52947</v>
      </c>
      <c r="H143" s="1433">
        <v>0</v>
      </c>
      <c r="I143" s="1433">
        <v>0</v>
      </c>
      <c r="J143" s="1433">
        <v>0</v>
      </c>
      <c r="K143" s="1433">
        <v>0</v>
      </c>
      <c r="L143" s="1434">
        <v>0</v>
      </c>
      <c r="M143" s="3974"/>
      <c r="N143" s="3711"/>
    </row>
    <row r="144" spans="1:14" s="196" customFormat="1" ht="39.75" customHeight="1">
      <c r="A144" s="3989" t="s">
        <v>82</v>
      </c>
      <c r="B144" s="157" t="s">
        <v>551</v>
      </c>
      <c r="C144" s="2700" t="s">
        <v>72</v>
      </c>
      <c r="D144" s="554"/>
      <c r="E144" s="2120"/>
      <c r="F144" s="2114"/>
      <c r="G144" s="2114"/>
      <c r="H144" s="1646"/>
      <c r="I144" s="1646"/>
      <c r="J144" s="1646"/>
      <c r="K144" s="1646"/>
      <c r="L144" s="2114"/>
      <c r="M144" s="2701"/>
      <c r="N144" s="3710" t="s">
        <v>634</v>
      </c>
    </row>
    <row r="145" spans="1:15" s="196" customFormat="1" ht="15" customHeight="1" thickBot="1">
      <c r="A145" s="3990"/>
      <c r="B145" s="68" t="s">
        <v>9</v>
      </c>
      <c r="C145" s="161"/>
      <c r="D145" s="82">
        <f t="shared" ref="D145" si="115">D146+D149</f>
        <v>11493367</v>
      </c>
      <c r="E145" s="82">
        <f t="shared" ref="E145" si="116">E146+E149</f>
        <v>364624</v>
      </c>
      <c r="F145" s="82">
        <f>F146+F149</f>
        <v>6854831</v>
      </c>
      <c r="G145" s="82">
        <f>G146+G149</f>
        <v>4273912</v>
      </c>
      <c r="H145" s="82">
        <f>+H149</f>
        <v>0</v>
      </c>
      <c r="I145" s="82">
        <f>+I149</f>
        <v>0</v>
      </c>
      <c r="J145" s="82">
        <f>+J149</f>
        <v>0</v>
      </c>
      <c r="K145" s="82">
        <f>+K149</f>
        <v>0</v>
      </c>
      <c r="L145" s="82">
        <f>L146+L149</f>
        <v>0</v>
      </c>
      <c r="M145" s="2702">
        <f>M146+M149</f>
        <v>4273912</v>
      </c>
      <c r="N145" s="3711"/>
    </row>
    <row r="146" spans="1:15" s="196" customFormat="1" ht="15" customHeight="1" thickBot="1">
      <c r="A146" s="3988"/>
      <c r="B146" s="1743" t="s">
        <v>22</v>
      </c>
      <c r="C146" s="3993" t="s">
        <v>201</v>
      </c>
      <c r="D146" s="1181">
        <f>D147+D148</f>
        <v>1724005</v>
      </c>
      <c r="E146" s="1181">
        <f t="shared" ref="E146" si="117">E147+E148</f>
        <v>54694</v>
      </c>
      <c r="F146" s="1181">
        <f t="shared" ref="F146:K146" si="118">F147+F148</f>
        <v>1248909</v>
      </c>
      <c r="G146" s="1181">
        <f t="shared" si="118"/>
        <v>420402</v>
      </c>
      <c r="H146" s="1181">
        <f t="shared" si="118"/>
        <v>0</v>
      </c>
      <c r="I146" s="1181">
        <f t="shared" si="118"/>
        <v>0</v>
      </c>
      <c r="J146" s="1181">
        <f t="shared" si="118"/>
        <v>0</v>
      </c>
      <c r="K146" s="1181">
        <f t="shared" si="118"/>
        <v>0</v>
      </c>
      <c r="L146" s="1181">
        <f>L147+L148</f>
        <v>0</v>
      </c>
      <c r="M146" s="2035">
        <f>M147+M148</f>
        <v>420402</v>
      </c>
      <c r="N146" s="3980"/>
    </row>
    <row r="147" spans="1:15" s="196" customFormat="1" ht="15" customHeight="1" thickBot="1">
      <c r="A147" s="3988"/>
      <c r="B147" s="2160" t="s">
        <v>11</v>
      </c>
      <c r="C147" s="3994"/>
      <c r="D147" s="1115">
        <f>E147+L147+F147+G147+H147+I147+J147+K147</f>
        <v>1404005</v>
      </c>
      <c r="E147" s="1115">
        <f>250844-213217+17067</f>
        <v>54694</v>
      </c>
      <c r="F147" s="1184">
        <f>728299+623079-422469</f>
        <v>928909</v>
      </c>
      <c r="G147" s="1184">
        <f>420402</f>
        <v>420402</v>
      </c>
      <c r="H147" s="1184">
        <v>0</v>
      </c>
      <c r="I147" s="1184">
        <v>0</v>
      </c>
      <c r="J147" s="1184">
        <v>0</v>
      </c>
      <c r="K147" s="1184">
        <v>0</v>
      </c>
      <c r="L147" s="1184"/>
      <c r="M147" s="1444">
        <f>SUM(G147:K147)</f>
        <v>420402</v>
      </c>
      <c r="N147" s="3980"/>
      <c r="O147" s="997"/>
    </row>
    <row r="148" spans="1:15" s="196" customFormat="1" ht="15" customHeight="1" thickBot="1">
      <c r="A148" s="3988"/>
      <c r="B148" s="2160" t="s">
        <v>53</v>
      </c>
      <c r="C148" s="3994"/>
      <c r="D148" s="1115">
        <f>E148+L148+F148+G148+H148+I148+J148+K148</f>
        <v>320000</v>
      </c>
      <c r="E148" s="1115">
        <v>0</v>
      </c>
      <c r="F148" s="1184">
        <f>900000-580000</f>
        <v>320000</v>
      </c>
      <c r="G148" s="1184">
        <v>0</v>
      </c>
      <c r="H148" s="1184">
        <v>0</v>
      </c>
      <c r="I148" s="1184">
        <v>0</v>
      </c>
      <c r="J148" s="1184">
        <v>0</v>
      </c>
      <c r="K148" s="1184">
        <v>0</v>
      </c>
      <c r="L148" s="1184">
        <f>100000-100000</f>
        <v>0</v>
      </c>
      <c r="M148" s="1444">
        <f>SUM(G148:K148)</f>
        <v>0</v>
      </c>
      <c r="N148" s="3980"/>
      <c r="O148" s="997"/>
    </row>
    <row r="149" spans="1:15" s="196" customFormat="1" ht="15" customHeight="1" thickBot="1">
      <c r="A149" s="3988"/>
      <c r="B149" s="1743" t="s">
        <v>17</v>
      </c>
      <c r="C149" s="3994"/>
      <c r="D149" s="1181">
        <f>D150</f>
        <v>9769362</v>
      </c>
      <c r="E149" s="1485">
        <f t="shared" ref="E149:M149" si="119">+E150</f>
        <v>309930</v>
      </c>
      <c r="F149" s="1186">
        <f>F150</f>
        <v>5605922</v>
      </c>
      <c r="G149" s="1186">
        <f>G150</f>
        <v>3853510</v>
      </c>
      <c r="H149" s="1186">
        <v>0</v>
      </c>
      <c r="I149" s="1186">
        <v>0</v>
      </c>
      <c r="J149" s="1186">
        <v>0</v>
      </c>
      <c r="K149" s="1186">
        <v>0</v>
      </c>
      <c r="L149" s="1186">
        <f>L150</f>
        <v>0</v>
      </c>
      <c r="M149" s="2035">
        <f t="shared" si="119"/>
        <v>3853510</v>
      </c>
      <c r="N149" s="3980"/>
    </row>
    <row r="150" spans="1:15" s="196" customFormat="1" ht="13.5" customHeight="1" thickBot="1">
      <c r="A150" s="3988"/>
      <c r="B150" s="2552" t="s">
        <v>19</v>
      </c>
      <c r="C150" s="3995"/>
      <c r="D150" s="1115">
        <f>E150+L150+F150+G150+H150+I150+J150+K150</f>
        <v>9769362</v>
      </c>
      <c r="E150" s="1115">
        <f>213217+96713</f>
        <v>309930</v>
      </c>
      <c r="F150" s="1184">
        <f>11862203-2391058-3865223</f>
        <v>5605922</v>
      </c>
      <c r="G150" s="1184">
        <f>3853510</f>
        <v>3853510</v>
      </c>
      <c r="H150" s="1184">
        <v>0</v>
      </c>
      <c r="I150" s="1184">
        <v>0</v>
      </c>
      <c r="J150" s="1184">
        <v>0</v>
      </c>
      <c r="K150" s="1184">
        <v>0</v>
      </c>
      <c r="L150" s="1184"/>
      <c r="M150" s="1444">
        <f>SUM(G150:K150)</f>
        <v>3853510</v>
      </c>
      <c r="N150" s="3981"/>
    </row>
    <row r="151" spans="1:15" s="196" customFormat="1" ht="15" customHeight="1" thickBot="1">
      <c r="A151" s="3988"/>
      <c r="B151" s="1722" t="s">
        <v>20</v>
      </c>
      <c r="C151" s="2703"/>
      <c r="D151" s="1178">
        <f>D154+D152</f>
        <v>10089362</v>
      </c>
      <c r="E151" s="1421">
        <f>E154+E152</f>
        <v>0</v>
      </c>
      <c r="F151" s="1178">
        <f>F154+F152</f>
        <v>7262781</v>
      </c>
      <c r="G151" s="1178">
        <f>G154+G152</f>
        <v>2826581</v>
      </c>
      <c r="H151" s="1178">
        <f>H154</f>
        <v>0</v>
      </c>
      <c r="I151" s="1178">
        <f>I154</f>
        <v>0</v>
      </c>
      <c r="J151" s="1178">
        <f>J154</f>
        <v>0</v>
      </c>
      <c r="K151" s="1178">
        <f>K154</f>
        <v>0</v>
      </c>
      <c r="L151" s="1178">
        <f>L154+L152</f>
        <v>0</v>
      </c>
      <c r="M151" s="3973" t="s">
        <v>52</v>
      </c>
      <c r="N151" s="3711" t="s">
        <v>282</v>
      </c>
    </row>
    <row r="152" spans="1:15" s="196" customFormat="1" ht="15" customHeight="1" thickBot="1">
      <c r="A152" s="3988"/>
      <c r="B152" s="1743" t="s">
        <v>10</v>
      </c>
      <c r="C152" s="3997" t="s">
        <v>201</v>
      </c>
      <c r="D152" s="2704">
        <f>SUM(E152:K152)</f>
        <v>320000</v>
      </c>
      <c r="E152" s="3005">
        <f>E153</f>
        <v>0</v>
      </c>
      <c r="F152" s="2704">
        <f>F153</f>
        <v>320000</v>
      </c>
      <c r="G152" s="2704">
        <f>G153</f>
        <v>0</v>
      </c>
      <c r="H152" s="2704">
        <f t="shared" ref="H152:K152" si="120">H153</f>
        <v>0</v>
      </c>
      <c r="I152" s="2704">
        <f t="shared" si="120"/>
        <v>0</v>
      </c>
      <c r="J152" s="2704">
        <f t="shared" si="120"/>
        <v>0</v>
      </c>
      <c r="K152" s="2704">
        <f t="shared" si="120"/>
        <v>0</v>
      </c>
      <c r="L152" s="2704">
        <f>L153</f>
        <v>0</v>
      </c>
      <c r="M152" s="3982"/>
      <c r="N152" s="3980"/>
    </row>
    <row r="153" spans="1:15" s="196" customFormat="1" ht="15" customHeight="1">
      <c r="A153" s="3991"/>
      <c r="B153" s="2705" t="s">
        <v>53</v>
      </c>
      <c r="C153" s="3998"/>
      <c r="D153" s="1115">
        <f>E153+L153+F153+G153+H153+I153+J153+K153</f>
        <v>320000</v>
      </c>
      <c r="E153" s="2165">
        <v>0</v>
      </c>
      <c r="F153" s="2706">
        <f>900000-580000</f>
        <v>320000</v>
      </c>
      <c r="G153" s="2704">
        <v>0</v>
      </c>
      <c r="H153" s="2704">
        <v>0</v>
      </c>
      <c r="I153" s="2704">
        <v>0</v>
      </c>
      <c r="J153" s="2704">
        <v>0</v>
      </c>
      <c r="K153" s="2704">
        <v>0</v>
      </c>
      <c r="L153" s="2706">
        <f>100000-100000</f>
        <v>0</v>
      </c>
      <c r="M153" s="3982"/>
      <c r="N153" s="3709"/>
    </row>
    <row r="154" spans="1:15" s="196" customFormat="1" ht="15" customHeight="1">
      <c r="A154" s="3992"/>
      <c r="B154" s="1743" t="s">
        <v>17</v>
      </c>
      <c r="C154" s="3999" t="s">
        <v>204</v>
      </c>
      <c r="D154" s="1187">
        <f t="shared" ref="D154:K154" si="121">D155</f>
        <v>9769362</v>
      </c>
      <c r="E154" s="1227">
        <f t="shared" ref="E154" si="122">+E155</f>
        <v>0</v>
      </c>
      <c r="F154" s="1187">
        <f t="shared" si="121"/>
        <v>6942781</v>
      </c>
      <c r="G154" s="1187">
        <f t="shared" si="121"/>
        <v>2826581</v>
      </c>
      <c r="H154" s="1187">
        <f t="shared" si="121"/>
        <v>0</v>
      </c>
      <c r="I154" s="1187">
        <f t="shared" si="121"/>
        <v>0</v>
      </c>
      <c r="J154" s="1187">
        <f t="shared" si="121"/>
        <v>0</v>
      </c>
      <c r="K154" s="1187">
        <f t="shared" si="121"/>
        <v>0</v>
      </c>
      <c r="L154" s="1187">
        <f>L155</f>
        <v>0</v>
      </c>
      <c r="M154" s="3982"/>
      <c r="N154" s="3710"/>
    </row>
    <row r="155" spans="1:15" s="196" customFormat="1" ht="13.5" customHeight="1" thickBot="1">
      <c r="A155" s="3990"/>
      <c r="B155" s="2578" t="s">
        <v>19</v>
      </c>
      <c r="C155" s="4000"/>
      <c r="D155" s="1636">
        <f>E155+L155+F155+G155+H155+I155+J155+K155</f>
        <v>9769362</v>
      </c>
      <c r="E155" s="1909">
        <v>0</v>
      </c>
      <c r="F155" s="1433">
        <f>8889087+212812+2760304-2081128-2838294</f>
        <v>6942781</v>
      </c>
      <c r="G155" s="1433">
        <v>2826581</v>
      </c>
      <c r="H155" s="1433">
        <v>0</v>
      </c>
      <c r="I155" s="1433">
        <v>0</v>
      </c>
      <c r="J155" s="1433">
        <v>0</v>
      </c>
      <c r="K155" s="1433">
        <v>0</v>
      </c>
      <c r="L155" s="1433">
        <f>2437304+323000-2760304</f>
        <v>0</v>
      </c>
      <c r="M155" s="3983"/>
      <c r="N155" s="3711"/>
    </row>
    <row r="156" spans="1:15" s="1038" customFormat="1" ht="40.5" customHeight="1">
      <c r="A156" s="4002" t="s">
        <v>83</v>
      </c>
      <c r="B156" s="157" t="s">
        <v>468</v>
      </c>
      <c r="C156" s="1207" t="s">
        <v>160</v>
      </c>
      <c r="D156" s="554"/>
      <c r="E156" s="2120"/>
      <c r="F156" s="2114"/>
      <c r="G156" s="2114"/>
      <c r="H156" s="1646"/>
      <c r="I156" s="1646"/>
      <c r="J156" s="1646"/>
      <c r="K156" s="1646"/>
      <c r="L156" s="2114"/>
      <c r="M156" s="2701"/>
      <c r="N156" s="3599"/>
      <c r="O156" s="172" t="s">
        <v>555</v>
      </c>
    </row>
    <row r="157" spans="1:15" s="1038" customFormat="1" ht="15" customHeight="1">
      <c r="A157" s="3992"/>
      <c r="B157" s="1176" t="s">
        <v>9</v>
      </c>
      <c r="C157" s="1999"/>
      <c r="D157" s="1178">
        <f>D158+D162</f>
        <v>265794</v>
      </c>
      <c r="E157" s="1178">
        <f>E158+E162</f>
        <v>21322</v>
      </c>
      <c r="F157" s="1178">
        <f>F158+F162</f>
        <v>79764</v>
      </c>
      <c r="G157" s="1178">
        <f>G158+G162</f>
        <v>164708</v>
      </c>
      <c r="H157" s="1178">
        <f>+H162</f>
        <v>0</v>
      </c>
      <c r="I157" s="1178">
        <f>+I162</f>
        <v>0</v>
      </c>
      <c r="J157" s="1178">
        <f>+J162</f>
        <v>0</v>
      </c>
      <c r="K157" s="1178">
        <f>+K162</f>
        <v>0</v>
      </c>
      <c r="L157" s="1178">
        <f>L158+L162</f>
        <v>0</v>
      </c>
      <c r="M157" s="1179">
        <f>M158+M162</f>
        <v>164708</v>
      </c>
      <c r="N157" s="3710" t="s">
        <v>629</v>
      </c>
      <c r="O157" s="196"/>
    </row>
    <row r="158" spans="1:15" s="1038" customFormat="1" ht="15" customHeight="1">
      <c r="A158" s="3992"/>
      <c r="B158" s="1180" t="s">
        <v>22</v>
      </c>
      <c r="C158" s="3664" t="s">
        <v>317</v>
      </c>
      <c r="D158" s="1181">
        <f>D159</f>
        <v>39869</v>
      </c>
      <c r="E158" s="1186">
        <f t="shared" ref="E158:G158" si="123">E159</f>
        <v>3199</v>
      </c>
      <c r="F158" s="1186">
        <f t="shared" si="123"/>
        <v>11964</v>
      </c>
      <c r="G158" s="1186">
        <f t="shared" si="123"/>
        <v>24706</v>
      </c>
      <c r="H158" s="1186">
        <v>0</v>
      </c>
      <c r="I158" s="1186">
        <v>0</v>
      </c>
      <c r="J158" s="1186">
        <v>0</v>
      </c>
      <c r="K158" s="1186">
        <v>0</v>
      </c>
      <c r="L158" s="1186">
        <f>L159</f>
        <v>0</v>
      </c>
      <c r="M158" s="1182">
        <f>M159</f>
        <v>24706</v>
      </c>
      <c r="N158" s="3710"/>
      <c r="O158" s="196"/>
    </row>
    <row r="159" spans="1:15" s="1038" customFormat="1" ht="13.5" customHeight="1">
      <c r="A159" s="3992"/>
      <c r="B159" s="1183" t="s">
        <v>11</v>
      </c>
      <c r="C159" s="3722"/>
      <c r="D159" s="1115">
        <f>E159+L159+F159+G159+H159+I159+J159+K159</f>
        <v>39869</v>
      </c>
      <c r="E159" s="1184">
        <f>SUM(E160:E161)</f>
        <v>3199</v>
      </c>
      <c r="F159" s="1184">
        <f t="shared" ref="F159:G159" si="124">SUM(F160:F161)</f>
        <v>11964</v>
      </c>
      <c r="G159" s="1184">
        <f t="shared" si="124"/>
        <v>24706</v>
      </c>
      <c r="H159" s="1184">
        <v>0</v>
      </c>
      <c r="I159" s="1184">
        <v>0</v>
      </c>
      <c r="J159" s="1184">
        <v>0</v>
      </c>
      <c r="K159" s="1184">
        <v>0</v>
      </c>
      <c r="L159" s="1184">
        <f>SUM(L160:L161)</f>
        <v>0</v>
      </c>
      <c r="M159" s="1444">
        <f>SUM(G159:K159)</f>
        <v>24706</v>
      </c>
      <c r="N159" s="3710"/>
      <c r="O159" s="196"/>
    </row>
    <row r="160" spans="1:15" s="1038" customFormat="1" ht="15" hidden="1" customHeight="1">
      <c r="A160" s="3992"/>
      <c r="B160" s="3440" t="s">
        <v>630</v>
      </c>
      <c r="C160" s="3722"/>
      <c r="D160" s="3431">
        <f>E160+L160+F160+G160+H160+I160+J160+K160</f>
        <v>35111</v>
      </c>
      <c r="E160" s="3432">
        <f>3347-1656</f>
        <v>1691</v>
      </c>
      <c r="F160" s="3432">
        <f>8073+12063-8010-1596</f>
        <v>10530</v>
      </c>
      <c r="G160" s="3432">
        <f>34839-10400+4336-5885</f>
        <v>22890</v>
      </c>
      <c r="H160" s="3441"/>
      <c r="I160" s="3441"/>
      <c r="J160" s="3441"/>
      <c r="K160" s="3441"/>
      <c r="L160" s="3432"/>
      <c r="M160" s="1444">
        <f>SUM(G160:K160)</f>
        <v>22890</v>
      </c>
      <c r="N160" s="3710"/>
      <c r="O160" s="196"/>
    </row>
    <row r="161" spans="1:15" s="1038" customFormat="1" ht="15" hidden="1" customHeight="1">
      <c r="A161" s="3992"/>
      <c r="B161" s="3442" t="s">
        <v>326</v>
      </c>
      <c r="C161" s="3722"/>
      <c r="D161" s="3443">
        <f>E161+L161+F161+G161+H161+I161+J161+K161</f>
        <v>4758</v>
      </c>
      <c r="E161" s="3444">
        <f>1514-6</f>
        <v>1508</v>
      </c>
      <c r="F161" s="3444">
        <f>1816-382</f>
        <v>1434</v>
      </c>
      <c r="G161" s="3444">
        <v>1816</v>
      </c>
      <c r="H161" s="3445"/>
      <c r="I161" s="3445"/>
      <c r="J161" s="3445"/>
      <c r="K161" s="3445"/>
      <c r="L161" s="3444"/>
      <c r="M161" s="1444">
        <f>SUM(G161:K161)</f>
        <v>1816</v>
      </c>
      <c r="N161" s="3710"/>
      <c r="O161" s="196"/>
    </row>
    <row r="162" spans="1:15" s="1038" customFormat="1" ht="15" customHeight="1">
      <c r="A162" s="3992"/>
      <c r="B162" s="1185" t="s">
        <v>17</v>
      </c>
      <c r="C162" s="3722"/>
      <c r="D162" s="1181">
        <f>D163</f>
        <v>225925</v>
      </c>
      <c r="E162" s="1186">
        <f t="shared" ref="E162:G162" si="125">E163</f>
        <v>18123</v>
      </c>
      <c r="F162" s="1186">
        <f t="shared" si="125"/>
        <v>67800</v>
      </c>
      <c r="G162" s="1186">
        <f t="shared" si="125"/>
        <v>140002</v>
      </c>
      <c r="H162" s="1186">
        <v>0</v>
      </c>
      <c r="I162" s="1186">
        <v>0</v>
      </c>
      <c r="J162" s="1186">
        <v>0</v>
      </c>
      <c r="K162" s="1186">
        <v>0</v>
      </c>
      <c r="L162" s="1186">
        <f>L163</f>
        <v>0</v>
      </c>
      <c r="M162" s="1182">
        <f t="shared" ref="M162" si="126">+M163</f>
        <v>140002</v>
      </c>
      <c r="N162" s="3710"/>
      <c r="O162" s="196"/>
    </row>
    <row r="163" spans="1:15" s="1038" customFormat="1" ht="15.75" customHeight="1">
      <c r="A163" s="3992"/>
      <c r="B163" s="2544" t="s">
        <v>19</v>
      </c>
      <c r="C163" s="3722"/>
      <c r="D163" s="1115">
        <f>E163+L163+F163+G163+H163+I163+J163+K163</f>
        <v>225925</v>
      </c>
      <c r="E163" s="1184">
        <f>SUM(E164:E165)</f>
        <v>18123</v>
      </c>
      <c r="F163" s="1184">
        <f t="shared" ref="F163:G163" si="127">SUM(F164:F165)</f>
        <v>67800</v>
      </c>
      <c r="G163" s="1184">
        <f t="shared" si="127"/>
        <v>140002</v>
      </c>
      <c r="H163" s="1184">
        <v>0</v>
      </c>
      <c r="I163" s="1184">
        <v>0</v>
      </c>
      <c r="J163" s="1184">
        <v>0</v>
      </c>
      <c r="K163" s="1184">
        <v>0</v>
      </c>
      <c r="L163" s="1184">
        <f>SUM(L164:L165)</f>
        <v>0</v>
      </c>
      <c r="M163" s="1444">
        <f>SUM(G163:K163)</f>
        <v>140002</v>
      </c>
      <c r="N163" s="3710"/>
      <c r="O163" s="196"/>
    </row>
    <row r="164" spans="1:15" s="1038" customFormat="1" ht="15" hidden="1" customHeight="1">
      <c r="A164" s="3992"/>
      <c r="B164" s="3440" t="s">
        <v>631</v>
      </c>
      <c r="C164" s="3722"/>
      <c r="D164" s="3431">
        <f>E164+L164+F164+G164+H164+I164+J164+K164</f>
        <v>198963</v>
      </c>
      <c r="E164" s="3432">
        <f>18973-9391</f>
        <v>9582</v>
      </c>
      <c r="F164" s="3432">
        <f>45747+68360-45393-9043</f>
        <v>59671</v>
      </c>
      <c r="G164" s="3432">
        <f>197415-58934+24575-33346</f>
        <v>129710</v>
      </c>
      <c r="H164" s="3441"/>
      <c r="I164" s="3441"/>
      <c r="J164" s="3441"/>
      <c r="K164" s="3441"/>
      <c r="L164" s="3432"/>
      <c r="M164" s="1444">
        <f>SUM(G164:K164)</f>
        <v>129710</v>
      </c>
      <c r="N164" s="3600"/>
      <c r="O164" s="196"/>
    </row>
    <row r="165" spans="1:15" s="1038" customFormat="1" ht="15" hidden="1" customHeight="1">
      <c r="A165" s="3992"/>
      <c r="B165" s="3442" t="s">
        <v>327</v>
      </c>
      <c r="C165" s="3789"/>
      <c r="D165" s="3443">
        <f>E165+L165+F165+G165+H165+I165+J165+K165</f>
        <v>26962</v>
      </c>
      <c r="E165" s="3444">
        <f>8576-35</f>
        <v>8541</v>
      </c>
      <c r="F165" s="3444">
        <f>10292-2163</f>
        <v>8129</v>
      </c>
      <c r="G165" s="3444">
        <v>10292</v>
      </c>
      <c r="H165" s="3445"/>
      <c r="I165" s="3445"/>
      <c r="J165" s="3445"/>
      <c r="K165" s="3445"/>
      <c r="L165" s="3444"/>
      <c r="M165" s="1444">
        <f>SUM(G165:K165)</f>
        <v>10292</v>
      </c>
      <c r="N165" s="3600"/>
      <c r="O165" s="196"/>
    </row>
    <row r="166" spans="1:15" s="1038" customFormat="1" ht="12.75">
      <c r="A166" s="3992"/>
      <c r="B166" s="1722" t="s">
        <v>20</v>
      </c>
      <c r="C166" s="1999"/>
      <c r="D166" s="1178">
        <f t="shared" ref="D166:K167" si="128">D167</f>
        <v>225925</v>
      </c>
      <c r="E166" s="1178">
        <f t="shared" si="128"/>
        <v>977</v>
      </c>
      <c r="F166" s="1178">
        <f t="shared" si="128"/>
        <v>20069</v>
      </c>
      <c r="G166" s="1178">
        <f t="shared" si="128"/>
        <v>52880</v>
      </c>
      <c r="H166" s="1178">
        <f t="shared" si="128"/>
        <v>151999</v>
      </c>
      <c r="I166" s="1178">
        <f t="shared" si="128"/>
        <v>0</v>
      </c>
      <c r="J166" s="1178">
        <f t="shared" si="128"/>
        <v>0</v>
      </c>
      <c r="K166" s="1178">
        <f t="shared" si="128"/>
        <v>0</v>
      </c>
      <c r="L166" s="1178">
        <f>L167</f>
        <v>0</v>
      </c>
      <c r="M166" s="3757" t="s">
        <v>52</v>
      </c>
      <c r="N166" s="3966" t="s">
        <v>606</v>
      </c>
      <c r="O166" s="196"/>
    </row>
    <row r="167" spans="1:15" s="1038" customFormat="1" ht="12.75">
      <c r="A167" s="3992"/>
      <c r="B167" s="1743" t="s">
        <v>17</v>
      </c>
      <c r="C167" s="3759" t="s">
        <v>159</v>
      </c>
      <c r="D167" s="1187">
        <f t="shared" si="128"/>
        <v>225925</v>
      </c>
      <c r="E167" s="1187">
        <f t="shared" si="128"/>
        <v>977</v>
      </c>
      <c r="F167" s="1187">
        <f t="shared" si="128"/>
        <v>20069</v>
      </c>
      <c r="G167" s="1187">
        <f t="shared" si="128"/>
        <v>52880</v>
      </c>
      <c r="H167" s="1187">
        <f t="shared" si="128"/>
        <v>151999</v>
      </c>
      <c r="I167" s="1187">
        <f t="shared" si="128"/>
        <v>0</v>
      </c>
      <c r="J167" s="1187">
        <f t="shared" si="128"/>
        <v>0</v>
      </c>
      <c r="K167" s="1187">
        <f t="shared" si="128"/>
        <v>0</v>
      </c>
      <c r="L167" s="1187">
        <f>L168</f>
        <v>0</v>
      </c>
      <c r="M167" s="3717"/>
      <c r="N167" s="3710"/>
      <c r="O167" s="196"/>
    </row>
    <row r="168" spans="1:15" s="1038" customFormat="1" ht="12.75">
      <c r="A168" s="4003"/>
      <c r="B168" s="2576" t="s">
        <v>19</v>
      </c>
      <c r="C168" s="3696"/>
      <c r="D168" s="1155">
        <f>E168+L168+F168+G168+H168+I168+J168+K168</f>
        <v>225925</v>
      </c>
      <c r="E168" s="1190">
        <f>2133-1156</f>
        <v>977</v>
      </c>
      <c r="F168" s="1190">
        <f>39145-24239+5163</f>
        <v>20069</v>
      </c>
      <c r="G168" s="1190">
        <f>148930-34993-90000+28943</f>
        <v>52880</v>
      </c>
      <c r="H168" s="1190">
        <f>101087+60388+64019-73495</f>
        <v>151999</v>
      </c>
      <c r="I168" s="1190">
        <v>0</v>
      </c>
      <c r="J168" s="1190">
        <v>0</v>
      </c>
      <c r="K168" s="1190">
        <v>0</v>
      </c>
      <c r="L168" s="1190"/>
      <c r="M168" s="4004"/>
      <c r="N168" s="3967"/>
      <c r="O168" s="196"/>
    </row>
    <row r="169" spans="1:15" s="196" customFormat="1" ht="48.75" customHeight="1" thickBot="1">
      <c r="A169" s="3987" t="s">
        <v>84</v>
      </c>
      <c r="B169" s="3583" t="s">
        <v>467</v>
      </c>
      <c r="C169" s="3584" t="s">
        <v>72</v>
      </c>
      <c r="D169" s="3585"/>
      <c r="E169" s="3586"/>
      <c r="F169" s="3587"/>
      <c r="G169" s="3587"/>
      <c r="H169" s="3588"/>
      <c r="I169" s="3588"/>
      <c r="J169" s="3588"/>
      <c r="K169" s="3589"/>
      <c r="L169" s="3587"/>
      <c r="M169" s="1247"/>
      <c r="N169" s="3601"/>
      <c r="O169" s="172" t="s">
        <v>555</v>
      </c>
    </row>
    <row r="170" spans="1:15" s="196" customFormat="1" ht="13.5" thickBot="1">
      <c r="A170" s="3988"/>
      <c r="B170" s="1176" t="s">
        <v>9</v>
      </c>
      <c r="C170" s="1999"/>
      <c r="D170" s="1178">
        <f>D171+D173</f>
        <v>406207</v>
      </c>
      <c r="E170" s="1178">
        <f>E171+E173</f>
        <v>52792</v>
      </c>
      <c r="F170" s="1178">
        <f>F171+F173</f>
        <v>81376</v>
      </c>
      <c r="G170" s="1178">
        <f>G171+G173</f>
        <v>272039</v>
      </c>
      <c r="H170" s="1178">
        <f>+H173</f>
        <v>0</v>
      </c>
      <c r="I170" s="1178">
        <f>+I173</f>
        <v>0</v>
      </c>
      <c r="J170" s="1178">
        <f>+J173</f>
        <v>0</v>
      </c>
      <c r="K170" s="1178">
        <f>+K173</f>
        <v>0</v>
      </c>
      <c r="L170" s="1178">
        <f>L171+L173</f>
        <v>0</v>
      </c>
      <c r="M170" s="1179">
        <f>M171+M173</f>
        <v>272039</v>
      </c>
      <c r="N170" s="3968" t="s">
        <v>606</v>
      </c>
    </row>
    <row r="171" spans="1:15" s="196" customFormat="1" ht="13.5" thickBot="1">
      <c r="A171" s="3988"/>
      <c r="B171" s="1180" t="s">
        <v>22</v>
      </c>
      <c r="C171" s="3664" t="s">
        <v>159</v>
      </c>
      <c r="D171" s="1181">
        <f>D172</f>
        <v>60932</v>
      </c>
      <c r="E171" s="1186">
        <f t="shared" ref="E171:K171" si="129">E172</f>
        <v>7919</v>
      </c>
      <c r="F171" s="1186">
        <f t="shared" si="129"/>
        <v>12206</v>
      </c>
      <c r="G171" s="1186">
        <f t="shared" si="129"/>
        <v>40807</v>
      </c>
      <c r="H171" s="1186">
        <f t="shared" si="129"/>
        <v>0</v>
      </c>
      <c r="I171" s="1186">
        <f t="shared" si="129"/>
        <v>0</v>
      </c>
      <c r="J171" s="1186">
        <f t="shared" si="129"/>
        <v>0</v>
      </c>
      <c r="K171" s="1186">
        <f t="shared" si="129"/>
        <v>0</v>
      </c>
      <c r="L171" s="1186">
        <f>L172</f>
        <v>0</v>
      </c>
      <c r="M171" s="1182">
        <f>M172</f>
        <v>40807</v>
      </c>
      <c r="N171" s="3968"/>
    </row>
    <row r="172" spans="1:15" s="196" customFormat="1" ht="13.5" thickBot="1">
      <c r="A172" s="3988"/>
      <c r="B172" s="1183" t="s">
        <v>11</v>
      </c>
      <c r="C172" s="3722"/>
      <c r="D172" s="1115">
        <f>E172+L172+F172+G172+H172+I172+J172+K172</f>
        <v>60932</v>
      </c>
      <c r="E172" s="1184">
        <f>8310-391</f>
        <v>7919</v>
      </c>
      <c r="F172" s="1184">
        <f>37035+4441-29210-60</f>
        <v>12206</v>
      </c>
      <c r="G172" s="1184">
        <f>4050-4050+32884+7923</f>
        <v>40807</v>
      </c>
      <c r="H172" s="1184">
        <v>0</v>
      </c>
      <c r="I172" s="1184">
        <v>0</v>
      </c>
      <c r="J172" s="1184">
        <v>0</v>
      </c>
      <c r="K172" s="1184">
        <v>0</v>
      </c>
      <c r="L172" s="1184"/>
      <c r="M172" s="1444">
        <f>SUM(G172:K172)</f>
        <v>40807</v>
      </c>
      <c r="N172" s="3968"/>
    </row>
    <row r="173" spans="1:15" s="196" customFormat="1" ht="13.5" thickBot="1">
      <c r="A173" s="3988"/>
      <c r="B173" s="1185" t="s">
        <v>17</v>
      </c>
      <c r="C173" s="3722"/>
      <c r="D173" s="1181">
        <f>D174</f>
        <v>345275</v>
      </c>
      <c r="E173" s="1186">
        <f t="shared" ref="E173:G173" si="130">E174</f>
        <v>44873</v>
      </c>
      <c r="F173" s="1186">
        <f t="shared" si="130"/>
        <v>69170</v>
      </c>
      <c r="G173" s="1186">
        <f t="shared" si="130"/>
        <v>231232</v>
      </c>
      <c r="H173" s="1186">
        <f t="shared" ref="H173:K173" si="131">H174</f>
        <v>0</v>
      </c>
      <c r="I173" s="1186">
        <f t="shared" si="131"/>
        <v>0</v>
      </c>
      <c r="J173" s="1186">
        <f t="shared" si="131"/>
        <v>0</v>
      </c>
      <c r="K173" s="1186">
        <f t="shared" si="131"/>
        <v>0</v>
      </c>
      <c r="L173" s="1186">
        <f>L174</f>
        <v>0</v>
      </c>
      <c r="M173" s="1182">
        <f t="shared" ref="M173" si="132">+M174</f>
        <v>231232</v>
      </c>
      <c r="N173" s="3968"/>
    </row>
    <row r="174" spans="1:15" s="196" customFormat="1" ht="13.5" thickBot="1">
      <c r="A174" s="3988"/>
      <c r="B174" s="2544" t="s">
        <v>19</v>
      </c>
      <c r="C174" s="3789"/>
      <c r="D174" s="1115">
        <f>E174+L174+F174+G174+H174+I174+J174+K174</f>
        <v>345275</v>
      </c>
      <c r="E174" s="1184">
        <f>47090-2217</f>
        <v>44873</v>
      </c>
      <c r="F174" s="1184">
        <f>209865+25167-165524-338</f>
        <v>69170</v>
      </c>
      <c r="G174" s="1184">
        <f>22950-22950+186342+44890</f>
        <v>231232</v>
      </c>
      <c r="H174" s="1184">
        <v>0</v>
      </c>
      <c r="I174" s="1184">
        <v>0</v>
      </c>
      <c r="J174" s="1184">
        <v>0</v>
      </c>
      <c r="K174" s="1184">
        <v>0</v>
      </c>
      <c r="L174" s="1184"/>
      <c r="M174" s="1444">
        <f>SUM(G174:K174)</f>
        <v>231232</v>
      </c>
      <c r="N174" s="3968"/>
    </row>
    <row r="175" spans="1:15" s="196" customFormat="1" ht="13.5" thickBot="1">
      <c r="A175" s="3988"/>
      <c r="B175" s="1722" t="s">
        <v>20</v>
      </c>
      <c r="C175" s="1999"/>
      <c r="D175" s="1178">
        <f t="shared" ref="D175:K176" si="133">D176</f>
        <v>345275</v>
      </c>
      <c r="E175" s="1178">
        <f t="shared" ref="E175:E176" si="134">+E176</f>
        <v>0</v>
      </c>
      <c r="F175" s="1178">
        <f t="shared" si="133"/>
        <v>42826</v>
      </c>
      <c r="G175" s="1178">
        <f t="shared" si="133"/>
        <v>104710</v>
      </c>
      <c r="H175" s="1178">
        <f t="shared" si="133"/>
        <v>197739</v>
      </c>
      <c r="I175" s="1178">
        <f t="shared" si="133"/>
        <v>0</v>
      </c>
      <c r="J175" s="1178">
        <f t="shared" si="133"/>
        <v>0</v>
      </c>
      <c r="K175" s="1178">
        <f t="shared" si="133"/>
        <v>0</v>
      </c>
      <c r="L175" s="1178">
        <f>L176</f>
        <v>0</v>
      </c>
      <c r="M175" s="3701" t="s">
        <v>52</v>
      </c>
      <c r="N175" s="3966" t="s">
        <v>606</v>
      </c>
    </row>
    <row r="176" spans="1:15" s="196" customFormat="1" ht="13.5" thickBot="1">
      <c r="A176" s="3988"/>
      <c r="B176" s="1743" t="s">
        <v>17</v>
      </c>
      <c r="C176" s="3970" t="s">
        <v>159</v>
      </c>
      <c r="D176" s="1187">
        <f t="shared" si="133"/>
        <v>345275</v>
      </c>
      <c r="E176" s="1187">
        <f t="shared" si="134"/>
        <v>0</v>
      </c>
      <c r="F176" s="1187">
        <f t="shared" si="133"/>
        <v>42826</v>
      </c>
      <c r="G176" s="1187">
        <f t="shared" si="133"/>
        <v>104710</v>
      </c>
      <c r="H176" s="1187">
        <f t="shared" si="133"/>
        <v>197739</v>
      </c>
      <c r="I176" s="1187">
        <f t="shared" si="133"/>
        <v>0</v>
      </c>
      <c r="J176" s="1187">
        <f t="shared" si="133"/>
        <v>0</v>
      </c>
      <c r="K176" s="1187">
        <f t="shared" si="133"/>
        <v>0</v>
      </c>
      <c r="L176" s="1187">
        <f>L177</f>
        <v>0</v>
      </c>
      <c r="M176" s="3702"/>
      <c r="N176" s="3710"/>
    </row>
    <row r="177" spans="1:15" s="196" customFormat="1" ht="13.5" thickBot="1">
      <c r="A177" s="3988"/>
      <c r="B177" s="2577" t="s">
        <v>19</v>
      </c>
      <c r="C177" s="3849"/>
      <c r="D177" s="1410">
        <f>E177+L177+F177+G177+H177+I177+J177+K177</f>
        <v>345275</v>
      </c>
      <c r="E177" s="1636">
        <v>0</v>
      </c>
      <c r="F177" s="1433">
        <f>73100-26460-3814</f>
        <v>42826</v>
      </c>
      <c r="G177" s="1433">
        <f>183855-5285-178570+104710</f>
        <v>104710</v>
      </c>
      <c r="H177" s="1433">
        <f>22950+31745+203202-60158</f>
        <v>197739</v>
      </c>
      <c r="I177" s="1433">
        <v>0</v>
      </c>
      <c r="J177" s="1433">
        <v>0</v>
      </c>
      <c r="K177" s="1433">
        <v>0</v>
      </c>
      <c r="L177" s="1433"/>
      <c r="M177" s="3702"/>
      <c r="N177" s="3711"/>
    </row>
    <row r="178" spans="1:15" s="196" customFormat="1" ht="34.5" customHeight="1" thickBot="1">
      <c r="A178" s="3996" t="s">
        <v>85</v>
      </c>
      <c r="B178" s="157" t="s">
        <v>466</v>
      </c>
      <c r="C178" s="1645" t="s">
        <v>160</v>
      </c>
      <c r="D178" s="566"/>
      <c r="E178" s="3482"/>
      <c r="F178" s="2688"/>
      <c r="G178" s="2688"/>
      <c r="H178" s="2689"/>
      <c r="I178" s="2689"/>
      <c r="J178" s="2689"/>
      <c r="K178" s="2690"/>
      <c r="L178" s="2688"/>
      <c r="M178" s="568"/>
      <c r="N178" s="3599"/>
      <c r="O178" s="172" t="s">
        <v>555</v>
      </c>
    </row>
    <row r="179" spans="1:15" s="196" customFormat="1" ht="13.5" thickBot="1">
      <c r="A179" s="3988"/>
      <c r="B179" s="1176" t="s">
        <v>9</v>
      </c>
      <c r="C179" s="1999"/>
      <c r="D179" s="1178">
        <f>D180+D184</f>
        <v>693012</v>
      </c>
      <c r="E179" s="1178">
        <f>E180+E184</f>
        <v>32378</v>
      </c>
      <c r="F179" s="1178">
        <f>F180+F184</f>
        <v>248938</v>
      </c>
      <c r="G179" s="1178">
        <f>G180+G184</f>
        <v>411696</v>
      </c>
      <c r="H179" s="1178">
        <f>+H184</f>
        <v>0</v>
      </c>
      <c r="I179" s="1178">
        <f>+I184</f>
        <v>0</v>
      </c>
      <c r="J179" s="1178">
        <f>+J184</f>
        <v>0</v>
      </c>
      <c r="K179" s="1178">
        <f>+K184</f>
        <v>0</v>
      </c>
      <c r="L179" s="1178">
        <f>L180+L184</f>
        <v>0</v>
      </c>
      <c r="M179" s="1179">
        <f>M180+M184</f>
        <v>411696</v>
      </c>
      <c r="N179" s="3710" t="s">
        <v>629</v>
      </c>
    </row>
    <row r="180" spans="1:15" s="196" customFormat="1" ht="13.5" thickBot="1">
      <c r="A180" s="3988"/>
      <c r="B180" s="1743" t="s">
        <v>22</v>
      </c>
      <c r="C180" s="3848" t="s">
        <v>317</v>
      </c>
      <c r="D180" s="1187">
        <f>D181</f>
        <v>119262</v>
      </c>
      <c r="E180" s="1192">
        <f t="shared" ref="E180:G180" si="135">E181</f>
        <v>4857</v>
      </c>
      <c r="F180" s="1192">
        <f t="shared" si="135"/>
        <v>51938</v>
      </c>
      <c r="G180" s="1192">
        <f t="shared" si="135"/>
        <v>62467</v>
      </c>
      <c r="H180" s="1192">
        <v>0</v>
      </c>
      <c r="I180" s="1192">
        <v>0</v>
      </c>
      <c r="J180" s="1192">
        <v>0</v>
      </c>
      <c r="K180" s="1192">
        <v>0</v>
      </c>
      <c r="L180" s="1192">
        <f>L181</f>
        <v>0</v>
      </c>
      <c r="M180" s="1182">
        <f>M181</f>
        <v>62467</v>
      </c>
      <c r="N180" s="3710"/>
    </row>
    <row r="181" spans="1:15" s="196" customFormat="1" ht="13.5" thickBot="1">
      <c r="A181" s="3988"/>
      <c r="B181" s="3446" t="s">
        <v>11</v>
      </c>
      <c r="C181" s="3722"/>
      <c r="D181" s="730">
        <f>E181+L181+F181+G181+H181+I181+J181+K181</f>
        <v>119262</v>
      </c>
      <c r="E181" s="3447">
        <f>E182+E183</f>
        <v>4857</v>
      </c>
      <c r="F181" s="3447">
        <f>F182+F183</f>
        <v>51938</v>
      </c>
      <c r="G181" s="3447">
        <f>G182+G183</f>
        <v>62467</v>
      </c>
      <c r="H181" s="3447">
        <v>0</v>
      </c>
      <c r="I181" s="3447">
        <v>0</v>
      </c>
      <c r="J181" s="3447">
        <v>0</v>
      </c>
      <c r="K181" s="3447">
        <v>0</v>
      </c>
      <c r="L181" s="3447">
        <f>L182+L183</f>
        <v>0</v>
      </c>
      <c r="M181" s="1444">
        <f>SUM(G181:K181)</f>
        <v>62467</v>
      </c>
      <c r="N181" s="3710"/>
    </row>
    <row r="182" spans="1:15" s="196" customFormat="1" ht="15" hidden="1" customHeight="1" thickBot="1">
      <c r="A182" s="3988"/>
      <c r="B182" s="3442" t="s">
        <v>326</v>
      </c>
      <c r="C182" s="3722"/>
      <c r="D182" s="3443">
        <f>E182+L182+F182+G182+H182+I182+J182+K182</f>
        <v>5597</v>
      </c>
      <c r="E182" s="3444">
        <f>1500+258+37-148</f>
        <v>1647</v>
      </c>
      <c r="F182" s="3444">
        <f>1500+258+37+360+115-9</f>
        <v>2261</v>
      </c>
      <c r="G182" s="3444">
        <f>1500+258+37-115+9</f>
        <v>1689</v>
      </c>
      <c r="H182" s="3445"/>
      <c r="I182" s="3445"/>
      <c r="J182" s="3445"/>
      <c r="K182" s="3445"/>
      <c r="L182" s="3444"/>
      <c r="M182" s="3448">
        <f>SUM(G182:K182)</f>
        <v>1689</v>
      </c>
      <c r="N182" s="3710"/>
    </row>
    <row r="183" spans="1:15" s="196" customFormat="1" ht="15" hidden="1" customHeight="1" thickBot="1">
      <c r="A183" s="3988"/>
      <c r="B183" s="3440" t="s">
        <v>630</v>
      </c>
      <c r="C183" s="3722"/>
      <c r="D183" s="3431">
        <f>E183+L183+F183+G183+H183+I183+J183+K183</f>
        <v>113665</v>
      </c>
      <c r="E183" s="3432">
        <f>29862+1010+900-17345-750-10467</f>
        <v>3210</v>
      </c>
      <c r="F183" s="3432">
        <f>37887+3262+1350+17345+750+10256-21173</f>
        <v>49677</v>
      </c>
      <c r="G183" s="3432">
        <f>36006+900+2700-1+21173</f>
        <v>60778</v>
      </c>
      <c r="H183" s="3441"/>
      <c r="I183" s="3441"/>
      <c r="J183" s="3441"/>
      <c r="K183" s="3441"/>
      <c r="L183" s="3432"/>
      <c r="M183" s="3448">
        <f>SUM(G183:K183)</f>
        <v>60778</v>
      </c>
      <c r="N183" s="3710"/>
    </row>
    <row r="184" spans="1:15" s="196" customFormat="1" ht="13.5" thickBot="1">
      <c r="A184" s="3988"/>
      <c r="B184" s="1185" t="s">
        <v>17</v>
      </c>
      <c r="C184" s="3722"/>
      <c r="D184" s="1181">
        <f>D185</f>
        <v>573750</v>
      </c>
      <c r="E184" s="1186">
        <f t="shared" ref="E184:G184" si="136">E185</f>
        <v>27521</v>
      </c>
      <c r="F184" s="1186">
        <f t="shared" si="136"/>
        <v>197000</v>
      </c>
      <c r="G184" s="1186">
        <f t="shared" si="136"/>
        <v>349229</v>
      </c>
      <c r="H184" s="1186">
        <v>0</v>
      </c>
      <c r="I184" s="1186">
        <v>0</v>
      </c>
      <c r="J184" s="1186">
        <v>0</v>
      </c>
      <c r="K184" s="1186">
        <v>0</v>
      </c>
      <c r="L184" s="1186">
        <f>L185</f>
        <v>0</v>
      </c>
      <c r="M184" s="1182">
        <f t="shared" ref="M184" si="137">+M185</f>
        <v>349229</v>
      </c>
      <c r="N184" s="3710"/>
    </row>
    <row r="185" spans="1:15" s="196" customFormat="1" ht="13.5" thickBot="1">
      <c r="A185" s="3988"/>
      <c r="B185" s="2544" t="s">
        <v>19</v>
      </c>
      <c r="C185" s="3789"/>
      <c r="D185" s="1115">
        <f>E185+L185+F185+G185+H185+I185+J185+K185</f>
        <v>573750</v>
      </c>
      <c r="E185" s="1184">
        <f>E186+E187</f>
        <v>27521</v>
      </c>
      <c r="F185" s="1184">
        <f>F186+F187</f>
        <v>197000</v>
      </c>
      <c r="G185" s="1184">
        <f>G186+G187</f>
        <v>349229</v>
      </c>
      <c r="H185" s="1184">
        <v>0</v>
      </c>
      <c r="I185" s="1184">
        <v>0</v>
      </c>
      <c r="J185" s="1184">
        <v>0</v>
      </c>
      <c r="K185" s="1184">
        <v>0</v>
      </c>
      <c r="L185" s="1184"/>
      <c r="M185" s="1444">
        <f>SUM(G185:K185)</f>
        <v>349229</v>
      </c>
      <c r="N185" s="3710"/>
    </row>
    <row r="186" spans="1:15" s="196" customFormat="1" ht="15" hidden="1" customHeight="1" thickBot="1">
      <c r="A186" s="3988"/>
      <c r="B186" s="3442" t="s">
        <v>327</v>
      </c>
      <c r="C186" s="3028"/>
      <c r="D186" s="3443">
        <f>E186+L186+F186+G186+H186+I186+J186+K186</f>
        <v>31701</v>
      </c>
      <c r="E186" s="3444">
        <f>8496+1459+208-829</f>
        <v>9334</v>
      </c>
      <c r="F186" s="3444">
        <f>8496+1459+208+2041+652-39</f>
        <v>12817</v>
      </c>
      <c r="G186" s="3444">
        <f>8496+1459+208-652+39</f>
        <v>9550</v>
      </c>
      <c r="H186" s="3445"/>
      <c r="I186" s="3445"/>
      <c r="J186" s="3445"/>
      <c r="K186" s="3445"/>
      <c r="L186" s="3444"/>
      <c r="M186" s="3448">
        <f>SUM(G186:K186)</f>
        <v>9550</v>
      </c>
      <c r="N186" s="3600"/>
    </row>
    <row r="187" spans="1:15" s="196" customFormat="1" ht="15" hidden="1" customHeight="1" thickBot="1">
      <c r="A187" s="3988"/>
      <c r="B187" s="3440" t="s">
        <v>631</v>
      </c>
      <c r="C187" s="3028"/>
      <c r="D187" s="3431">
        <f>E187+L187+F187+G187+H187+I187+J187+K187</f>
        <v>542049</v>
      </c>
      <c r="E187" s="3432">
        <f>129026-98286-4250-8303</f>
        <v>18187</v>
      </c>
      <c r="F187" s="3432">
        <f>163661+18488+7650+98286+4250+7090-115242</f>
        <v>184183</v>
      </c>
      <c r="G187" s="3432">
        <f>204036+5100+15300+1+115242</f>
        <v>339679</v>
      </c>
      <c r="H187" s="3441"/>
      <c r="I187" s="3441"/>
      <c r="J187" s="3441"/>
      <c r="K187" s="3441"/>
      <c r="L187" s="3432"/>
      <c r="M187" s="3448">
        <f>SUM(G187:K187)</f>
        <v>339679</v>
      </c>
      <c r="N187" s="3600"/>
    </row>
    <row r="188" spans="1:15" s="196" customFormat="1" ht="13.5" thickBot="1">
      <c r="A188" s="3988"/>
      <c r="B188" s="1722" t="s">
        <v>20</v>
      </c>
      <c r="C188" s="1999"/>
      <c r="D188" s="1178">
        <f t="shared" ref="D188:K189" si="138">D189</f>
        <v>573750</v>
      </c>
      <c r="E188" s="1421">
        <f t="shared" si="138"/>
        <v>0</v>
      </c>
      <c r="F188" s="1178">
        <f t="shared" si="138"/>
        <v>28285</v>
      </c>
      <c r="G188" s="1178">
        <f t="shared" si="138"/>
        <v>458783</v>
      </c>
      <c r="H188" s="1178">
        <f t="shared" si="138"/>
        <v>86682</v>
      </c>
      <c r="I188" s="1178">
        <f t="shared" si="138"/>
        <v>0</v>
      </c>
      <c r="J188" s="1178">
        <f t="shared" si="138"/>
        <v>0</v>
      </c>
      <c r="K188" s="1178">
        <f t="shared" si="138"/>
        <v>0</v>
      </c>
      <c r="L188" s="1178">
        <f>L189</f>
        <v>0</v>
      </c>
      <c r="M188" s="3757" t="s">
        <v>52</v>
      </c>
      <c r="N188" s="3966" t="s">
        <v>606</v>
      </c>
    </row>
    <row r="189" spans="1:15" s="196" customFormat="1" ht="13.5" thickBot="1">
      <c r="A189" s="3988"/>
      <c r="B189" s="1743" t="s">
        <v>17</v>
      </c>
      <c r="C189" s="3759" t="s">
        <v>159</v>
      </c>
      <c r="D189" s="1187">
        <f t="shared" si="138"/>
        <v>573750</v>
      </c>
      <c r="E189" s="1227">
        <f t="shared" si="138"/>
        <v>0</v>
      </c>
      <c r="F189" s="1187">
        <f t="shared" si="138"/>
        <v>28285</v>
      </c>
      <c r="G189" s="1187">
        <f t="shared" si="138"/>
        <v>458783</v>
      </c>
      <c r="H189" s="1187">
        <f t="shared" si="138"/>
        <v>86682</v>
      </c>
      <c r="I189" s="1187">
        <f t="shared" si="138"/>
        <v>0</v>
      </c>
      <c r="J189" s="1187">
        <f t="shared" si="138"/>
        <v>0</v>
      </c>
      <c r="K189" s="1187">
        <f t="shared" si="138"/>
        <v>0</v>
      </c>
      <c r="L189" s="1187">
        <f>L190</f>
        <v>0</v>
      </c>
      <c r="M189" s="3717"/>
      <c r="N189" s="3710"/>
    </row>
    <row r="190" spans="1:15" s="196" customFormat="1" ht="13.5" thickBot="1">
      <c r="A190" s="3988"/>
      <c r="B190" s="2577" t="s">
        <v>19</v>
      </c>
      <c r="C190" s="3666"/>
      <c r="D190" s="1636">
        <f>E190+L190+F190+G190+H190+I190+J190+K190</f>
        <v>573750</v>
      </c>
      <c r="E190" s="1434">
        <f>48432-48432</f>
        <v>0</v>
      </c>
      <c r="F190" s="1433">
        <f>130050+48432-150197</f>
        <v>28285</v>
      </c>
      <c r="G190" s="1433">
        <f>308586+150197</f>
        <v>458783</v>
      </c>
      <c r="H190" s="1433">
        <v>86682</v>
      </c>
      <c r="I190" s="1433">
        <v>0</v>
      </c>
      <c r="J190" s="1433">
        <v>0</v>
      </c>
      <c r="K190" s="1433">
        <v>0</v>
      </c>
      <c r="L190" s="1433">
        <f>48432-48432</f>
        <v>0</v>
      </c>
      <c r="M190" s="3718"/>
      <c r="N190" s="3711"/>
    </row>
    <row r="191" spans="1:15" s="1038" customFormat="1" ht="24">
      <c r="A191" s="4002" t="s">
        <v>86</v>
      </c>
      <c r="B191" s="157" t="s">
        <v>569</v>
      </c>
      <c r="C191" s="1207" t="s">
        <v>160</v>
      </c>
      <c r="D191" s="566"/>
      <c r="E191" s="3482"/>
      <c r="F191" s="2688"/>
      <c r="G191" s="2688"/>
      <c r="H191" s="2689"/>
      <c r="I191" s="2689"/>
      <c r="J191" s="2689"/>
      <c r="K191" s="2690"/>
      <c r="L191" s="2688"/>
      <c r="M191" s="568"/>
      <c r="N191" s="3709" t="s">
        <v>580</v>
      </c>
      <c r="O191" s="196"/>
    </row>
    <row r="192" spans="1:15" s="1038" customFormat="1" ht="15" customHeight="1">
      <c r="A192" s="3992"/>
      <c r="B192" s="1176" t="s">
        <v>9</v>
      </c>
      <c r="C192" s="1999"/>
      <c r="D192" s="1178">
        <f t="shared" ref="D192:I192" si="139">+D193+D197</f>
        <v>796208</v>
      </c>
      <c r="E192" s="1421">
        <f t="shared" si="139"/>
        <v>0</v>
      </c>
      <c r="F192" s="1421">
        <f t="shared" si="139"/>
        <v>0</v>
      </c>
      <c r="G192" s="1178">
        <f t="shared" si="139"/>
        <v>257579</v>
      </c>
      <c r="H192" s="1178">
        <f t="shared" si="139"/>
        <v>326619</v>
      </c>
      <c r="I192" s="1178">
        <f t="shared" si="139"/>
        <v>212010</v>
      </c>
      <c r="J192" s="1178">
        <v>0</v>
      </c>
      <c r="K192" s="1178">
        <v>0</v>
      </c>
      <c r="L192" s="1178">
        <f>+L193+L197</f>
        <v>0</v>
      </c>
      <c r="M192" s="1179">
        <f>+M193+M197</f>
        <v>796208</v>
      </c>
      <c r="N192" s="3710"/>
      <c r="O192" s="196"/>
    </row>
    <row r="193" spans="1:15" s="1038" customFormat="1" ht="15" customHeight="1">
      <c r="A193" s="3992"/>
      <c r="B193" s="1185" t="s">
        <v>22</v>
      </c>
      <c r="C193" s="3993" t="s">
        <v>581</v>
      </c>
      <c r="D193" s="1181">
        <f>+D194</f>
        <v>119431</v>
      </c>
      <c r="E193" s="1488">
        <f>+E194</f>
        <v>0</v>
      </c>
      <c r="F193" s="1488">
        <f t="shared" ref="F193:I193" si="140">+F194</f>
        <v>0</v>
      </c>
      <c r="G193" s="1186">
        <f t="shared" si="140"/>
        <v>38637</v>
      </c>
      <c r="H193" s="1186">
        <f t="shared" si="140"/>
        <v>48993</v>
      </c>
      <c r="I193" s="1186">
        <f t="shared" si="140"/>
        <v>31801</v>
      </c>
      <c r="J193" s="1187">
        <v>0</v>
      </c>
      <c r="K193" s="1187">
        <v>0</v>
      </c>
      <c r="L193" s="1186">
        <f>+L194</f>
        <v>0</v>
      </c>
      <c r="M193" s="1182">
        <f>+M194</f>
        <v>119431</v>
      </c>
      <c r="N193" s="3710"/>
      <c r="O193" s="196"/>
    </row>
    <row r="194" spans="1:15" s="1038" customFormat="1" ht="15" customHeight="1">
      <c r="A194" s="3992"/>
      <c r="B194" s="2160" t="s">
        <v>11</v>
      </c>
      <c r="C194" s="3994"/>
      <c r="D194" s="1115">
        <f>+D195+D196</f>
        <v>119431</v>
      </c>
      <c r="E194" s="2165">
        <v>0</v>
      </c>
      <c r="F194" s="1486">
        <v>0</v>
      </c>
      <c r="G194" s="1184">
        <f>+G195+G196</f>
        <v>38637</v>
      </c>
      <c r="H194" s="1184">
        <f>+H195+H196</f>
        <v>48993</v>
      </c>
      <c r="I194" s="1184">
        <f>+I195+I196</f>
        <v>31801</v>
      </c>
      <c r="J194" s="1187">
        <v>0</v>
      </c>
      <c r="K194" s="1187">
        <v>0</v>
      </c>
      <c r="L194" s="1184"/>
      <c r="M194" s="1444">
        <f>SUM(F194:K194)</f>
        <v>119431</v>
      </c>
      <c r="N194" s="3710"/>
      <c r="O194" s="196"/>
    </row>
    <row r="195" spans="1:15" s="1038" customFormat="1" ht="15" hidden="1" customHeight="1">
      <c r="A195" s="3992"/>
      <c r="B195" s="3449" t="s">
        <v>565</v>
      </c>
      <c r="C195" s="3994"/>
      <c r="D195" s="3431">
        <f>+E195+F195+G195+H195+I195+J195+K195</f>
        <v>97696</v>
      </c>
      <c r="E195" s="3450"/>
      <c r="F195" s="3450"/>
      <c r="G195" s="3432">
        <v>31392</v>
      </c>
      <c r="H195" s="3441">
        <v>40299</v>
      </c>
      <c r="I195" s="3441">
        <v>26005</v>
      </c>
      <c r="J195" s="3441"/>
      <c r="K195" s="3441"/>
      <c r="L195" s="1184"/>
      <c r="M195" s="1444">
        <f t="shared" ref="M195:M196" si="141">SUM(F195:K195)</f>
        <v>97696</v>
      </c>
      <c r="N195" s="3710"/>
      <c r="O195" s="196"/>
    </row>
    <row r="196" spans="1:15" s="1038" customFormat="1" ht="15" hidden="1" customHeight="1">
      <c r="A196" s="3992"/>
      <c r="B196" s="3451" t="s">
        <v>326</v>
      </c>
      <c r="C196" s="3994"/>
      <c r="D196" s="3443">
        <f>+E196+F196+G196+H196+I196+J196+K196</f>
        <v>21735</v>
      </c>
      <c r="E196" s="3452"/>
      <c r="F196" s="3452"/>
      <c r="G196" s="3444">
        <v>7245</v>
      </c>
      <c r="H196" s="3445">
        <v>8694</v>
      </c>
      <c r="I196" s="3445">
        <v>5796</v>
      </c>
      <c r="J196" s="3445"/>
      <c r="K196" s="3445"/>
      <c r="L196" s="1184"/>
      <c r="M196" s="1444">
        <f t="shared" si="141"/>
        <v>21735</v>
      </c>
      <c r="N196" s="3710"/>
      <c r="O196" s="196"/>
    </row>
    <row r="197" spans="1:15" s="1038" customFormat="1" ht="15" customHeight="1">
      <c r="A197" s="3992"/>
      <c r="B197" s="1743" t="s">
        <v>17</v>
      </c>
      <c r="C197" s="3994"/>
      <c r="D197" s="1181">
        <f>+D198</f>
        <v>676777</v>
      </c>
      <c r="E197" s="1488">
        <f>+E198</f>
        <v>0</v>
      </c>
      <c r="F197" s="1488">
        <f t="shared" ref="F197:K197" si="142">+F198</f>
        <v>0</v>
      </c>
      <c r="G197" s="1186">
        <f t="shared" si="142"/>
        <v>218942</v>
      </c>
      <c r="H197" s="1186">
        <f t="shared" si="142"/>
        <v>277626</v>
      </c>
      <c r="I197" s="1186">
        <f t="shared" si="142"/>
        <v>180209</v>
      </c>
      <c r="J197" s="1186">
        <f t="shared" si="142"/>
        <v>0</v>
      </c>
      <c r="K197" s="1186">
        <f t="shared" si="142"/>
        <v>0</v>
      </c>
      <c r="L197" s="1186">
        <f>+L198</f>
        <v>0</v>
      </c>
      <c r="M197" s="1182">
        <f>+M198</f>
        <v>676777</v>
      </c>
      <c r="N197" s="3710"/>
      <c r="O197" s="196"/>
    </row>
    <row r="198" spans="1:15" s="1038" customFormat="1" ht="15" customHeight="1">
      <c r="A198" s="3992"/>
      <c r="B198" s="2552" t="s">
        <v>19</v>
      </c>
      <c r="C198" s="3994"/>
      <c r="D198" s="1115">
        <f>+D199+D200</f>
        <v>676777</v>
      </c>
      <c r="E198" s="2165">
        <f t="shared" ref="E198:K198" si="143">+E199+E200</f>
        <v>0</v>
      </c>
      <c r="F198" s="2165">
        <f t="shared" si="143"/>
        <v>0</v>
      </c>
      <c r="G198" s="1115">
        <f t="shared" si="143"/>
        <v>218942</v>
      </c>
      <c r="H198" s="1115">
        <f t="shared" si="143"/>
        <v>277626</v>
      </c>
      <c r="I198" s="1115">
        <f t="shared" si="143"/>
        <v>180209</v>
      </c>
      <c r="J198" s="1115">
        <f t="shared" si="143"/>
        <v>0</v>
      </c>
      <c r="K198" s="1115">
        <f t="shared" si="143"/>
        <v>0</v>
      </c>
      <c r="L198" s="1184"/>
      <c r="M198" s="1444">
        <f>SUM(F198:K198)</f>
        <v>676777</v>
      </c>
      <c r="N198" s="3967"/>
      <c r="O198" s="196"/>
    </row>
    <row r="199" spans="1:15" s="1038" customFormat="1" ht="15" hidden="1" customHeight="1">
      <c r="A199" s="3992"/>
      <c r="B199" s="3449" t="s">
        <v>566</v>
      </c>
      <c r="C199" s="3995"/>
      <c r="D199" s="3431">
        <f>+E199+F199+G199+H199+I199+J199+K199</f>
        <v>553612</v>
      </c>
      <c r="E199" s="3450"/>
      <c r="F199" s="3450"/>
      <c r="G199" s="3432">
        <v>177887</v>
      </c>
      <c r="H199" s="3441">
        <v>228360</v>
      </c>
      <c r="I199" s="3441">
        <v>147365</v>
      </c>
      <c r="J199" s="3441"/>
      <c r="K199" s="3441"/>
      <c r="L199" s="1184"/>
      <c r="M199" s="1444">
        <f t="shared" ref="M199:M200" si="144">SUM(F199:K199)</f>
        <v>553612</v>
      </c>
      <c r="N199" s="3024"/>
      <c r="O199" s="196"/>
    </row>
    <row r="200" spans="1:15" s="1038" customFormat="1" ht="15" hidden="1" customHeight="1">
      <c r="A200" s="3992"/>
      <c r="B200" s="3451" t="s">
        <v>327</v>
      </c>
      <c r="C200" s="3048"/>
      <c r="D200" s="3443">
        <f>+E200+F200+G200+H200+I200+J200+K200</f>
        <v>123165</v>
      </c>
      <c r="E200" s="3452"/>
      <c r="F200" s="3452"/>
      <c r="G200" s="3444">
        <v>41055</v>
      </c>
      <c r="H200" s="3445">
        <v>49266</v>
      </c>
      <c r="I200" s="3445">
        <v>32844</v>
      </c>
      <c r="J200" s="3445"/>
      <c r="K200" s="3445"/>
      <c r="L200" s="1184"/>
      <c r="M200" s="1444">
        <f t="shared" si="144"/>
        <v>123165</v>
      </c>
      <c r="N200" s="3024"/>
      <c r="O200" s="196"/>
    </row>
    <row r="201" spans="1:15" s="1038" customFormat="1" ht="15" customHeight="1">
      <c r="A201" s="3992"/>
      <c r="B201" s="1722" t="s">
        <v>20</v>
      </c>
      <c r="C201" s="2703"/>
      <c r="D201" s="1178">
        <f t="shared" ref="D201:K202" si="145">+D202</f>
        <v>676777</v>
      </c>
      <c r="E201" s="1421">
        <f t="shared" si="145"/>
        <v>0</v>
      </c>
      <c r="F201" s="1421">
        <f t="shared" si="145"/>
        <v>0</v>
      </c>
      <c r="G201" s="1178">
        <f t="shared" si="145"/>
        <v>0</v>
      </c>
      <c r="H201" s="1178">
        <f t="shared" si="145"/>
        <v>218942</v>
      </c>
      <c r="I201" s="1178">
        <f t="shared" si="145"/>
        <v>457835</v>
      </c>
      <c r="J201" s="1178">
        <f t="shared" si="145"/>
        <v>0</v>
      </c>
      <c r="K201" s="1178">
        <f t="shared" si="145"/>
        <v>0</v>
      </c>
      <c r="L201" s="1178">
        <f>+L202</f>
        <v>0</v>
      </c>
      <c r="M201" s="3757"/>
      <c r="N201" s="3710" t="s">
        <v>338</v>
      </c>
      <c r="O201" s="196"/>
    </row>
    <row r="202" spans="1:15" s="1038" customFormat="1" ht="15" customHeight="1">
      <c r="A202" s="3992"/>
      <c r="B202" s="1743" t="s">
        <v>17</v>
      </c>
      <c r="C202" s="4039" t="s">
        <v>204</v>
      </c>
      <c r="D202" s="1181">
        <f t="shared" si="145"/>
        <v>676777</v>
      </c>
      <c r="E202" s="1227">
        <f t="shared" si="145"/>
        <v>0</v>
      </c>
      <c r="F202" s="1227">
        <f t="shared" si="145"/>
        <v>0</v>
      </c>
      <c r="G202" s="1187">
        <f t="shared" si="145"/>
        <v>0</v>
      </c>
      <c r="H202" s="1187">
        <f t="shared" si="145"/>
        <v>218942</v>
      </c>
      <c r="I202" s="1187">
        <f t="shared" si="145"/>
        <v>457835</v>
      </c>
      <c r="J202" s="1187">
        <f t="shared" si="145"/>
        <v>0</v>
      </c>
      <c r="K202" s="1187">
        <f t="shared" si="145"/>
        <v>0</v>
      </c>
      <c r="L202" s="1187">
        <f>+L203</f>
        <v>0</v>
      </c>
      <c r="M202" s="3717"/>
      <c r="N202" s="3710"/>
      <c r="O202" s="196"/>
    </row>
    <row r="203" spans="1:15" s="1038" customFormat="1" ht="15" customHeight="1" thickBot="1">
      <c r="A203" s="3990"/>
      <c r="B203" s="3035" t="s">
        <v>19</v>
      </c>
      <c r="C203" s="4040"/>
      <c r="D203" s="1636">
        <f>E203+L203+F203+G203+H203+I203+J203+K203</f>
        <v>676777</v>
      </c>
      <c r="E203" s="1909">
        <v>0</v>
      </c>
      <c r="F203" s="1434">
        <v>0</v>
      </c>
      <c r="G203" s="1433"/>
      <c r="H203" s="1433">
        <v>218942</v>
      </c>
      <c r="I203" s="1433">
        <v>457835</v>
      </c>
      <c r="J203" s="1433">
        <v>0</v>
      </c>
      <c r="K203" s="1433">
        <v>0</v>
      </c>
      <c r="L203" s="1433"/>
      <c r="M203" s="3718"/>
      <c r="N203" s="3711"/>
      <c r="O203" s="196"/>
    </row>
    <row r="204" spans="1:15" s="1038" customFormat="1" ht="24">
      <c r="A204" s="4002" t="s">
        <v>87</v>
      </c>
      <c r="B204" s="157" t="s">
        <v>570</v>
      </c>
      <c r="C204" s="3453" t="s">
        <v>72</v>
      </c>
      <c r="D204" s="566"/>
      <c r="E204" s="3482"/>
      <c r="F204" s="2688"/>
      <c r="G204" s="2688"/>
      <c r="H204" s="2689"/>
      <c r="I204" s="2689"/>
      <c r="J204" s="2689"/>
      <c r="K204" s="2690"/>
      <c r="L204" s="2688"/>
      <c r="M204" s="568"/>
      <c r="N204" s="3709" t="s">
        <v>579</v>
      </c>
      <c r="O204" s="196"/>
    </row>
    <row r="205" spans="1:15" s="1038" customFormat="1" ht="15" customHeight="1">
      <c r="A205" s="3992"/>
      <c r="B205" s="1176" t="s">
        <v>9</v>
      </c>
      <c r="C205" s="2703"/>
      <c r="D205" s="1178">
        <f>+D206+D210</f>
        <v>4205069</v>
      </c>
      <c r="E205" s="1421">
        <f>+E206+E210</f>
        <v>0</v>
      </c>
      <c r="F205" s="1421">
        <f t="shared" ref="F205:H205" si="146">+F206+F210</f>
        <v>0</v>
      </c>
      <c r="G205" s="1178">
        <f t="shared" si="146"/>
        <v>2140795</v>
      </c>
      <c r="H205" s="1178">
        <f t="shared" si="146"/>
        <v>2064274</v>
      </c>
      <c r="I205" s="1178">
        <v>0</v>
      </c>
      <c r="J205" s="1178">
        <v>0</v>
      </c>
      <c r="K205" s="1178">
        <v>0</v>
      </c>
      <c r="L205" s="1178">
        <f>+L206+L210</f>
        <v>0</v>
      </c>
      <c r="M205" s="1179">
        <f>+M206+M210</f>
        <v>4205069</v>
      </c>
      <c r="N205" s="3710"/>
      <c r="O205" s="196"/>
    </row>
    <row r="206" spans="1:15" s="1038" customFormat="1" ht="15" customHeight="1">
      <c r="A206" s="3992"/>
      <c r="B206" s="1185" t="s">
        <v>22</v>
      </c>
      <c r="C206" s="3993" t="s">
        <v>582</v>
      </c>
      <c r="D206" s="1181">
        <f>+D207</f>
        <v>630761</v>
      </c>
      <c r="E206" s="1488">
        <f>+E207</f>
        <v>0</v>
      </c>
      <c r="F206" s="1488">
        <f t="shared" ref="F206:K206" si="147">+F207</f>
        <v>0</v>
      </c>
      <c r="G206" s="1186">
        <f t="shared" si="147"/>
        <v>321120</v>
      </c>
      <c r="H206" s="1186">
        <f t="shared" si="147"/>
        <v>309641</v>
      </c>
      <c r="I206" s="1186">
        <f t="shared" si="147"/>
        <v>0</v>
      </c>
      <c r="J206" s="1186">
        <f t="shared" si="147"/>
        <v>0</v>
      </c>
      <c r="K206" s="1186">
        <f t="shared" si="147"/>
        <v>0</v>
      </c>
      <c r="L206" s="1186">
        <f>+L207</f>
        <v>0</v>
      </c>
      <c r="M206" s="1182">
        <f>+M207</f>
        <v>630761</v>
      </c>
      <c r="N206" s="3710"/>
      <c r="O206" s="196"/>
    </row>
    <row r="207" spans="1:15" s="1038" customFormat="1" ht="15" customHeight="1">
      <c r="A207" s="3992"/>
      <c r="B207" s="1206" t="s">
        <v>11</v>
      </c>
      <c r="C207" s="3994"/>
      <c r="D207" s="1115">
        <f>+D208+D209</f>
        <v>630761</v>
      </c>
      <c r="E207" s="2165">
        <f t="shared" ref="E207:K207" si="148">+E208+E209</f>
        <v>0</v>
      </c>
      <c r="F207" s="2165">
        <f t="shared" si="148"/>
        <v>0</v>
      </c>
      <c r="G207" s="1115">
        <f t="shared" si="148"/>
        <v>321120</v>
      </c>
      <c r="H207" s="1115">
        <v>309641</v>
      </c>
      <c r="I207" s="1115">
        <f t="shared" si="148"/>
        <v>0</v>
      </c>
      <c r="J207" s="1115">
        <f t="shared" si="148"/>
        <v>0</v>
      </c>
      <c r="K207" s="1115">
        <f t="shared" si="148"/>
        <v>0</v>
      </c>
      <c r="L207" s="1184"/>
      <c r="M207" s="1444">
        <f>SUM(F207:K207)</f>
        <v>630761</v>
      </c>
      <c r="N207" s="3710"/>
      <c r="O207" s="196"/>
    </row>
    <row r="208" spans="1:15" s="1038" customFormat="1" ht="15" hidden="1" customHeight="1">
      <c r="A208" s="3992"/>
      <c r="B208" s="3442" t="s">
        <v>567</v>
      </c>
      <c r="C208" s="3994"/>
      <c r="D208" s="3443">
        <f>+E208+F208+G208+H208+I208+J208+K208</f>
        <v>619282</v>
      </c>
      <c r="E208" s="3452"/>
      <c r="F208" s="3452"/>
      <c r="G208" s="3444">
        <v>309641</v>
      </c>
      <c r="H208" s="3445">
        <v>309641</v>
      </c>
      <c r="I208" s="3445"/>
      <c r="J208" s="3445"/>
      <c r="K208" s="3445"/>
      <c r="L208" s="1184"/>
      <c r="M208" s="3448"/>
      <c r="N208" s="3710"/>
      <c r="O208" s="196"/>
    </row>
    <row r="209" spans="1:15" s="1038" customFormat="1" ht="15" hidden="1" customHeight="1">
      <c r="A209" s="3992"/>
      <c r="B209" s="3440" t="s">
        <v>565</v>
      </c>
      <c r="C209" s="3994"/>
      <c r="D209" s="3431">
        <f>+E209+F209+G209+H209+I209+J209+K209</f>
        <v>11479</v>
      </c>
      <c r="E209" s="3450"/>
      <c r="F209" s="3450"/>
      <c r="G209" s="3432">
        <v>11479</v>
      </c>
      <c r="H209" s="3441"/>
      <c r="I209" s="3441"/>
      <c r="J209" s="3441"/>
      <c r="K209" s="3441"/>
      <c r="L209" s="1184"/>
      <c r="M209" s="3448"/>
      <c r="N209" s="3710"/>
      <c r="O209" s="196"/>
    </row>
    <row r="210" spans="1:15" s="1038" customFormat="1" ht="15" customHeight="1">
      <c r="A210" s="3992"/>
      <c r="B210" s="1185" t="s">
        <v>17</v>
      </c>
      <c r="C210" s="3994"/>
      <c r="D210" s="1181">
        <f>+D211</f>
        <v>3574308</v>
      </c>
      <c r="E210" s="1488">
        <f>+E211</f>
        <v>0</v>
      </c>
      <c r="F210" s="1488">
        <f t="shared" ref="F210:H210" si="149">+F211</f>
        <v>0</v>
      </c>
      <c r="G210" s="1186">
        <f t="shared" si="149"/>
        <v>1819675</v>
      </c>
      <c r="H210" s="1186">
        <f t="shared" si="149"/>
        <v>1754633</v>
      </c>
      <c r="I210" s="1187">
        <v>0</v>
      </c>
      <c r="J210" s="1187">
        <v>0</v>
      </c>
      <c r="K210" s="1187">
        <v>0</v>
      </c>
      <c r="L210" s="1186">
        <f>+L211</f>
        <v>0</v>
      </c>
      <c r="M210" s="1182">
        <f>+M211</f>
        <v>3574308</v>
      </c>
      <c r="N210" s="3710"/>
      <c r="O210" s="196"/>
    </row>
    <row r="211" spans="1:15" s="1038" customFormat="1" ht="15" customHeight="1">
      <c r="A211" s="3992"/>
      <c r="B211" s="3454" t="s">
        <v>19</v>
      </c>
      <c r="C211" s="3994"/>
      <c r="D211" s="1115">
        <f>+D212+D213</f>
        <v>3574308</v>
      </c>
      <c r="E211" s="2165">
        <f t="shared" ref="E211:K211" si="150">+E212+E213</f>
        <v>0</v>
      </c>
      <c r="F211" s="2165">
        <f t="shared" si="150"/>
        <v>0</v>
      </c>
      <c r="G211" s="1115">
        <f t="shared" si="150"/>
        <v>1819675</v>
      </c>
      <c r="H211" s="1115">
        <f t="shared" si="150"/>
        <v>1754633</v>
      </c>
      <c r="I211" s="1115">
        <f t="shared" si="150"/>
        <v>0</v>
      </c>
      <c r="J211" s="1115">
        <f t="shared" si="150"/>
        <v>0</v>
      </c>
      <c r="K211" s="1115">
        <f t="shared" si="150"/>
        <v>0</v>
      </c>
      <c r="L211" s="1190"/>
      <c r="M211" s="1444">
        <f>SUM(F211:K211)</f>
        <v>3574308</v>
      </c>
      <c r="N211" s="3967"/>
      <c r="O211" s="196"/>
    </row>
    <row r="212" spans="1:15" s="1038" customFormat="1" ht="15" hidden="1" customHeight="1">
      <c r="A212" s="4041"/>
      <c r="B212" s="3442" t="s">
        <v>568</v>
      </c>
      <c r="C212" s="3994"/>
      <c r="D212" s="3443">
        <f>+E212+F212+G212+H212+I212+J212+K212</f>
        <v>3509263</v>
      </c>
      <c r="E212" s="3452"/>
      <c r="F212" s="3452"/>
      <c r="G212" s="3444">
        <v>1754630</v>
      </c>
      <c r="H212" s="3445">
        <v>1754633</v>
      </c>
      <c r="I212" s="3445"/>
      <c r="J212" s="3445"/>
      <c r="K212" s="3445"/>
      <c r="L212" s="719"/>
      <c r="M212" s="3455"/>
      <c r="N212" s="3024"/>
      <c r="O212" s="196"/>
    </row>
    <row r="213" spans="1:15" s="1038" customFormat="1" ht="15" hidden="1" customHeight="1">
      <c r="A213" s="3992"/>
      <c r="B213" s="3440" t="s">
        <v>566</v>
      </c>
      <c r="C213" s="3995"/>
      <c r="D213" s="3431">
        <f>+E213+F213+G213+H213+I213+J213+K213</f>
        <v>65045</v>
      </c>
      <c r="E213" s="2808"/>
      <c r="F213" s="2808"/>
      <c r="G213" s="3147">
        <v>65045</v>
      </c>
      <c r="H213" s="3456">
        <v>0</v>
      </c>
      <c r="I213" s="3456"/>
      <c r="J213" s="3441"/>
      <c r="K213" s="3441"/>
      <c r="L213" s="719"/>
      <c r="M213" s="3455"/>
      <c r="N213" s="3024"/>
      <c r="O213" s="196"/>
    </row>
    <row r="214" spans="1:15" s="1038" customFormat="1" ht="15" customHeight="1">
      <c r="A214" s="3992"/>
      <c r="B214" s="1722" t="s">
        <v>20</v>
      </c>
      <c r="C214" s="2703"/>
      <c r="D214" s="1178">
        <f t="shared" ref="D214:E215" si="151">+D215</f>
        <v>3574308</v>
      </c>
      <c r="E214" s="2467">
        <f t="shared" si="151"/>
        <v>0</v>
      </c>
      <c r="F214" s="2467">
        <f t="shared" ref="F214:I214" si="152">+F215</f>
        <v>0</v>
      </c>
      <c r="G214" s="82">
        <f t="shared" si="152"/>
        <v>0</v>
      </c>
      <c r="H214" s="82">
        <f t="shared" si="152"/>
        <v>1819675</v>
      </c>
      <c r="I214" s="82">
        <f t="shared" si="152"/>
        <v>1754633</v>
      </c>
      <c r="J214" s="1178">
        <v>0</v>
      </c>
      <c r="K214" s="1178">
        <v>0</v>
      </c>
      <c r="L214" s="82">
        <f>+L215</f>
        <v>0</v>
      </c>
      <c r="M214" s="3757"/>
      <c r="N214" s="3710" t="s">
        <v>338</v>
      </c>
      <c r="O214" s="196"/>
    </row>
    <row r="215" spans="1:15" s="1038" customFormat="1" ht="15" customHeight="1">
      <c r="A215" s="3992"/>
      <c r="B215" s="1743" t="s">
        <v>17</v>
      </c>
      <c r="C215" s="3759" t="s">
        <v>204</v>
      </c>
      <c r="D215" s="1181">
        <f t="shared" si="151"/>
        <v>3574308</v>
      </c>
      <c r="E215" s="1227">
        <f t="shared" si="151"/>
        <v>0</v>
      </c>
      <c r="F215" s="1227">
        <f t="shared" ref="F215:I215" si="153">+F216</f>
        <v>0</v>
      </c>
      <c r="G215" s="1187">
        <f t="shared" si="153"/>
        <v>0</v>
      </c>
      <c r="H215" s="1187">
        <f t="shared" si="153"/>
        <v>1819675</v>
      </c>
      <c r="I215" s="1187">
        <f t="shared" si="153"/>
        <v>1754633</v>
      </c>
      <c r="J215" s="1187">
        <v>0</v>
      </c>
      <c r="K215" s="1187">
        <v>0</v>
      </c>
      <c r="L215" s="1187">
        <f>+L216</f>
        <v>0</v>
      </c>
      <c r="M215" s="3717"/>
      <c r="N215" s="3710"/>
      <c r="O215" s="196"/>
    </row>
    <row r="216" spans="1:15" s="196" customFormat="1" ht="15" customHeight="1">
      <c r="A216" s="4003"/>
      <c r="B216" s="2576" t="s">
        <v>19</v>
      </c>
      <c r="C216" s="3696"/>
      <c r="D216" s="1155">
        <f>+E216+F216+G216+H216+I216+J216+K216</f>
        <v>3574308</v>
      </c>
      <c r="E216" s="2802">
        <v>0</v>
      </c>
      <c r="F216" s="2246"/>
      <c r="G216" s="1190"/>
      <c r="H216" s="1190">
        <v>1819675</v>
      </c>
      <c r="I216" s="1190">
        <v>1754633</v>
      </c>
      <c r="J216" s="1190">
        <v>0</v>
      </c>
      <c r="K216" s="1190">
        <v>0</v>
      </c>
      <c r="L216" s="1190"/>
      <c r="M216" s="4004"/>
      <c r="N216" s="3967"/>
    </row>
    <row r="217" spans="1:15" s="196" customFormat="1" ht="22.5" customHeight="1">
      <c r="A217" s="4038" t="s">
        <v>88</v>
      </c>
      <c r="B217" s="3583" t="s">
        <v>464</v>
      </c>
      <c r="C217" s="3590" t="s">
        <v>99</v>
      </c>
      <c r="D217" s="3585"/>
      <c r="E217" s="3586"/>
      <c r="F217" s="3587"/>
      <c r="G217" s="3587"/>
      <c r="H217" s="3588"/>
      <c r="I217" s="3588"/>
      <c r="J217" s="3588"/>
      <c r="K217" s="3589"/>
      <c r="L217" s="3587"/>
      <c r="M217" s="1247"/>
      <c r="N217" s="3966" t="s">
        <v>632</v>
      </c>
    </row>
    <row r="218" spans="1:15" s="196" customFormat="1" ht="12.75">
      <c r="A218" s="3992"/>
      <c r="B218" s="1176" t="s">
        <v>9</v>
      </c>
      <c r="C218" s="1999"/>
      <c r="D218" s="1178">
        <f>+D219+D223</f>
        <v>653000</v>
      </c>
      <c r="E218" s="1178">
        <f t="shared" ref="E218" si="154">+E219+E223</f>
        <v>915</v>
      </c>
      <c r="F218" s="1178">
        <f t="shared" ref="F218:K218" si="155">+F219+F223</f>
        <v>66786</v>
      </c>
      <c r="G218" s="1178">
        <f t="shared" si="155"/>
        <v>437520</v>
      </c>
      <c r="H218" s="1178">
        <f t="shared" si="155"/>
        <v>147779</v>
      </c>
      <c r="I218" s="1188">
        <f t="shared" si="155"/>
        <v>0</v>
      </c>
      <c r="J218" s="1188">
        <f t="shared" si="155"/>
        <v>0</v>
      </c>
      <c r="K218" s="1188">
        <f t="shared" si="155"/>
        <v>0</v>
      </c>
      <c r="L218" s="1178">
        <f>+L219+L223</f>
        <v>0</v>
      </c>
      <c r="M218" s="1179">
        <f>+M219+M223</f>
        <v>585299</v>
      </c>
      <c r="N218" s="3710"/>
      <c r="O218" s="196" t="s">
        <v>366</v>
      </c>
    </row>
    <row r="219" spans="1:15" s="196" customFormat="1" ht="15" customHeight="1">
      <c r="A219" s="3992"/>
      <c r="B219" s="1180" t="s">
        <v>22</v>
      </c>
      <c r="C219" s="3664" t="s">
        <v>363</v>
      </c>
      <c r="D219" s="1181">
        <f>SUM(D220)</f>
        <v>98843</v>
      </c>
      <c r="E219" s="1181">
        <f t="shared" ref="E219:K219" si="156">SUM(E220)</f>
        <v>137</v>
      </c>
      <c r="F219" s="1181">
        <f t="shared" si="156"/>
        <v>10084</v>
      </c>
      <c r="G219" s="1181">
        <f t="shared" si="156"/>
        <v>66157</v>
      </c>
      <c r="H219" s="1181">
        <f t="shared" si="156"/>
        <v>22465</v>
      </c>
      <c r="I219" s="1189">
        <f t="shared" si="156"/>
        <v>0</v>
      </c>
      <c r="J219" s="1189">
        <f t="shared" si="156"/>
        <v>0</v>
      </c>
      <c r="K219" s="1189">
        <f t="shared" si="156"/>
        <v>0</v>
      </c>
      <c r="L219" s="1181">
        <f>SUM(L220)</f>
        <v>0</v>
      </c>
      <c r="M219" s="1182">
        <f>+M220</f>
        <v>88622</v>
      </c>
      <c r="N219" s="3710"/>
    </row>
    <row r="220" spans="1:15" s="196" customFormat="1" ht="13.5" thickBot="1">
      <c r="A220" s="3992"/>
      <c r="B220" s="1183" t="s">
        <v>11</v>
      </c>
      <c r="C220" s="3722"/>
      <c r="D220" s="1115">
        <f>E220+L220+F220+G220+H220+I220+J220+K220</f>
        <v>98843</v>
      </c>
      <c r="E220" s="1115">
        <f>SUM(E221:E222)</f>
        <v>137</v>
      </c>
      <c r="F220" s="1115">
        <f t="shared" ref="F220:K220" si="157">SUM(F221:F222)</f>
        <v>10084</v>
      </c>
      <c r="G220" s="1115">
        <f t="shared" si="157"/>
        <v>66157</v>
      </c>
      <c r="H220" s="1115">
        <f t="shared" si="157"/>
        <v>22465</v>
      </c>
      <c r="I220" s="3457">
        <f t="shared" si="157"/>
        <v>0</v>
      </c>
      <c r="J220" s="3457">
        <f t="shared" si="157"/>
        <v>0</v>
      </c>
      <c r="K220" s="3457">
        <f t="shared" si="157"/>
        <v>0</v>
      </c>
      <c r="L220" s="1115">
        <f>SUM(L221:L222)</f>
        <v>0</v>
      </c>
      <c r="M220" s="1444">
        <f>SUM(G220:K220)</f>
        <v>88622</v>
      </c>
      <c r="N220" s="3710"/>
      <c r="O220" s="172" t="s">
        <v>555</v>
      </c>
    </row>
    <row r="221" spans="1:15" s="196" customFormat="1" ht="15" hidden="1" customHeight="1">
      <c r="A221" s="3992"/>
      <c r="B221" s="3430" t="s">
        <v>606</v>
      </c>
      <c r="C221" s="3722"/>
      <c r="D221" s="3431">
        <f>SUM(E221:K221)</f>
        <v>80558</v>
      </c>
      <c r="E221" s="3458">
        <f>2151-2014</f>
        <v>137</v>
      </c>
      <c r="F221" s="3458">
        <f>22007+4408-15714-1715</f>
        <v>8986</v>
      </c>
      <c r="G221" s="3458">
        <f>45779+8214+1716</f>
        <v>55709</v>
      </c>
      <c r="H221" s="3458">
        <f>8226+7500</f>
        <v>15726</v>
      </c>
      <c r="I221" s="3459">
        <v>0</v>
      </c>
      <c r="J221" s="3459">
        <v>0</v>
      </c>
      <c r="K221" s="3459">
        <v>0</v>
      </c>
      <c r="L221" s="3458"/>
      <c r="M221" s="1444">
        <f>SUM(G221:K221)</f>
        <v>71435</v>
      </c>
      <c r="N221" s="3710"/>
    </row>
    <row r="222" spans="1:15" s="196" customFormat="1" ht="15" hidden="1" customHeight="1" thickBot="1">
      <c r="A222" s="3990"/>
      <c r="B222" s="3460" t="s">
        <v>269</v>
      </c>
      <c r="C222" s="3722"/>
      <c r="D222" s="3443">
        <f>SUM(E222:K222)</f>
        <v>18285</v>
      </c>
      <c r="E222" s="3461">
        <v>0</v>
      </c>
      <c r="F222" s="3445">
        <f>6027-4928-1</f>
        <v>1098</v>
      </c>
      <c r="G222" s="3445">
        <v>10448</v>
      </c>
      <c r="H222" s="3445">
        <f>1811+4928</f>
        <v>6739</v>
      </c>
      <c r="I222" s="3462">
        <v>0</v>
      </c>
      <c r="J222" s="3462">
        <v>0</v>
      </c>
      <c r="K222" s="3462">
        <v>0</v>
      </c>
      <c r="L222" s="3461">
        <v>0</v>
      </c>
      <c r="M222" s="1444">
        <f>SUM(G222:K222)</f>
        <v>17187</v>
      </c>
      <c r="N222" s="3710"/>
    </row>
    <row r="223" spans="1:15" s="196" customFormat="1" ht="13.5" thickBot="1">
      <c r="A223" s="3988"/>
      <c r="B223" s="1185" t="s">
        <v>17</v>
      </c>
      <c r="C223" s="3722"/>
      <c r="D223" s="1181">
        <f>SUM(E223:K223)</f>
        <v>554157</v>
      </c>
      <c r="E223" s="1181">
        <f t="shared" ref="E223:K223" si="158">SUM(E224)</f>
        <v>778</v>
      </c>
      <c r="F223" s="1181">
        <f t="shared" si="158"/>
        <v>56702</v>
      </c>
      <c r="G223" s="1181">
        <f t="shared" si="158"/>
        <v>371363</v>
      </c>
      <c r="H223" s="1181">
        <f t="shared" si="158"/>
        <v>125314</v>
      </c>
      <c r="I223" s="1189">
        <f t="shared" si="158"/>
        <v>0</v>
      </c>
      <c r="J223" s="1189">
        <f t="shared" si="158"/>
        <v>0</v>
      </c>
      <c r="K223" s="1189">
        <f t="shared" si="158"/>
        <v>0</v>
      </c>
      <c r="L223" s="1181">
        <f>SUM(L224)</f>
        <v>0</v>
      </c>
      <c r="M223" s="1182">
        <f>+M224</f>
        <v>496677</v>
      </c>
      <c r="N223" s="3710"/>
    </row>
    <row r="224" spans="1:15" s="196" customFormat="1" ht="13.5" thickBot="1">
      <c r="A224" s="3988"/>
      <c r="B224" s="3463" t="s">
        <v>19</v>
      </c>
      <c r="C224" s="3722"/>
      <c r="D224" s="1115">
        <f>E224+L224+F224+G224+H224+I224+J224+K224</f>
        <v>554157</v>
      </c>
      <c r="E224" s="3464">
        <f t="shared" ref="E224" si="159">SUM(E225:E226)</f>
        <v>778</v>
      </c>
      <c r="F224" s="3464">
        <f t="shared" ref="F224:K224" si="160">SUM(F225:F226)</f>
        <v>56702</v>
      </c>
      <c r="G224" s="3464">
        <f t="shared" si="160"/>
        <v>371363</v>
      </c>
      <c r="H224" s="3464">
        <f t="shared" si="160"/>
        <v>125314</v>
      </c>
      <c r="I224" s="3465">
        <f t="shared" si="160"/>
        <v>0</v>
      </c>
      <c r="J224" s="3465">
        <f t="shared" si="160"/>
        <v>0</v>
      </c>
      <c r="K224" s="3465">
        <f t="shared" si="160"/>
        <v>0</v>
      </c>
      <c r="L224" s="3464">
        <f>SUM(L225:L226)</f>
        <v>0</v>
      </c>
      <c r="M224" s="1444">
        <f>SUM(G224:K224)</f>
        <v>496677</v>
      </c>
      <c r="N224" s="3710"/>
    </row>
    <row r="225" spans="1:15" s="196" customFormat="1" ht="15" hidden="1" customHeight="1" thickBot="1">
      <c r="A225" s="3988"/>
      <c r="B225" s="3466" t="s">
        <v>606</v>
      </c>
      <c r="C225" s="3994"/>
      <c r="D225" s="3441">
        <f>SUM(E225:K225)</f>
        <v>450536</v>
      </c>
      <c r="E225" s="3441">
        <f>12189-11411</f>
        <v>778</v>
      </c>
      <c r="F225" s="3441">
        <f>122723+24977-89045-8176</f>
        <v>50479</v>
      </c>
      <c r="G225" s="3441">
        <f>257431+46545+8178</f>
        <v>312154</v>
      </c>
      <c r="H225" s="3441">
        <f>44625+42500</f>
        <v>87125</v>
      </c>
      <c r="I225" s="3467">
        <v>0</v>
      </c>
      <c r="J225" s="3467">
        <v>0</v>
      </c>
      <c r="K225" s="3467">
        <v>0</v>
      </c>
      <c r="L225" s="3441"/>
      <c r="M225" s="1444">
        <f>SUM(G225:K225)</f>
        <v>399279</v>
      </c>
      <c r="N225" s="3710"/>
    </row>
    <row r="226" spans="1:15" s="196" customFormat="1" ht="15" hidden="1" customHeight="1" thickBot="1">
      <c r="A226" s="3988"/>
      <c r="B226" s="3468" t="s">
        <v>269</v>
      </c>
      <c r="C226" s="3995"/>
      <c r="D226" s="3443">
        <f>SUM(E226:K226)</f>
        <v>103621</v>
      </c>
      <c r="E226" s="3469">
        <v>0</v>
      </c>
      <c r="F226" s="3129">
        <f>34150-27925-2</f>
        <v>6223</v>
      </c>
      <c r="G226" s="3129">
        <v>59209</v>
      </c>
      <c r="H226" s="3129">
        <f>10264+27925</f>
        <v>38189</v>
      </c>
      <c r="I226" s="3470">
        <v>0</v>
      </c>
      <c r="J226" s="3470">
        <v>0</v>
      </c>
      <c r="K226" s="3470">
        <v>0</v>
      </c>
      <c r="L226" s="3471">
        <v>0</v>
      </c>
      <c r="M226" s="1444">
        <f>SUM(G226:K226)</f>
        <v>97398</v>
      </c>
      <c r="N226" s="3967"/>
    </row>
    <row r="227" spans="1:15" s="196" customFormat="1" ht="13.5" customHeight="1" thickBot="1">
      <c r="A227" s="3988"/>
      <c r="B227" s="68" t="s">
        <v>20</v>
      </c>
      <c r="C227" s="1999"/>
      <c r="D227" s="1178">
        <f>SUM(E227:K227)</f>
        <v>554157</v>
      </c>
      <c r="E227" s="1421">
        <f t="shared" ref="E227:K227" si="161">+E228</f>
        <v>0</v>
      </c>
      <c r="F227" s="1178">
        <f t="shared" si="161"/>
        <v>787</v>
      </c>
      <c r="G227" s="1178">
        <f t="shared" si="161"/>
        <v>367384</v>
      </c>
      <c r="H227" s="1178">
        <f t="shared" si="161"/>
        <v>185986</v>
      </c>
      <c r="I227" s="1188">
        <f t="shared" si="161"/>
        <v>0</v>
      </c>
      <c r="J227" s="1188">
        <f t="shared" si="161"/>
        <v>0</v>
      </c>
      <c r="K227" s="1188">
        <f t="shared" si="161"/>
        <v>0</v>
      </c>
      <c r="L227" s="1188">
        <f>+L228</f>
        <v>0</v>
      </c>
      <c r="M227" s="3757"/>
      <c r="N227" s="3966" t="s">
        <v>606</v>
      </c>
    </row>
    <row r="228" spans="1:15" s="196" customFormat="1" ht="15" customHeight="1" thickBot="1">
      <c r="A228" s="3988"/>
      <c r="B228" s="1743" t="s">
        <v>17</v>
      </c>
      <c r="C228" s="3759" t="s">
        <v>159</v>
      </c>
      <c r="D228" s="1181">
        <f>SUM(E228:K228)</f>
        <v>554157</v>
      </c>
      <c r="E228" s="1419">
        <f t="shared" ref="E228:K228" si="162">SUM(E229)</f>
        <v>0</v>
      </c>
      <c r="F228" s="1181">
        <f t="shared" si="162"/>
        <v>787</v>
      </c>
      <c r="G228" s="1181">
        <f t="shared" si="162"/>
        <v>367384</v>
      </c>
      <c r="H228" s="1181">
        <f t="shared" si="162"/>
        <v>185986</v>
      </c>
      <c r="I228" s="1189">
        <f t="shared" si="162"/>
        <v>0</v>
      </c>
      <c r="J228" s="1189">
        <f t="shared" si="162"/>
        <v>0</v>
      </c>
      <c r="K228" s="1189">
        <f t="shared" si="162"/>
        <v>0</v>
      </c>
      <c r="L228" s="1189">
        <f>SUM(L229)</f>
        <v>0</v>
      </c>
      <c r="M228" s="3717"/>
      <c r="N228" s="3710"/>
    </row>
    <row r="229" spans="1:15" s="196" customFormat="1" ht="13.5" thickBot="1">
      <c r="A229" s="3988"/>
      <c r="B229" s="2577" t="s">
        <v>19</v>
      </c>
      <c r="C229" s="3666"/>
      <c r="D229" s="1636">
        <f>E229+L229+F229+G229+H229+I229+J229+K229</f>
        <v>554157</v>
      </c>
      <c r="E229" s="1909">
        <v>0</v>
      </c>
      <c r="F229" s="1433">
        <f>69700-32580-36333</f>
        <v>787</v>
      </c>
      <c r="G229" s="1433">
        <f>353818+13566</f>
        <v>367384</v>
      </c>
      <c r="H229" s="1433">
        <f>117073+32580+36333</f>
        <v>185986</v>
      </c>
      <c r="I229" s="1530">
        <v>0</v>
      </c>
      <c r="J229" s="1530">
        <v>0</v>
      </c>
      <c r="K229" s="1530">
        <v>0</v>
      </c>
      <c r="L229" s="1530">
        <v>0</v>
      </c>
      <c r="M229" s="3718"/>
      <c r="N229" s="3711"/>
    </row>
    <row r="230" spans="1:15" s="196" customFormat="1" ht="24" hidden="1" customHeight="1" thickBot="1">
      <c r="A230" s="3996" t="s">
        <v>83</v>
      </c>
      <c r="B230" s="157" t="s">
        <v>368</v>
      </c>
      <c r="C230" s="1207" t="s">
        <v>72</v>
      </c>
      <c r="D230" s="553"/>
      <c r="E230" s="1113"/>
      <c r="F230" s="555"/>
      <c r="G230" s="555"/>
      <c r="H230" s="554"/>
      <c r="I230" s="554"/>
      <c r="J230" s="554"/>
      <c r="K230" s="554"/>
      <c r="L230" s="555"/>
      <c r="M230" s="556"/>
      <c r="N230" s="3709" t="s">
        <v>208</v>
      </c>
      <c r="O230" s="196" t="s">
        <v>366</v>
      </c>
    </row>
    <row r="231" spans="1:15" s="196" customFormat="1" ht="13.5" hidden="1" thickBot="1">
      <c r="A231" s="3988"/>
      <c r="B231" s="1176" t="s">
        <v>9</v>
      </c>
      <c r="C231" s="1999"/>
      <c r="D231" s="1178">
        <f>SUM(E231:K231)</f>
        <v>0</v>
      </c>
      <c r="E231" s="1647">
        <f>SUM(E232,E234)</f>
        <v>0</v>
      </c>
      <c r="F231" s="1647">
        <f>SUM(F232,F234)</f>
        <v>0</v>
      </c>
      <c r="G231" s="1421">
        <f t="shared" ref="G231:K231" si="163">G232+G234</f>
        <v>0</v>
      </c>
      <c r="H231" s="1421">
        <f t="shared" si="163"/>
        <v>0</v>
      </c>
      <c r="I231" s="1421">
        <f t="shared" si="163"/>
        <v>0</v>
      </c>
      <c r="J231" s="1421">
        <f t="shared" si="163"/>
        <v>0</v>
      </c>
      <c r="K231" s="1421">
        <f t="shared" si="163"/>
        <v>0</v>
      </c>
      <c r="L231" s="1421">
        <f>L232+L234</f>
        <v>0</v>
      </c>
      <c r="M231" s="1179">
        <f>+M232+M234</f>
        <v>0</v>
      </c>
      <c r="N231" s="3710"/>
    </row>
    <row r="232" spans="1:15" s="196" customFormat="1" ht="15" hidden="1" customHeight="1" thickBot="1">
      <c r="A232" s="3988"/>
      <c r="B232" s="1180" t="s">
        <v>22</v>
      </c>
      <c r="C232" s="3664" t="s">
        <v>159</v>
      </c>
      <c r="D232" s="1181">
        <f>SUM(E232:K232)</f>
        <v>0</v>
      </c>
      <c r="E232" s="1648">
        <f t="shared" ref="E232:K232" si="164">E233</f>
        <v>0</v>
      </c>
      <c r="F232" s="1648">
        <f t="shared" si="164"/>
        <v>0</v>
      </c>
      <c r="G232" s="1649">
        <f t="shared" si="164"/>
        <v>0</v>
      </c>
      <c r="H232" s="1649">
        <f t="shared" si="164"/>
        <v>0</v>
      </c>
      <c r="I232" s="1649">
        <f t="shared" si="164"/>
        <v>0</v>
      </c>
      <c r="J232" s="1649">
        <f t="shared" si="164"/>
        <v>0</v>
      </c>
      <c r="K232" s="1649">
        <f t="shared" si="164"/>
        <v>0</v>
      </c>
      <c r="L232" s="1649">
        <f>L233</f>
        <v>0</v>
      </c>
      <c r="M232" s="1182">
        <f>+M233</f>
        <v>0</v>
      </c>
      <c r="N232" s="3710"/>
    </row>
    <row r="233" spans="1:15" s="196" customFormat="1" ht="11.25" hidden="1" customHeight="1" thickBot="1">
      <c r="A233" s="3988"/>
      <c r="B233" s="1832" t="s">
        <v>11</v>
      </c>
      <c r="C233" s="3722"/>
      <c r="D233" s="1115">
        <f>E233+L233+F233+G233+H233+I233+J233+K233</f>
        <v>0</v>
      </c>
      <c r="E233" s="1115">
        <v>0</v>
      </c>
      <c r="F233" s="1651">
        <f>2394-2394</f>
        <v>0</v>
      </c>
      <c r="G233" s="1650">
        <v>0</v>
      </c>
      <c r="H233" s="1650">
        <v>0</v>
      </c>
      <c r="I233" s="1650">
        <v>0</v>
      </c>
      <c r="J233" s="1650">
        <v>0</v>
      </c>
      <c r="K233" s="1650">
        <v>0</v>
      </c>
      <c r="L233" s="1650">
        <v>0</v>
      </c>
      <c r="M233" s="1444">
        <f>SUM(F233:K233)</f>
        <v>0</v>
      </c>
      <c r="N233" s="3710"/>
    </row>
    <row r="234" spans="1:15" s="196" customFormat="1" ht="12.75" hidden="1" customHeight="1" thickBot="1">
      <c r="A234" s="3988"/>
      <c r="B234" s="1908" t="s">
        <v>17</v>
      </c>
      <c r="C234" s="3722"/>
      <c r="D234" s="1181">
        <f>SUM(E234:K234)</f>
        <v>0</v>
      </c>
      <c r="E234" s="1648">
        <f>E235</f>
        <v>0</v>
      </c>
      <c r="F234" s="1648">
        <f>F235</f>
        <v>0</v>
      </c>
      <c r="G234" s="1649">
        <v>0</v>
      </c>
      <c r="H234" s="1649">
        <v>0</v>
      </c>
      <c r="I234" s="1649">
        <v>0</v>
      </c>
      <c r="J234" s="1649">
        <v>0</v>
      </c>
      <c r="K234" s="1649">
        <v>0</v>
      </c>
      <c r="L234" s="1649">
        <v>0</v>
      </c>
      <c r="M234" s="1182">
        <f>+M235</f>
        <v>0</v>
      </c>
      <c r="N234" s="3710"/>
    </row>
    <row r="235" spans="1:15" s="196" customFormat="1" ht="13.5" hidden="1" thickBot="1">
      <c r="A235" s="3988"/>
      <c r="B235" s="2544" t="s">
        <v>19</v>
      </c>
      <c r="C235" s="3789"/>
      <c r="D235" s="1115">
        <f>E235+L235+F235+G235+H235+I235+J235+K235</f>
        <v>0</v>
      </c>
      <c r="E235" s="1115">
        <v>0</v>
      </c>
      <c r="F235" s="1651">
        <f>13566-13566</f>
        <v>0</v>
      </c>
      <c r="G235" s="1650">
        <v>0</v>
      </c>
      <c r="H235" s="1650">
        <v>0</v>
      </c>
      <c r="I235" s="1650">
        <v>0</v>
      </c>
      <c r="J235" s="1650">
        <v>0</v>
      </c>
      <c r="K235" s="1650">
        <v>0</v>
      </c>
      <c r="L235" s="1650">
        <v>0</v>
      </c>
      <c r="M235" s="1444">
        <f>SUM(F235:K235)</f>
        <v>0</v>
      </c>
      <c r="N235" s="3967"/>
    </row>
    <row r="236" spans="1:15" s="196" customFormat="1" ht="13.5" hidden="1" customHeight="1" thickBot="1">
      <c r="A236" s="3988"/>
      <c r="B236" s="1722" t="s">
        <v>20</v>
      </c>
      <c r="C236" s="1999"/>
      <c r="D236" s="1178">
        <f>SUM(E236:K236)</f>
        <v>0</v>
      </c>
      <c r="E236" s="1647">
        <f t="shared" ref="E236:K237" si="165">E237</f>
        <v>0</v>
      </c>
      <c r="F236" s="1647">
        <f t="shared" si="165"/>
        <v>0</v>
      </c>
      <c r="G236" s="1421">
        <f t="shared" si="165"/>
        <v>0</v>
      </c>
      <c r="H236" s="1421">
        <f t="shared" si="165"/>
        <v>0</v>
      </c>
      <c r="I236" s="1421">
        <f t="shared" si="165"/>
        <v>0</v>
      </c>
      <c r="J236" s="1421">
        <f t="shared" si="165"/>
        <v>0</v>
      </c>
      <c r="K236" s="1421">
        <f t="shared" si="165"/>
        <v>0</v>
      </c>
      <c r="L236" s="1421">
        <f>L237</f>
        <v>0</v>
      </c>
      <c r="M236" s="3757"/>
      <c r="N236" s="3710" t="s">
        <v>208</v>
      </c>
    </row>
    <row r="237" spans="1:15" s="196" customFormat="1" ht="12.75" hidden="1" customHeight="1" thickBot="1">
      <c r="A237" s="3988"/>
      <c r="B237" s="1743" t="s">
        <v>17</v>
      </c>
      <c r="C237" s="3759" t="s">
        <v>159</v>
      </c>
      <c r="D237" s="1181">
        <f>SUM(E237:K237)</f>
        <v>0</v>
      </c>
      <c r="E237" s="1652">
        <f t="shared" si="165"/>
        <v>0</v>
      </c>
      <c r="F237" s="1652">
        <f t="shared" si="165"/>
        <v>0</v>
      </c>
      <c r="G237" s="1227">
        <f t="shared" si="165"/>
        <v>0</v>
      </c>
      <c r="H237" s="1227">
        <f t="shared" si="165"/>
        <v>0</v>
      </c>
      <c r="I237" s="1227">
        <f t="shared" si="165"/>
        <v>0</v>
      </c>
      <c r="J237" s="1227">
        <f t="shared" si="165"/>
        <v>0</v>
      </c>
      <c r="K237" s="1227">
        <f t="shared" si="165"/>
        <v>0</v>
      </c>
      <c r="L237" s="1227">
        <f>L238</f>
        <v>0</v>
      </c>
      <c r="M237" s="3717"/>
      <c r="N237" s="3710"/>
    </row>
    <row r="238" spans="1:15" s="196" customFormat="1" ht="12" hidden="1" customHeight="1" thickBot="1">
      <c r="A238" s="3988"/>
      <c r="B238" s="2577" t="s">
        <v>19</v>
      </c>
      <c r="C238" s="3666"/>
      <c r="D238" s="1636">
        <f>E238+L238+F238+G238+H238+I238+J238+K238</f>
        <v>0</v>
      </c>
      <c r="E238" s="1636">
        <v>0</v>
      </c>
      <c r="F238" s="2368">
        <f>13566-13566</f>
        <v>0</v>
      </c>
      <c r="G238" s="1637">
        <v>0</v>
      </c>
      <c r="H238" s="1637">
        <v>0</v>
      </c>
      <c r="I238" s="1637">
        <v>0</v>
      </c>
      <c r="J238" s="1637">
        <v>0</v>
      </c>
      <c r="K238" s="1637">
        <v>0</v>
      </c>
      <c r="L238" s="1637">
        <v>0</v>
      </c>
      <c r="M238" s="3718"/>
      <c r="N238" s="3711"/>
    </row>
    <row r="239" spans="1:15" s="196" customFormat="1" ht="40.5" customHeight="1" thickBot="1">
      <c r="A239" s="3996" t="s">
        <v>90</v>
      </c>
      <c r="B239" s="157" t="s">
        <v>465</v>
      </c>
      <c r="C239" s="1207" t="s">
        <v>99</v>
      </c>
      <c r="D239" s="555">
        <f>+D244+D248</f>
        <v>238602</v>
      </c>
      <c r="E239" s="2120"/>
      <c r="F239" s="2114"/>
      <c r="G239" s="2114"/>
      <c r="H239" s="1646"/>
      <c r="I239" s="1646"/>
      <c r="J239" s="1646"/>
      <c r="K239" s="2115"/>
      <c r="L239" s="2114"/>
      <c r="M239" s="556"/>
      <c r="N239" s="3709" t="s">
        <v>632</v>
      </c>
      <c r="O239" s="172" t="s">
        <v>555</v>
      </c>
    </row>
    <row r="240" spans="1:15" s="196" customFormat="1" ht="15" customHeight="1" thickBot="1">
      <c r="A240" s="3988"/>
      <c r="B240" s="1176" t="s">
        <v>9</v>
      </c>
      <c r="C240" s="1999"/>
      <c r="D240" s="1178">
        <f>+D241+D245</f>
        <v>1276500</v>
      </c>
      <c r="E240" s="1178">
        <f>+E241+E245</f>
        <v>25422</v>
      </c>
      <c r="F240" s="1178">
        <f>+F241+F245</f>
        <v>334552</v>
      </c>
      <c r="G240" s="1178">
        <f t="shared" ref="G240:K240" si="166">+G241+G245</f>
        <v>882849</v>
      </c>
      <c r="H240" s="1178">
        <f t="shared" si="166"/>
        <v>33677</v>
      </c>
      <c r="I240" s="1188">
        <f t="shared" si="166"/>
        <v>0</v>
      </c>
      <c r="J240" s="1188">
        <f t="shared" si="166"/>
        <v>0</v>
      </c>
      <c r="K240" s="1188">
        <f t="shared" si="166"/>
        <v>0</v>
      </c>
      <c r="L240" s="1178">
        <f>+L241+L245</f>
        <v>0</v>
      </c>
      <c r="M240" s="1179">
        <f>+M241+M245</f>
        <v>916526</v>
      </c>
      <c r="N240" s="3710"/>
    </row>
    <row r="241" spans="1:15" s="196" customFormat="1" ht="15" customHeight="1" thickBot="1">
      <c r="A241" s="3988"/>
      <c r="B241" s="1180" t="s">
        <v>22</v>
      </c>
      <c r="C241" s="3664" t="s">
        <v>363</v>
      </c>
      <c r="D241" s="1181">
        <f>SUM(D242)</f>
        <v>191898</v>
      </c>
      <c r="E241" s="1181">
        <f t="shared" ref="E241:K241" si="167">SUM(E242)</f>
        <v>3813</v>
      </c>
      <c r="F241" s="1181">
        <f t="shared" si="167"/>
        <v>50291</v>
      </c>
      <c r="G241" s="1181">
        <f t="shared" si="167"/>
        <v>132659</v>
      </c>
      <c r="H241" s="1181">
        <f t="shared" si="167"/>
        <v>5135</v>
      </c>
      <c r="I241" s="1189">
        <f t="shared" si="167"/>
        <v>0</v>
      </c>
      <c r="J241" s="1189">
        <f t="shared" si="167"/>
        <v>0</v>
      </c>
      <c r="K241" s="1189">
        <f t="shared" si="167"/>
        <v>0</v>
      </c>
      <c r="L241" s="1181">
        <f>SUM(L242)</f>
        <v>0</v>
      </c>
      <c r="M241" s="1182">
        <f>+M242</f>
        <v>137794</v>
      </c>
      <c r="N241" s="3710"/>
    </row>
    <row r="242" spans="1:15" s="196" customFormat="1" ht="12" customHeight="1" thickBot="1">
      <c r="A242" s="3988"/>
      <c r="B242" s="1183" t="s">
        <v>11</v>
      </c>
      <c r="C242" s="3722"/>
      <c r="D242" s="1115">
        <f>E242+L242+F242+G242+H242+I242+J242+K242</f>
        <v>191898</v>
      </c>
      <c r="E242" s="1115">
        <f t="shared" ref="E242" si="168">SUM(E243:E244)</f>
        <v>3813</v>
      </c>
      <c r="F242" s="1115">
        <f t="shared" ref="F242:K242" si="169">SUM(F243:F244)</f>
        <v>50291</v>
      </c>
      <c r="G242" s="1115">
        <f t="shared" si="169"/>
        <v>132659</v>
      </c>
      <c r="H242" s="1115">
        <f t="shared" si="169"/>
        <v>5135</v>
      </c>
      <c r="I242" s="3457">
        <f t="shared" si="169"/>
        <v>0</v>
      </c>
      <c r="J242" s="3457">
        <f t="shared" si="169"/>
        <v>0</v>
      </c>
      <c r="K242" s="3457">
        <f t="shared" si="169"/>
        <v>0</v>
      </c>
      <c r="L242" s="1115">
        <f>SUM(L243:L244)</f>
        <v>0</v>
      </c>
      <c r="M242" s="1444">
        <f>SUM(G242:K242)</f>
        <v>137794</v>
      </c>
      <c r="N242" s="3710"/>
    </row>
    <row r="243" spans="1:15" s="196" customFormat="1" ht="15" hidden="1" customHeight="1" thickBot="1">
      <c r="A243" s="3988"/>
      <c r="B243" s="3466" t="s">
        <v>606</v>
      </c>
      <c r="C243" s="3722"/>
      <c r="D243" s="3441">
        <f>SUM(E243:K243)</f>
        <v>156108</v>
      </c>
      <c r="E243" s="3441">
        <f>3150-50</f>
        <v>3100</v>
      </c>
      <c r="F243" s="3441">
        <f>66665+50-25602</f>
        <v>41113</v>
      </c>
      <c r="G243" s="3441">
        <f>82100+25602</f>
        <v>107702</v>
      </c>
      <c r="H243" s="3441">
        <v>4193</v>
      </c>
      <c r="I243" s="3467">
        <v>0</v>
      </c>
      <c r="J243" s="3467">
        <v>0</v>
      </c>
      <c r="K243" s="3467">
        <v>0</v>
      </c>
      <c r="L243" s="2979"/>
      <c r="M243" s="1444">
        <f>SUM(G243:K243)</f>
        <v>111895</v>
      </c>
      <c r="N243" s="3710"/>
    </row>
    <row r="244" spans="1:15" s="196" customFormat="1" ht="15" hidden="1" customHeight="1" thickBot="1">
      <c r="A244" s="3988"/>
      <c r="B244" s="3468" t="s">
        <v>269</v>
      </c>
      <c r="C244" s="3722"/>
      <c r="D244" s="3443">
        <f>SUM(E244:K244)</f>
        <v>35790</v>
      </c>
      <c r="E244" s="3443">
        <f>724-11</f>
        <v>713</v>
      </c>
      <c r="F244" s="3443">
        <f>15287+11-6120</f>
        <v>9178</v>
      </c>
      <c r="G244" s="3443">
        <f>18837+6120</f>
        <v>24957</v>
      </c>
      <c r="H244" s="3443">
        <v>942</v>
      </c>
      <c r="I244" s="3462">
        <v>0</v>
      </c>
      <c r="J244" s="3462">
        <v>0</v>
      </c>
      <c r="K244" s="3462">
        <v>0</v>
      </c>
      <c r="L244" s="2979"/>
      <c r="M244" s="1444">
        <f>SUM(G244:K244)</f>
        <v>25899</v>
      </c>
      <c r="N244" s="3710"/>
    </row>
    <row r="245" spans="1:15" s="196" customFormat="1" ht="13.5" customHeight="1" thickBot="1">
      <c r="A245" s="3988"/>
      <c r="B245" s="1185" t="s">
        <v>17</v>
      </c>
      <c r="C245" s="3722"/>
      <c r="D245" s="1181">
        <f>SUM(E245:K245)</f>
        <v>1084602</v>
      </c>
      <c r="E245" s="1181">
        <f t="shared" ref="E245:K245" si="170">SUM(E246)</f>
        <v>21609</v>
      </c>
      <c r="F245" s="1181">
        <f t="shared" si="170"/>
        <v>284261</v>
      </c>
      <c r="G245" s="1181">
        <f t="shared" si="170"/>
        <v>750190</v>
      </c>
      <c r="H245" s="1181">
        <f t="shared" si="170"/>
        <v>28542</v>
      </c>
      <c r="I245" s="1189">
        <f t="shared" si="170"/>
        <v>0</v>
      </c>
      <c r="J245" s="1189">
        <f t="shared" si="170"/>
        <v>0</v>
      </c>
      <c r="K245" s="1189">
        <f t="shared" si="170"/>
        <v>0</v>
      </c>
      <c r="L245" s="1181">
        <f>SUM(L246)</f>
        <v>0</v>
      </c>
      <c r="M245" s="1182">
        <f>+M246</f>
        <v>778732</v>
      </c>
      <c r="N245" s="3710"/>
    </row>
    <row r="246" spans="1:15" s="196" customFormat="1" ht="13.5" customHeight="1" thickBot="1">
      <c r="A246" s="3988"/>
      <c r="B246" s="2544" t="s">
        <v>19</v>
      </c>
      <c r="C246" s="3722"/>
      <c r="D246" s="1115">
        <f>E246+L246+F246+G246+H246+I246+J246+K246</f>
        <v>1084602</v>
      </c>
      <c r="E246" s="3464">
        <f t="shared" ref="E246" si="171">SUM(E247:E248)</f>
        <v>21609</v>
      </c>
      <c r="F246" s="3464">
        <f t="shared" ref="F246:K246" si="172">SUM(F247:F248)</f>
        <v>284261</v>
      </c>
      <c r="G246" s="3464">
        <f t="shared" si="172"/>
        <v>750190</v>
      </c>
      <c r="H246" s="3464">
        <f t="shared" si="172"/>
        <v>28542</v>
      </c>
      <c r="I246" s="3465">
        <f t="shared" si="172"/>
        <v>0</v>
      </c>
      <c r="J246" s="3465">
        <f t="shared" si="172"/>
        <v>0</v>
      </c>
      <c r="K246" s="3472">
        <f t="shared" si="172"/>
        <v>0</v>
      </c>
      <c r="L246" s="3464">
        <f>SUM(L247:L248)</f>
        <v>0</v>
      </c>
      <c r="M246" s="1444">
        <f>SUM(G246:K246)</f>
        <v>778732</v>
      </c>
      <c r="N246" s="3710"/>
    </row>
    <row r="247" spans="1:15" s="196" customFormat="1" ht="15" hidden="1" customHeight="1" thickBot="1">
      <c r="A247" s="4034"/>
      <c r="B247" s="3466" t="s">
        <v>606</v>
      </c>
      <c r="C247" s="3994"/>
      <c r="D247" s="3441">
        <f>SUM(E247:K247)</f>
        <v>881790</v>
      </c>
      <c r="E247" s="3441">
        <f>17850-282</f>
        <v>17568</v>
      </c>
      <c r="F247" s="3441">
        <f>376635+282-144673</f>
        <v>232244</v>
      </c>
      <c r="G247" s="3441">
        <f>464100+144673</f>
        <v>608773</v>
      </c>
      <c r="H247" s="3441">
        <v>23205</v>
      </c>
      <c r="I247" s="3467">
        <v>0</v>
      </c>
      <c r="J247" s="3467">
        <v>0</v>
      </c>
      <c r="K247" s="3467">
        <v>0</v>
      </c>
      <c r="L247" s="3473"/>
      <c r="M247" s="1577">
        <f>SUM(G247:K247)</f>
        <v>631978</v>
      </c>
      <c r="N247" s="3711"/>
    </row>
    <row r="248" spans="1:15" s="196" customFormat="1" ht="15" hidden="1" customHeight="1" thickBot="1">
      <c r="A248" s="4034"/>
      <c r="B248" s="3468" t="s">
        <v>269</v>
      </c>
      <c r="C248" s="3994"/>
      <c r="D248" s="3129">
        <f>SUM(E248:K248)</f>
        <v>202812</v>
      </c>
      <c r="E248" s="3129">
        <f>4106-65</f>
        <v>4041</v>
      </c>
      <c r="F248" s="3129">
        <f>86626+65-34674</f>
        <v>52017</v>
      </c>
      <c r="G248" s="3129">
        <f>106743+34674</f>
        <v>141417</v>
      </c>
      <c r="H248" s="3129">
        <v>5337</v>
      </c>
      <c r="I248" s="3470">
        <v>0</v>
      </c>
      <c r="J248" s="3470">
        <v>0</v>
      </c>
      <c r="K248" s="3470">
        <v>0</v>
      </c>
      <c r="L248" s="1563"/>
      <c r="M248" s="3474">
        <f>SUM(G248:K248)</f>
        <v>146754</v>
      </c>
      <c r="N248" s="3980"/>
    </row>
    <row r="249" spans="1:15" s="196" customFormat="1" ht="15" customHeight="1" thickBot="1">
      <c r="A249" s="3988"/>
      <c r="B249" s="68" t="s">
        <v>20</v>
      </c>
      <c r="C249" s="1999"/>
      <c r="D249" s="1178">
        <f>SUM(E249:K249)</f>
        <v>1084602</v>
      </c>
      <c r="E249" s="1421">
        <f t="shared" ref="E249:K249" si="173">+E250</f>
        <v>0</v>
      </c>
      <c r="F249" s="1178">
        <f t="shared" si="173"/>
        <v>70977</v>
      </c>
      <c r="G249" s="1178">
        <f t="shared" si="173"/>
        <v>699661</v>
      </c>
      <c r="H249" s="1178">
        <f t="shared" si="173"/>
        <v>313964</v>
      </c>
      <c r="I249" s="1188">
        <f t="shared" si="173"/>
        <v>0</v>
      </c>
      <c r="J249" s="1188">
        <f t="shared" si="173"/>
        <v>0</v>
      </c>
      <c r="K249" s="1188">
        <f t="shared" si="173"/>
        <v>0</v>
      </c>
      <c r="L249" s="1188">
        <f>+L250</f>
        <v>0</v>
      </c>
      <c r="M249" s="3701"/>
      <c r="N249" s="3980" t="s">
        <v>606</v>
      </c>
    </row>
    <row r="250" spans="1:15" s="196" customFormat="1" ht="15" customHeight="1" thickBot="1">
      <c r="A250" s="3988"/>
      <c r="B250" s="1743" t="s">
        <v>17</v>
      </c>
      <c r="C250" s="3971" t="s">
        <v>159</v>
      </c>
      <c r="D250" s="1181">
        <f>SUM(E250:K250)</f>
        <v>1084602</v>
      </c>
      <c r="E250" s="1419">
        <f t="shared" ref="E250:K250" si="174">SUM(E251)</f>
        <v>0</v>
      </c>
      <c r="F250" s="1181">
        <f t="shared" si="174"/>
        <v>70977</v>
      </c>
      <c r="G250" s="1181">
        <f t="shared" si="174"/>
        <v>699661</v>
      </c>
      <c r="H250" s="1181">
        <f t="shared" si="174"/>
        <v>313964</v>
      </c>
      <c r="I250" s="1189">
        <f t="shared" si="174"/>
        <v>0</v>
      </c>
      <c r="J250" s="1189">
        <f t="shared" si="174"/>
        <v>0</v>
      </c>
      <c r="K250" s="1189">
        <f t="shared" si="174"/>
        <v>0</v>
      </c>
      <c r="L250" s="1189">
        <f>SUM(L251)</f>
        <v>0</v>
      </c>
      <c r="M250" s="3702"/>
      <c r="N250" s="3980"/>
    </row>
    <row r="251" spans="1:15" s="196" customFormat="1" ht="15" customHeight="1" thickBot="1">
      <c r="A251" s="3988"/>
      <c r="B251" s="2577" t="s">
        <v>19</v>
      </c>
      <c r="C251" s="3849"/>
      <c r="D251" s="1636">
        <f>E251+L251+F251+G251+H251+I251+J251+K251</f>
        <v>1084602</v>
      </c>
      <c r="E251" s="1909">
        <v>0</v>
      </c>
      <c r="F251" s="1433">
        <f>253586-182609</f>
        <v>70977</v>
      </c>
      <c r="G251" s="1433">
        <f>517052+182609</f>
        <v>699661</v>
      </c>
      <c r="H251" s="1433">
        <v>313964</v>
      </c>
      <c r="I251" s="1530">
        <v>0</v>
      </c>
      <c r="J251" s="1530">
        <v>0</v>
      </c>
      <c r="K251" s="1530">
        <v>0</v>
      </c>
      <c r="L251" s="1530">
        <v>0</v>
      </c>
      <c r="M251" s="3702"/>
      <c r="N251" s="3980"/>
    </row>
    <row r="252" spans="1:15" s="196" customFormat="1" ht="27.75" customHeight="1" thickBot="1">
      <c r="A252" s="3996" t="s">
        <v>267</v>
      </c>
      <c r="B252" s="157" t="s">
        <v>463</v>
      </c>
      <c r="C252" s="1207" t="s">
        <v>160</v>
      </c>
      <c r="D252" s="554"/>
      <c r="E252" s="2120"/>
      <c r="F252" s="2114"/>
      <c r="G252" s="2114"/>
      <c r="H252" s="1646"/>
      <c r="I252" s="1646"/>
      <c r="J252" s="1646"/>
      <c r="K252" s="2115"/>
      <c r="L252" s="2114"/>
      <c r="M252" s="556"/>
      <c r="N252" s="3709" t="s">
        <v>634</v>
      </c>
    </row>
    <row r="253" spans="1:15" s="196" customFormat="1" ht="15" customHeight="1" thickBot="1">
      <c r="A253" s="3988"/>
      <c r="B253" s="1176" t="s">
        <v>9</v>
      </c>
      <c r="C253" s="1999"/>
      <c r="D253" s="1178">
        <f>D254+D256</f>
        <v>225600</v>
      </c>
      <c r="E253" s="1421">
        <f t="shared" ref="E253" si="175">E254+E256</f>
        <v>0</v>
      </c>
      <c r="F253" s="1188">
        <f>F254+F258</f>
        <v>0</v>
      </c>
      <c r="G253" s="1178">
        <f t="shared" ref="G253:K253" si="176">G254+G258</f>
        <v>2000</v>
      </c>
      <c r="H253" s="1178">
        <f>H254+H256</f>
        <v>223600</v>
      </c>
      <c r="I253" s="1421">
        <f>I254+I256</f>
        <v>0</v>
      </c>
      <c r="J253" s="1421">
        <f t="shared" si="176"/>
        <v>0</v>
      </c>
      <c r="K253" s="1421">
        <f t="shared" si="176"/>
        <v>0</v>
      </c>
      <c r="L253" s="1421">
        <f t="shared" ref="L253" si="177">+L256</f>
        <v>0</v>
      </c>
      <c r="M253" s="1179">
        <f>+M256+M254</f>
        <v>225600</v>
      </c>
      <c r="N253" s="3710"/>
      <c r="O253" s="196" t="s">
        <v>352</v>
      </c>
    </row>
    <row r="254" spans="1:15" s="196" customFormat="1" ht="15" customHeight="1" thickBot="1">
      <c r="A254" s="3988"/>
      <c r="B254" s="1180" t="s">
        <v>22</v>
      </c>
      <c r="C254" s="3664" t="s">
        <v>201</v>
      </c>
      <c r="D254" s="1181">
        <f>D255</f>
        <v>36390</v>
      </c>
      <c r="E254" s="1488">
        <f t="shared" ref="E254" si="178">E255</f>
        <v>0</v>
      </c>
      <c r="F254" s="1519">
        <f>F255</f>
        <v>0</v>
      </c>
      <c r="G254" s="1186">
        <f>G255</f>
        <v>2000</v>
      </c>
      <c r="H254" s="1186">
        <f t="shared" ref="H254:K254" si="179">H255</f>
        <v>34390</v>
      </c>
      <c r="I254" s="1227">
        <f t="shared" si="179"/>
        <v>0</v>
      </c>
      <c r="J254" s="1227">
        <f t="shared" si="179"/>
        <v>0</v>
      </c>
      <c r="K254" s="1227">
        <f t="shared" si="179"/>
        <v>0</v>
      </c>
      <c r="L254" s="1488">
        <f>L255</f>
        <v>0</v>
      </c>
      <c r="M254" s="1182">
        <f>M255</f>
        <v>36390</v>
      </c>
      <c r="N254" s="3710"/>
    </row>
    <row r="255" spans="1:15" s="196" customFormat="1" ht="15" customHeight="1" thickBot="1">
      <c r="A255" s="3988"/>
      <c r="B255" s="1183" t="s">
        <v>11</v>
      </c>
      <c r="C255" s="3722"/>
      <c r="D255" s="1115">
        <f>E255+L255+F255+G255+H255+I255+J255+K255</f>
        <v>36390</v>
      </c>
      <c r="E255" s="1486">
        <v>0</v>
      </c>
      <c r="F255" s="1515">
        <f>1000-1000</f>
        <v>0</v>
      </c>
      <c r="G255" s="1184">
        <f>1000+1000</f>
        <v>2000</v>
      </c>
      <c r="H255" s="1184">
        <v>34390</v>
      </c>
      <c r="I255" s="1227">
        <v>0</v>
      </c>
      <c r="J255" s="1486">
        <v>0</v>
      </c>
      <c r="K255" s="1486">
        <v>0</v>
      </c>
      <c r="L255" s="1486">
        <v>0</v>
      </c>
      <c r="M255" s="1444">
        <f>SUM(G255:K255)</f>
        <v>36390</v>
      </c>
      <c r="N255" s="3710"/>
      <c r="O255" s="172" t="s">
        <v>555</v>
      </c>
    </row>
    <row r="256" spans="1:15" s="196" customFormat="1" ht="15" customHeight="1" thickBot="1">
      <c r="A256" s="3988"/>
      <c r="B256" s="1185" t="s">
        <v>17</v>
      </c>
      <c r="C256" s="3722"/>
      <c r="D256" s="1181">
        <f>D257</f>
        <v>189210</v>
      </c>
      <c r="E256" s="1488">
        <f t="shared" ref="E256:M256" si="180">+E257</f>
        <v>0</v>
      </c>
      <c r="F256" s="1519">
        <f>F257</f>
        <v>0</v>
      </c>
      <c r="G256" s="1519">
        <v>0</v>
      </c>
      <c r="H256" s="1186">
        <f>H257</f>
        <v>189210</v>
      </c>
      <c r="I256" s="1227">
        <v>0</v>
      </c>
      <c r="J256" s="1227">
        <v>0</v>
      </c>
      <c r="K256" s="1227">
        <v>0</v>
      </c>
      <c r="L256" s="1488">
        <v>0</v>
      </c>
      <c r="M256" s="1182">
        <f t="shared" si="180"/>
        <v>189210</v>
      </c>
      <c r="N256" s="3710"/>
    </row>
    <row r="257" spans="1:15" s="196" customFormat="1" ht="15" customHeight="1" thickBot="1">
      <c r="A257" s="3988"/>
      <c r="B257" s="2544" t="s">
        <v>19</v>
      </c>
      <c r="C257" s="3789"/>
      <c r="D257" s="1115">
        <f>E257+L257+F257+G257+H257+I257+J257+K257</f>
        <v>189210</v>
      </c>
      <c r="E257" s="1486">
        <v>0</v>
      </c>
      <c r="F257" s="1515">
        <v>0</v>
      </c>
      <c r="G257" s="1515">
        <v>0</v>
      </c>
      <c r="H257" s="1184">
        <v>189210</v>
      </c>
      <c r="I257" s="1486">
        <v>0</v>
      </c>
      <c r="J257" s="1486">
        <v>0</v>
      </c>
      <c r="K257" s="1486">
        <v>0</v>
      </c>
      <c r="L257" s="1486">
        <v>0</v>
      </c>
      <c r="M257" s="1444">
        <f>SUM(G257:K257)</f>
        <v>189210</v>
      </c>
      <c r="N257" s="3710"/>
    </row>
    <row r="258" spans="1:15" s="196" customFormat="1" ht="15" customHeight="1" thickBot="1">
      <c r="A258" s="3988"/>
      <c r="B258" s="1722" t="s">
        <v>20</v>
      </c>
      <c r="C258" s="1999"/>
      <c r="D258" s="1178">
        <f t="shared" ref="D258:K259" si="181">D259</f>
        <v>189210</v>
      </c>
      <c r="E258" s="1421">
        <f t="shared" ref="E258" si="182">+E261</f>
        <v>0</v>
      </c>
      <c r="F258" s="1188">
        <f t="shared" si="181"/>
        <v>0</v>
      </c>
      <c r="G258" s="1188">
        <f t="shared" si="181"/>
        <v>0</v>
      </c>
      <c r="H258" s="1188">
        <f t="shared" si="181"/>
        <v>0</v>
      </c>
      <c r="I258" s="1178">
        <f t="shared" si="181"/>
        <v>189210</v>
      </c>
      <c r="J258" s="1421">
        <f t="shared" si="181"/>
        <v>0</v>
      </c>
      <c r="K258" s="1421">
        <f t="shared" si="181"/>
        <v>0</v>
      </c>
      <c r="L258" s="1421">
        <f>L259</f>
        <v>0</v>
      </c>
      <c r="M258" s="3701" t="s">
        <v>52</v>
      </c>
      <c r="N258" s="3980" t="s">
        <v>282</v>
      </c>
    </row>
    <row r="259" spans="1:15" s="196" customFormat="1" ht="15" customHeight="1" thickBot="1">
      <c r="A259" s="3988"/>
      <c r="B259" s="1743" t="s">
        <v>17</v>
      </c>
      <c r="C259" s="3970" t="s">
        <v>201</v>
      </c>
      <c r="D259" s="1187">
        <f t="shared" si="181"/>
        <v>189210</v>
      </c>
      <c r="E259" s="1488">
        <f t="shared" si="181"/>
        <v>0</v>
      </c>
      <c r="F259" s="3475">
        <f t="shared" si="181"/>
        <v>0</v>
      </c>
      <c r="G259" s="3475">
        <f t="shared" si="181"/>
        <v>0</v>
      </c>
      <c r="H259" s="3475">
        <f t="shared" si="181"/>
        <v>0</v>
      </c>
      <c r="I259" s="1187">
        <f t="shared" si="181"/>
        <v>189210</v>
      </c>
      <c r="J259" s="1227">
        <f t="shared" si="181"/>
        <v>0</v>
      </c>
      <c r="K259" s="1227">
        <f t="shared" si="181"/>
        <v>0</v>
      </c>
      <c r="L259" s="1227">
        <f>L260</f>
        <v>0</v>
      </c>
      <c r="M259" s="3702"/>
      <c r="N259" s="3980"/>
    </row>
    <row r="260" spans="1:15" s="196" customFormat="1" ht="15" customHeight="1" thickBot="1">
      <c r="A260" s="3988"/>
      <c r="B260" s="2577" t="s">
        <v>19</v>
      </c>
      <c r="C260" s="3849"/>
      <c r="D260" s="1410">
        <f>E260+L260+F260+G260+H260+I260+J260+K260</f>
        <v>189210</v>
      </c>
      <c r="E260" s="1857">
        <v>0</v>
      </c>
      <c r="F260" s="1530">
        <v>0</v>
      </c>
      <c r="G260" s="1530">
        <v>0</v>
      </c>
      <c r="H260" s="1530">
        <v>0</v>
      </c>
      <c r="I260" s="1433">
        <v>189210</v>
      </c>
      <c r="J260" s="1857">
        <v>0</v>
      </c>
      <c r="K260" s="1857">
        <v>0</v>
      </c>
      <c r="L260" s="1434">
        <v>0</v>
      </c>
      <c r="M260" s="3702"/>
      <c r="N260" s="3980"/>
    </row>
    <row r="261" spans="1:15" s="196" customFormat="1" ht="25.5" customHeight="1" thickBot="1">
      <c r="A261" s="3996" t="s">
        <v>94</v>
      </c>
      <c r="B261" s="157" t="s">
        <v>462</v>
      </c>
      <c r="C261" s="1645" t="s">
        <v>72</v>
      </c>
      <c r="D261" s="554"/>
      <c r="E261" s="2120"/>
      <c r="F261" s="2114"/>
      <c r="G261" s="2114"/>
      <c r="H261" s="1646"/>
      <c r="I261" s="1646"/>
      <c r="J261" s="1646"/>
      <c r="K261" s="2115"/>
      <c r="L261" s="2114"/>
      <c r="M261" s="556"/>
      <c r="N261" s="3980" t="s">
        <v>634</v>
      </c>
    </row>
    <row r="262" spans="1:15" s="196" customFormat="1" ht="15" customHeight="1" thickBot="1">
      <c r="A262" s="3988"/>
      <c r="B262" s="1176" t="s">
        <v>9</v>
      </c>
      <c r="C262" s="1999"/>
      <c r="D262" s="1178">
        <f>D263+D266</f>
        <v>6246481</v>
      </c>
      <c r="E262" s="1178">
        <f t="shared" ref="E262" si="183">E263+E266</f>
        <v>314314</v>
      </c>
      <c r="F262" s="1178">
        <f>+F266+F263</f>
        <v>85762</v>
      </c>
      <c r="G262" s="1178">
        <f>+G266+G263</f>
        <v>3702087</v>
      </c>
      <c r="H262" s="1178">
        <f t="shared" ref="H262:K262" si="184">+H266+H263</f>
        <v>2144318</v>
      </c>
      <c r="I262" s="1421">
        <f t="shared" si="184"/>
        <v>0</v>
      </c>
      <c r="J262" s="1421">
        <f t="shared" si="184"/>
        <v>0</v>
      </c>
      <c r="K262" s="1421">
        <f t="shared" si="184"/>
        <v>0</v>
      </c>
      <c r="L262" s="3476">
        <f>L263</f>
        <v>0</v>
      </c>
      <c r="M262" s="1179">
        <f>+M266+M263</f>
        <v>5846405</v>
      </c>
      <c r="N262" s="3980"/>
      <c r="O262" s="196" t="s">
        <v>352</v>
      </c>
    </row>
    <row r="263" spans="1:15" s="196" customFormat="1" ht="15" customHeight="1" thickBot="1">
      <c r="A263" s="3988"/>
      <c r="B263" s="1180" t="s">
        <v>22</v>
      </c>
      <c r="C263" s="3664" t="s">
        <v>201</v>
      </c>
      <c r="D263" s="1181">
        <f>D264+D265</f>
        <v>1034156</v>
      </c>
      <c r="E263" s="1181">
        <f>E264+E265</f>
        <v>144331</v>
      </c>
      <c r="F263" s="1181">
        <f t="shared" ref="F263:H263" si="185">F264+F265</f>
        <v>12865</v>
      </c>
      <c r="G263" s="1181">
        <f t="shared" si="185"/>
        <v>555312</v>
      </c>
      <c r="H263" s="1181">
        <f t="shared" si="185"/>
        <v>321648</v>
      </c>
      <c r="I263" s="1486">
        <f t="shared" ref="I263:K263" si="186">I264+I265</f>
        <v>0</v>
      </c>
      <c r="J263" s="1486">
        <f t="shared" si="186"/>
        <v>0</v>
      </c>
      <c r="K263" s="1486">
        <f t="shared" si="186"/>
        <v>0</v>
      </c>
      <c r="L263" s="1181">
        <f>L264+L265</f>
        <v>0</v>
      </c>
      <c r="M263" s="1182">
        <f>M264</f>
        <v>876960</v>
      </c>
      <c r="N263" s="3980"/>
    </row>
    <row r="264" spans="1:15" s="196" customFormat="1" ht="15" customHeight="1" thickBot="1">
      <c r="A264" s="3988"/>
      <c r="B264" s="1183" t="s">
        <v>11</v>
      </c>
      <c r="C264" s="3722"/>
      <c r="D264" s="1115">
        <f>E264+L264+F264+G264+H264+I264+J264+K264</f>
        <v>1004156</v>
      </c>
      <c r="E264" s="1115">
        <v>114331</v>
      </c>
      <c r="F264" s="1184">
        <f>270726-255438-2423</f>
        <v>12865</v>
      </c>
      <c r="G264" s="1184">
        <f>297451+255438+2423</f>
        <v>555312</v>
      </c>
      <c r="H264" s="1184">
        <v>321648</v>
      </c>
      <c r="I264" s="1486">
        <v>0</v>
      </c>
      <c r="J264" s="1486">
        <v>0</v>
      </c>
      <c r="K264" s="1486">
        <v>0</v>
      </c>
      <c r="L264" s="1486">
        <v>0</v>
      </c>
      <c r="M264" s="1444">
        <f>SUM(G264:K264)</f>
        <v>876960</v>
      </c>
      <c r="N264" s="3980"/>
      <c r="O264" s="172" t="s">
        <v>555</v>
      </c>
    </row>
    <row r="265" spans="1:15" s="196" customFormat="1" ht="15" customHeight="1" thickBot="1">
      <c r="A265" s="3988"/>
      <c r="B265" s="1183" t="s">
        <v>14</v>
      </c>
      <c r="C265" s="3722"/>
      <c r="D265" s="1115">
        <f>E265+L265+F265+G265+H265+I265+J265+K265</f>
        <v>30000</v>
      </c>
      <c r="E265" s="3477">
        <v>30000</v>
      </c>
      <c r="F265" s="1487">
        <v>0</v>
      </c>
      <c r="G265" s="1487">
        <v>0</v>
      </c>
      <c r="H265" s="1487">
        <v>0</v>
      </c>
      <c r="I265" s="1487">
        <v>0</v>
      </c>
      <c r="J265" s="1487">
        <v>0</v>
      </c>
      <c r="K265" s="1487">
        <v>0</v>
      </c>
      <c r="L265" s="3477"/>
      <c r="M265" s="1444">
        <f>SUM(G265:K265)</f>
        <v>0</v>
      </c>
      <c r="N265" s="3980"/>
    </row>
    <row r="266" spans="1:15" s="196" customFormat="1" ht="15" customHeight="1" thickBot="1">
      <c r="A266" s="3988"/>
      <c r="B266" s="1185" t="s">
        <v>17</v>
      </c>
      <c r="C266" s="3722"/>
      <c r="D266" s="1181">
        <f>D267</f>
        <v>5212325</v>
      </c>
      <c r="E266" s="1485">
        <f t="shared" ref="E266:M266" si="187">+E267</f>
        <v>169983</v>
      </c>
      <c r="F266" s="1186">
        <f>F267</f>
        <v>72897</v>
      </c>
      <c r="G266" s="1186">
        <f t="shared" ref="G266:K266" si="188">G267</f>
        <v>3146775</v>
      </c>
      <c r="H266" s="1186">
        <f t="shared" si="188"/>
        <v>1822670</v>
      </c>
      <c r="I266" s="1488">
        <f t="shared" si="188"/>
        <v>0</v>
      </c>
      <c r="J266" s="1488">
        <f t="shared" si="188"/>
        <v>0</v>
      </c>
      <c r="K266" s="1488">
        <f t="shared" si="188"/>
        <v>0</v>
      </c>
      <c r="L266" s="1488">
        <v>0</v>
      </c>
      <c r="M266" s="1182">
        <f t="shared" si="187"/>
        <v>4969445</v>
      </c>
      <c r="N266" s="3980"/>
    </row>
    <row r="267" spans="1:15" s="196" customFormat="1" ht="15" customHeight="1" thickBot="1">
      <c r="A267" s="3988"/>
      <c r="B267" s="2544" t="s">
        <v>19</v>
      </c>
      <c r="C267" s="3789"/>
      <c r="D267" s="1115">
        <f>E267+L267+F267+G267+H267+I267+J267+K267</f>
        <v>5212325</v>
      </c>
      <c r="E267" s="1115">
        <v>169983</v>
      </c>
      <c r="F267" s="1184">
        <f>1534116-1447485-13734</f>
        <v>72897</v>
      </c>
      <c r="G267" s="1184">
        <f>1685556+1447485+13734</f>
        <v>3146775</v>
      </c>
      <c r="H267" s="1184">
        <v>1822670</v>
      </c>
      <c r="I267" s="1487">
        <v>0</v>
      </c>
      <c r="J267" s="1487">
        <v>0</v>
      </c>
      <c r="K267" s="1487">
        <v>0</v>
      </c>
      <c r="L267" s="1486">
        <v>0</v>
      </c>
      <c r="M267" s="1444">
        <f>SUM(G267:K267)</f>
        <v>4969445</v>
      </c>
      <c r="N267" s="3981"/>
    </row>
    <row r="268" spans="1:15" s="196" customFormat="1" ht="15" customHeight="1" thickBot="1">
      <c r="A268" s="3988"/>
      <c r="B268" s="1722" t="s">
        <v>20</v>
      </c>
      <c r="C268" s="1999"/>
      <c r="D268" s="1178">
        <f>D271+D269</f>
        <v>5242325</v>
      </c>
      <c r="E268" s="1178">
        <f t="shared" ref="E268" si="189">E271+E269</f>
        <v>30000</v>
      </c>
      <c r="F268" s="1178">
        <f t="shared" ref="F268:K268" si="190">F271+F269</f>
        <v>0</v>
      </c>
      <c r="G268" s="1178">
        <f t="shared" si="190"/>
        <v>1780856</v>
      </c>
      <c r="H268" s="1178">
        <f t="shared" si="190"/>
        <v>1671276</v>
      </c>
      <c r="I268" s="1178">
        <f t="shared" si="190"/>
        <v>1760193</v>
      </c>
      <c r="J268" s="1421">
        <f t="shared" si="190"/>
        <v>0</v>
      </c>
      <c r="K268" s="1421">
        <f t="shared" si="190"/>
        <v>0</v>
      </c>
      <c r="L268" s="1178">
        <f>L271+L269</f>
        <v>0</v>
      </c>
      <c r="M268" s="3757" t="s">
        <v>52</v>
      </c>
      <c r="N268" s="3710" t="s">
        <v>282</v>
      </c>
    </row>
    <row r="269" spans="1:15" s="196" customFormat="1" ht="14.25" customHeight="1" thickBot="1">
      <c r="A269" s="3988"/>
      <c r="B269" s="1743" t="s">
        <v>395</v>
      </c>
      <c r="C269" s="3759" t="s">
        <v>201</v>
      </c>
      <c r="D269" s="1187">
        <f t="shared" ref="D269:K271" si="191">D270</f>
        <v>30000</v>
      </c>
      <c r="E269" s="2125">
        <f t="shared" si="191"/>
        <v>30000</v>
      </c>
      <c r="F269" s="1488">
        <f t="shared" si="191"/>
        <v>0</v>
      </c>
      <c r="G269" s="1488">
        <f t="shared" si="191"/>
        <v>0</v>
      </c>
      <c r="H269" s="1488">
        <f t="shared" si="191"/>
        <v>0</v>
      </c>
      <c r="I269" s="1488">
        <f t="shared" si="191"/>
        <v>0</v>
      </c>
      <c r="J269" s="1488">
        <f t="shared" si="191"/>
        <v>0</v>
      </c>
      <c r="K269" s="1488">
        <f t="shared" si="191"/>
        <v>0</v>
      </c>
      <c r="L269" s="2125">
        <f>L270</f>
        <v>0</v>
      </c>
      <c r="M269" s="3717"/>
      <c r="N269" s="3710"/>
    </row>
    <row r="270" spans="1:15" s="196" customFormat="1" ht="14.25" customHeight="1" thickBot="1">
      <c r="A270" s="3988"/>
      <c r="B270" s="2576" t="s">
        <v>14</v>
      </c>
      <c r="C270" s="3828"/>
      <c r="D270" s="1155">
        <f>E270+L270+F270+G270+H270+I270+J270+K270</f>
        <v>30000</v>
      </c>
      <c r="E270" s="2126">
        <v>30000</v>
      </c>
      <c r="F270" s="1215">
        <v>0</v>
      </c>
      <c r="G270" s="1215">
        <v>0</v>
      </c>
      <c r="H270" s="1215">
        <v>0</v>
      </c>
      <c r="I270" s="1215">
        <v>0</v>
      </c>
      <c r="J270" s="1215">
        <v>0</v>
      </c>
      <c r="K270" s="1215">
        <v>0</v>
      </c>
      <c r="L270" s="2126"/>
      <c r="M270" s="3717"/>
      <c r="N270" s="3710"/>
    </row>
    <row r="271" spans="1:15" s="196" customFormat="1" ht="15" customHeight="1" thickBot="1">
      <c r="A271" s="3988"/>
      <c r="B271" s="2089" t="s">
        <v>17</v>
      </c>
      <c r="C271" s="3828"/>
      <c r="D271" s="1489">
        <f t="shared" si="191"/>
        <v>5212325</v>
      </c>
      <c r="E271" s="1490">
        <f t="shared" ref="E271" si="192">+E272</f>
        <v>0</v>
      </c>
      <c r="F271" s="1488">
        <f t="shared" si="191"/>
        <v>0</v>
      </c>
      <c r="G271" s="1489">
        <f t="shared" si="191"/>
        <v>1780856</v>
      </c>
      <c r="H271" s="1489">
        <f t="shared" si="191"/>
        <v>1671276</v>
      </c>
      <c r="I271" s="1489">
        <f t="shared" si="191"/>
        <v>1760193</v>
      </c>
      <c r="J271" s="1490">
        <f t="shared" si="191"/>
        <v>0</v>
      </c>
      <c r="K271" s="1490">
        <f t="shared" si="191"/>
        <v>0</v>
      </c>
      <c r="L271" s="2090">
        <f>L272</f>
        <v>0</v>
      </c>
      <c r="M271" s="3717"/>
      <c r="N271" s="3710"/>
    </row>
    <row r="272" spans="1:15" s="196" customFormat="1" ht="15" customHeight="1" thickBot="1">
      <c r="A272" s="3988"/>
      <c r="B272" s="2577" t="s">
        <v>19</v>
      </c>
      <c r="C272" s="3971"/>
      <c r="D272" s="1410">
        <f>E272+L272+F272+G272+H272+I272+J272+K272</f>
        <v>5212325</v>
      </c>
      <c r="E272" s="1857">
        <v>0</v>
      </c>
      <c r="F272" s="1857">
        <f>219403-219403</f>
        <v>0</v>
      </c>
      <c r="G272" s="1433">
        <f>1561453+219403</f>
        <v>1780856</v>
      </c>
      <c r="H272" s="1433">
        <v>1671276</v>
      </c>
      <c r="I272" s="1433">
        <v>1760193</v>
      </c>
      <c r="J272" s="1857">
        <v>0</v>
      </c>
      <c r="K272" s="1857">
        <v>0</v>
      </c>
      <c r="L272" s="1434">
        <v>0</v>
      </c>
      <c r="M272" s="3718"/>
      <c r="N272" s="3711"/>
    </row>
    <row r="273" spans="1:15" s="196" customFormat="1" ht="27" customHeight="1">
      <c r="A273" s="4043" t="s">
        <v>268</v>
      </c>
      <c r="B273" s="1415" t="s">
        <v>461</v>
      </c>
      <c r="C273" s="1207" t="s">
        <v>160</v>
      </c>
      <c r="D273" s="3478"/>
      <c r="E273" s="3479"/>
      <c r="F273" s="3480"/>
      <c r="G273" s="3480"/>
      <c r="H273" s="3481"/>
      <c r="I273" s="1646"/>
      <c r="J273" s="1646"/>
      <c r="K273" s="2115"/>
      <c r="L273" s="2114"/>
      <c r="M273" s="556"/>
      <c r="N273" s="3709" t="s">
        <v>634</v>
      </c>
    </row>
    <row r="274" spans="1:15" s="196" customFormat="1" ht="15" customHeight="1">
      <c r="A274" s="4044"/>
      <c r="B274" s="1176" t="s">
        <v>9</v>
      </c>
      <c r="C274" s="1999"/>
      <c r="D274" s="1178">
        <f>D275+D277</f>
        <v>161298</v>
      </c>
      <c r="E274" s="1421">
        <f t="shared" ref="E274" si="193">E275+E277</f>
        <v>0</v>
      </c>
      <c r="F274" s="1188">
        <f>F275+F279</f>
        <v>0</v>
      </c>
      <c r="G274" s="1178">
        <f t="shared" ref="G274" si="194">G275+G279</f>
        <v>1500</v>
      </c>
      <c r="H274" s="1178">
        <f>H275+H277</f>
        <v>159798</v>
      </c>
      <c r="I274" s="1421">
        <f>I275+I277</f>
        <v>0</v>
      </c>
      <c r="J274" s="1421">
        <f t="shared" ref="J274:K274" si="195">J275+J279</f>
        <v>0</v>
      </c>
      <c r="K274" s="1421">
        <f t="shared" si="195"/>
        <v>0</v>
      </c>
      <c r="L274" s="1421">
        <f t="shared" ref="L274" si="196">+L277</f>
        <v>0</v>
      </c>
      <c r="M274" s="1179">
        <f>+M277+M275</f>
        <v>161298</v>
      </c>
      <c r="N274" s="3710"/>
    </row>
    <row r="275" spans="1:15" s="196" customFormat="1" ht="15" customHeight="1">
      <c r="A275" s="4044"/>
      <c r="B275" s="1180" t="s">
        <v>22</v>
      </c>
      <c r="C275" s="3664" t="s">
        <v>201</v>
      </c>
      <c r="D275" s="1181">
        <f>D276</f>
        <v>26745</v>
      </c>
      <c r="E275" s="1488">
        <f t="shared" ref="E275" si="197">E276</f>
        <v>0</v>
      </c>
      <c r="F275" s="1519">
        <f>F276</f>
        <v>0</v>
      </c>
      <c r="G275" s="1186">
        <f>G276</f>
        <v>1500</v>
      </c>
      <c r="H275" s="1186">
        <f t="shared" ref="H275:K275" si="198">H276</f>
        <v>25245</v>
      </c>
      <c r="I275" s="1227">
        <f t="shared" si="198"/>
        <v>0</v>
      </c>
      <c r="J275" s="1227">
        <f t="shared" si="198"/>
        <v>0</v>
      </c>
      <c r="K275" s="1227">
        <f t="shared" si="198"/>
        <v>0</v>
      </c>
      <c r="L275" s="1488">
        <f>L276</f>
        <v>0</v>
      </c>
      <c r="M275" s="1182">
        <f>M276</f>
        <v>26745</v>
      </c>
      <c r="N275" s="3710"/>
    </row>
    <row r="276" spans="1:15" s="196" customFormat="1" ht="15" customHeight="1">
      <c r="A276" s="4044"/>
      <c r="B276" s="1183" t="s">
        <v>11</v>
      </c>
      <c r="C276" s="3722"/>
      <c r="D276" s="1115">
        <f>E276+L276+F276+G276+H276+I276+J276+K276</f>
        <v>26745</v>
      </c>
      <c r="E276" s="1486">
        <v>0</v>
      </c>
      <c r="F276" s="1515">
        <v>0</v>
      </c>
      <c r="G276" s="1184">
        <v>1500</v>
      </c>
      <c r="H276" s="1184">
        <v>25245</v>
      </c>
      <c r="I276" s="1227">
        <v>0</v>
      </c>
      <c r="J276" s="1486">
        <v>0</v>
      </c>
      <c r="K276" s="1486">
        <v>0</v>
      </c>
      <c r="L276" s="1486">
        <v>0</v>
      </c>
      <c r="M276" s="1444">
        <f>SUM(G276:K276)</f>
        <v>26745</v>
      </c>
      <c r="N276" s="3710"/>
    </row>
    <row r="277" spans="1:15" s="196" customFormat="1" ht="15" customHeight="1">
      <c r="A277" s="4044"/>
      <c r="B277" s="1185" t="s">
        <v>17</v>
      </c>
      <c r="C277" s="3722"/>
      <c r="D277" s="1181">
        <f>D278</f>
        <v>134553</v>
      </c>
      <c r="E277" s="1488">
        <f t="shared" ref="E277:M277" si="199">+E278</f>
        <v>0</v>
      </c>
      <c r="F277" s="2369">
        <f>F278</f>
        <v>0</v>
      </c>
      <c r="G277" s="2369">
        <v>0</v>
      </c>
      <c r="H277" s="1186">
        <f>H278</f>
        <v>134553</v>
      </c>
      <c r="I277" s="1227">
        <v>0</v>
      </c>
      <c r="J277" s="1227">
        <v>0</v>
      </c>
      <c r="K277" s="1227">
        <v>0</v>
      </c>
      <c r="L277" s="1488">
        <v>0</v>
      </c>
      <c r="M277" s="1182">
        <f t="shared" si="199"/>
        <v>134553</v>
      </c>
      <c r="N277" s="3710"/>
      <c r="O277" s="172" t="s">
        <v>366</v>
      </c>
    </row>
    <row r="278" spans="1:15" s="196" customFormat="1" ht="15" customHeight="1">
      <c r="A278" s="4044"/>
      <c r="B278" s="2544" t="s">
        <v>19</v>
      </c>
      <c r="C278" s="3789"/>
      <c r="D278" s="1115">
        <f>E278+L278+F278+G278+H278+I278+J278+K278</f>
        <v>134553</v>
      </c>
      <c r="E278" s="1486">
        <v>0</v>
      </c>
      <c r="F278" s="2370">
        <v>0</v>
      </c>
      <c r="G278" s="2370">
        <v>0</v>
      </c>
      <c r="H278" s="1184">
        <v>134553</v>
      </c>
      <c r="I278" s="1486">
        <v>0</v>
      </c>
      <c r="J278" s="1486">
        <v>0</v>
      </c>
      <c r="K278" s="1486">
        <v>0</v>
      </c>
      <c r="L278" s="1486">
        <v>0</v>
      </c>
      <c r="M278" s="1444">
        <f>SUM(G278:K278)</f>
        <v>134553</v>
      </c>
      <c r="N278" s="3710"/>
    </row>
    <row r="279" spans="1:15" s="196" customFormat="1" ht="15" customHeight="1">
      <c r="A279" s="4044"/>
      <c r="B279" s="1176" t="s">
        <v>20</v>
      </c>
      <c r="C279" s="1999"/>
      <c r="D279" s="1178">
        <f t="shared" ref="D279:K280" si="200">D280</f>
        <v>134553</v>
      </c>
      <c r="E279" s="1421">
        <f t="shared" ref="E279" si="201">+E282</f>
        <v>0</v>
      </c>
      <c r="F279" s="1511">
        <f t="shared" si="200"/>
        <v>0</v>
      </c>
      <c r="G279" s="1511">
        <f t="shared" si="200"/>
        <v>0</v>
      </c>
      <c r="H279" s="1511">
        <f t="shared" si="200"/>
        <v>0</v>
      </c>
      <c r="I279" s="1178">
        <f t="shared" si="200"/>
        <v>134553</v>
      </c>
      <c r="J279" s="1421">
        <f t="shared" si="200"/>
        <v>0</v>
      </c>
      <c r="K279" s="1421">
        <f t="shared" si="200"/>
        <v>0</v>
      </c>
      <c r="L279" s="1421">
        <f>L280</f>
        <v>0</v>
      </c>
      <c r="M279" s="3757" t="s">
        <v>52</v>
      </c>
      <c r="N279" s="3966" t="s">
        <v>282</v>
      </c>
    </row>
    <row r="280" spans="1:15" s="196" customFormat="1" ht="15" customHeight="1">
      <c r="A280" s="4044"/>
      <c r="B280" s="1185" t="s">
        <v>17</v>
      </c>
      <c r="C280" s="3759" t="s">
        <v>201</v>
      </c>
      <c r="D280" s="1187">
        <f t="shared" si="200"/>
        <v>134553</v>
      </c>
      <c r="E280" s="1488">
        <f t="shared" si="200"/>
        <v>0</v>
      </c>
      <c r="F280" s="1512">
        <f t="shared" si="200"/>
        <v>0</v>
      </c>
      <c r="G280" s="1512">
        <f t="shared" si="200"/>
        <v>0</v>
      </c>
      <c r="H280" s="1512">
        <f t="shared" si="200"/>
        <v>0</v>
      </c>
      <c r="I280" s="1187">
        <f t="shared" si="200"/>
        <v>134553</v>
      </c>
      <c r="J280" s="1227">
        <f t="shared" si="200"/>
        <v>0</v>
      </c>
      <c r="K280" s="1227">
        <f t="shared" si="200"/>
        <v>0</v>
      </c>
      <c r="L280" s="1227">
        <f>L281</f>
        <v>0</v>
      </c>
      <c r="M280" s="3717"/>
      <c r="N280" s="3710"/>
    </row>
    <row r="281" spans="1:15" s="196" customFormat="1" ht="15" customHeight="1" thickBot="1">
      <c r="A281" s="4045"/>
      <c r="B281" s="2443" t="s">
        <v>19</v>
      </c>
      <c r="C281" s="3666"/>
      <c r="D281" s="1636">
        <f>E281+L281+F281+G281+H281+I281+J281+K281</f>
        <v>134553</v>
      </c>
      <c r="E281" s="1857">
        <v>0</v>
      </c>
      <c r="F281" s="1513">
        <v>0</v>
      </c>
      <c r="G281" s="1513">
        <v>0</v>
      </c>
      <c r="H281" s="1513">
        <v>0</v>
      </c>
      <c r="I281" s="1433">
        <v>134553</v>
      </c>
      <c r="J281" s="1857">
        <v>0</v>
      </c>
      <c r="K281" s="1857">
        <v>0</v>
      </c>
      <c r="L281" s="1434">
        <v>0</v>
      </c>
      <c r="M281" s="3718"/>
      <c r="N281" s="3711"/>
    </row>
    <row r="282" spans="1:15" s="196" customFormat="1" ht="36.75" customHeight="1">
      <c r="A282" s="4042" t="s">
        <v>207</v>
      </c>
      <c r="B282" s="1415" t="s">
        <v>460</v>
      </c>
      <c r="C282" s="1207" t="s">
        <v>72</v>
      </c>
      <c r="D282" s="554"/>
      <c r="E282" s="2120"/>
      <c r="F282" s="2114"/>
      <c r="G282" s="2114"/>
      <c r="H282" s="1646"/>
      <c r="I282" s="1646"/>
      <c r="J282" s="1646"/>
      <c r="K282" s="2115"/>
      <c r="L282" s="2114"/>
      <c r="M282" s="556"/>
      <c r="N282" s="3709" t="s">
        <v>634</v>
      </c>
    </row>
    <row r="283" spans="1:15" s="196" customFormat="1" ht="15" customHeight="1">
      <c r="A283" s="3803"/>
      <c r="B283" s="1176" t="s">
        <v>9</v>
      </c>
      <c r="C283" s="1999"/>
      <c r="D283" s="1178">
        <f>D284+D287</f>
        <v>7217997</v>
      </c>
      <c r="E283" s="1178">
        <f t="shared" ref="E283" si="202">E284+E287</f>
        <v>191980</v>
      </c>
      <c r="F283" s="1188">
        <f>+F287+F284</f>
        <v>0</v>
      </c>
      <c r="G283" s="1178">
        <f>+G287+G284</f>
        <v>4414172</v>
      </c>
      <c r="H283" s="1178">
        <f t="shared" ref="H283:K283" si="203">+H287+H284</f>
        <v>2611845</v>
      </c>
      <c r="I283" s="1421">
        <f t="shared" si="203"/>
        <v>0</v>
      </c>
      <c r="J283" s="1421">
        <f t="shared" si="203"/>
        <v>0</v>
      </c>
      <c r="K283" s="1421">
        <f t="shared" si="203"/>
        <v>0</v>
      </c>
      <c r="L283" s="1514">
        <f>L284</f>
        <v>0</v>
      </c>
      <c r="M283" s="1179">
        <f>+M287+M284</f>
        <v>7026017</v>
      </c>
      <c r="N283" s="3710"/>
    </row>
    <row r="284" spans="1:15" s="196" customFormat="1" ht="15" customHeight="1">
      <c r="A284" s="3803"/>
      <c r="B284" s="1180" t="s">
        <v>22</v>
      </c>
      <c r="C284" s="3664" t="s">
        <v>201</v>
      </c>
      <c r="D284" s="1181">
        <f>D285+D286</f>
        <v>1203400</v>
      </c>
      <c r="E284" s="1181">
        <f t="shared" ref="E284:K284" si="204">E285+E286</f>
        <v>149497</v>
      </c>
      <c r="F284" s="1189">
        <f t="shared" si="204"/>
        <v>0</v>
      </c>
      <c r="G284" s="1181">
        <f t="shared" si="204"/>
        <v>662126</v>
      </c>
      <c r="H284" s="1181">
        <f t="shared" si="204"/>
        <v>391777</v>
      </c>
      <c r="I284" s="1486">
        <f t="shared" si="204"/>
        <v>0</v>
      </c>
      <c r="J284" s="1486">
        <f t="shared" si="204"/>
        <v>0</v>
      </c>
      <c r="K284" s="1486">
        <f t="shared" si="204"/>
        <v>0</v>
      </c>
      <c r="L284" s="1189">
        <f>L285+L286</f>
        <v>0</v>
      </c>
      <c r="M284" s="1182">
        <f>M285</f>
        <v>1053903</v>
      </c>
      <c r="N284" s="3710"/>
    </row>
    <row r="285" spans="1:15" s="196" customFormat="1" ht="15" customHeight="1">
      <c r="A285" s="3803"/>
      <c r="B285" s="1183" t="s">
        <v>11</v>
      </c>
      <c r="C285" s="3722"/>
      <c r="D285" s="1115">
        <f>E285+L285+F285+G285+H285+I285+J285+K285</f>
        <v>1083400</v>
      </c>
      <c r="E285" s="1115">
        <v>29497</v>
      </c>
      <c r="F285" s="1515">
        <v>0</v>
      </c>
      <c r="G285" s="1184">
        <v>662126</v>
      </c>
      <c r="H285" s="1184">
        <v>391777</v>
      </c>
      <c r="I285" s="1486">
        <v>0</v>
      </c>
      <c r="J285" s="1486">
        <v>0</v>
      </c>
      <c r="K285" s="1486">
        <v>0</v>
      </c>
      <c r="L285" s="1487">
        <v>0</v>
      </c>
      <c r="M285" s="1444">
        <f>SUM(G285:K285)</f>
        <v>1053903</v>
      </c>
      <c r="N285" s="3710"/>
    </row>
    <row r="286" spans="1:15" s="196" customFormat="1" ht="15" customHeight="1">
      <c r="A286" s="3803"/>
      <c r="B286" s="1183" t="s">
        <v>14</v>
      </c>
      <c r="C286" s="3722"/>
      <c r="D286" s="1516">
        <f>E286+L286+F286+G286+H286+I286+J286+K286</f>
        <v>120000</v>
      </c>
      <c r="E286" s="1517">
        <v>120000</v>
      </c>
      <c r="F286" s="1487">
        <v>0</v>
      </c>
      <c r="G286" s="1487">
        <v>0</v>
      </c>
      <c r="H286" s="1487">
        <v>0</v>
      </c>
      <c r="I286" s="1487">
        <v>0</v>
      </c>
      <c r="J286" s="1487">
        <v>0</v>
      </c>
      <c r="K286" s="1487">
        <v>0</v>
      </c>
      <c r="L286" s="1487">
        <v>0</v>
      </c>
      <c r="M286" s="1444">
        <f>SUM(G286:K286)</f>
        <v>0</v>
      </c>
      <c r="N286" s="3710"/>
      <c r="O286" s="172" t="s">
        <v>366</v>
      </c>
    </row>
    <row r="287" spans="1:15" s="196" customFormat="1" ht="15" customHeight="1">
      <c r="A287" s="3803"/>
      <c r="B287" s="1185" t="s">
        <v>17</v>
      </c>
      <c r="C287" s="3722"/>
      <c r="D287" s="1181">
        <f>D288</f>
        <v>6014597</v>
      </c>
      <c r="E287" s="1485">
        <f t="shared" ref="E287:M287" si="205">+E288</f>
        <v>42483</v>
      </c>
      <c r="F287" s="1519">
        <f>F288</f>
        <v>0</v>
      </c>
      <c r="G287" s="1186">
        <f t="shared" ref="G287:K287" si="206">G288</f>
        <v>3752046</v>
      </c>
      <c r="H287" s="1186">
        <f t="shared" si="206"/>
        <v>2220068</v>
      </c>
      <c r="I287" s="1488">
        <f t="shared" si="206"/>
        <v>0</v>
      </c>
      <c r="J287" s="1488">
        <f t="shared" si="206"/>
        <v>0</v>
      </c>
      <c r="K287" s="1488">
        <f t="shared" si="206"/>
        <v>0</v>
      </c>
      <c r="L287" s="1518">
        <v>0</v>
      </c>
      <c r="M287" s="1182">
        <f t="shared" si="205"/>
        <v>5972114</v>
      </c>
      <c r="N287" s="3710"/>
    </row>
    <row r="288" spans="1:15" s="196" customFormat="1" ht="15" customHeight="1">
      <c r="A288" s="3803"/>
      <c r="B288" s="2544" t="s">
        <v>19</v>
      </c>
      <c r="C288" s="3789"/>
      <c r="D288" s="1115">
        <f>SUM(E288:K288)</f>
        <v>6014597</v>
      </c>
      <c r="E288" s="1115">
        <v>42483</v>
      </c>
      <c r="F288" s="1515">
        <v>0</v>
      </c>
      <c r="G288" s="1184">
        <v>3752046</v>
      </c>
      <c r="H288" s="1184">
        <v>2220068</v>
      </c>
      <c r="I288" s="1487">
        <v>0</v>
      </c>
      <c r="J288" s="1487">
        <v>0</v>
      </c>
      <c r="K288" s="1487">
        <v>0</v>
      </c>
      <c r="L288" s="1487">
        <v>0</v>
      </c>
      <c r="M288" s="1444">
        <f>SUM(G288:K288)</f>
        <v>5972114</v>
      </c>
      <c r="N288" s="3967"/>
    </row>
    <row r="289" spans="1:14" s="196" customFormat="1" ht="15" customHeight="1">
      <c r="A289" s="3803"/>
      <c r="B289" s="1176" t="s">
        <v>20</v>
      </c>
      <c r="C289" s="1999"/>
      <c r="D289" s="1178">
        <f>D292+D290</f>
        <v>6134597</v>
      </c>
      <c r="E289" s="1520">
        <f t="shared" ref="E289:K289" si="207">E292+E290</f>
        <v>120000</v>
      </c>
      <c r="F289" s="1188">
        <f t="shared" si="207"/>
        <v>0</v>
      </c>
      <c r="G289" s="1178">
        <f t="shared" si="207"/>
        <v>237555</v>
      </c>
      <c r="H289" s="1178">
        <f t="shared" si="207"/>
        <v>4513210</v>
      </c>
      <c r="I289" s="1178">
        <f t="shared" si="207"/>
        <v>1263832</v>
      </c>
      <c r="J289" s="1421">
        <f t="shared" si="207"/>
        <v>0</v>
      </c>
      <c r="K289" s="1421">
        <f t="shared" si="207"/>
        <v>0</v>
      </c>
      <c r="L289" s="1188">
        <f>L292+L290</f>
        <v>0</v>
      </c>
      <c r="M289" s="3757" t="s">
        <v>52</v>
      </c>
      <c r="N289" s="3710" t="s">
        <v>282</v>
      </c>
    </row>
    <row r="290" spans="1:14" s="196" customFormat="1" ht="15" customHeight="1">
      <c r="A290" s="3803"/>
      <c r="B290" s="1185" t="s">
        <v>395</v>
      </c>
      <c r="C290" s="3759" t="s">
        <v>201</v>
      </c>
      <c r="D290" s="1187">
        <f t="shared" ref="D290:K292" si="208">D291</f>
        <v>120000</v>
      </c>
      <c r="E290" s="1521">
        <f t="shared" ref="E290:E292" si="209">+E291</f>
        <v>120000</v>
      </c>
      <c r="F290" s="1518">
        <f t="shared" si="208"/>
        <v>0</v>
      </c>
      <c r="G290" s="1488">
        <f t="shared" si="208"/>
        <v>0</v>
      </c>
      <c r="H290" s="1488">
        <f t="shared" si="208"/>
        <v>0</v>
      </c>
      <c r="I290" s="1488">
        <f t="shared" si="208"/>
        <v>0</v>
      </c>
      <c r="J290" s="1488">
        <f t="shared" si="208"/>
        <v>0</v>
      </c>
      <c r="K290" s="1488">
        <f t="shared" si="208"/>
        <v>0</v>
      </c>
      <c r="L290" s="1522">
        <f>L291</f>
        <v>0</v>
      </c>
      <c r="M290" s="3717"/>
      <c r="N290" s="3710"/>
    </row>
    <row r="291" spans="1:14" s="196" customFormat="1" ht="15" customHeight="1">
      <c r="A291" s="3803"/>
      <c r="B291" s="2572" t="s">
        <v>14</v>
      </c>
      <c r="C291" s="3828"/>
      <c r="D291" s="1155">
        <f>E291+L291+F291+G291+H291+I291+J291+K291</f>
        <v>120000</v>
      </c>
      <c r="E291" s="1523">
        <v>120000</v>
      </c>
      <c r="F291" s="1525">
        <v>0</v>
      </c>
      <c r="G291" s="1215">
        <v>0</v>
      </c>
      <c r="H291" s="1215">
        <v>0</v>
      </c>
      <c r="I291" s="1215">
        <v>0</v>
      </c>
      <c r="J291" s="1215">
        <v>0</v>
      </c>
      <c r="K291" s="1215">
        <v>0</v>
      </c>
      <c r="L291" s="1524">
        <v>0</v>
      </c>
      <c r="M291" s="3717"/>
      <c r="N291" s="3710"/>
    </row>
    <row r="292" spans="1:14" s="196" customFormat="1" ht="15" customHeight="1">
      <c r="A292" s="3803"/>
      <c r="B292" s="1526" t="s">
        <v>17</v>
      </c>
      <c r="C292" s="3828"/>
      <c r="D292" s="1489">
        <f t="shared" si="208"/>
        <v>6014597</v>
      </c>
      <c r="E292" s="1490">
        <f t="shared" si="209"/>
        <v>0</v>
      </c>
      <c r="F292" s="1528">
        <f t="shared" si="208"/>
        <v>0</v>
      </c>
      <c r="G292" s="1489">
        <f t="shared" si="208"/>
        <v>237555</v>
      </c>
      <c r="H292" s="1489">
        <f t="shared" si="208"/>
        <v>4513210</v>
      </c>
      <c r="I292" s="1489">
        <f t="shared" si="208"/>
        <v>1263832</v>
      </c>
      <c r="J292" s="1490">
        <f t="shared" si="208"/>
        <v>0</v>
      </c>
      <c r="K292" s="1490">
        <f t="shared" si="208"/>
        <v>0</v>
      </c>
      <c r="L292" s="1527">
        <f>L293</f>
        <v>0</v>
      </c>
      <c r="M292" s="3717"/>
      <c r="N292" s="3710"/>
    </row>
    <row r="293" spans="1:14" s="196" customFormat="1" ht="15" customHeight="1" thickBot="1">
      <c r="A293" s="3802"/>
      <c r="B293" s="2443" t="s">
        <v>19</v>
      </c>
      <c r="C293" s="3971"/>
      <c r="D293" s="1636">
        <f>E293+L293+F293+G293+H293+I293+J293+K293</f>
        <v>6014597</v>
      </c>
      <c r="E293" s="1857">
        <v>0</v>
      </c>
      <c r="F293" s="1530">
        <v>0</v>
      </c>
      <c r="G293" s="1433">
        <v>237555</v>
      </c>
      <c r="H293" s="1433">
        <v>4513210</v>
      </c>
      <c r="I293" s="1433">
        <v>1263832</v>
      </c>
      <c r="J293" s="1857">
        <v>0</v>
      </c>
      <c r="K293" s="1857">
        <v>0</v>
      </c>
      <c r="L293" s="1529">
        <v>0</v>
      </c>
      <c r="M293" s="3718"/>
      <c r="N293" s="3711"/>
    </row>
    <row r="294" spans="1:14" ht="23.25" customHeight="1" thickBot="1">
      <c r="A294" s="164" t="s">
        <v>161</v>
      </c>
      <c r="B294" s="559"/>
      <c r="C294" s="559"/>
      <c r="D294" s="559"/>
      <c r="E294" s="559"/>
      <c r="F294" s="559"/>
      <c r="G294" s="559"/>
      <c r="H294" s="559"/>
      <c r="I294" s="559"/>
      <c r="J294" s="559"/>
      <c r="K294" s="559"/>
      <c r="L294" s="559"/>
      <c r="M294" s="560"/>
      <c r="N294" s="561"/>
    </row>
    <row r="295" spans="1:14" ht="12.75" customHeight="1" thickBot="1">
      <c r="A295" s="562"/>
      <c r="B295" s="178" t="s">
        <v>67</v>
      </c>
      <c r="C295" s="366"/>
      <c r="D295" s="180">
        <f>+D296+D297</f>
        <v>16198501</v>
      </c>
      <c r="E295" s="180">
        <f t="shared" ref="E295" si="210">+E296+E297</f>
        <v>10342800</v>
      </c>
      <c r="F295" s="180">
        <f t="shared" ref="F295:M295" si="211">+F296+F297</f>
        <v>2647000</v>
      </c>
      <c r="G295" s="180">
        <f t="shared" si="211"/>
        <v>2788899</v>
      </c>
      <c r="H295" s="180">
        <f t="shared" si="211"/>
        <v>83899</v>
      </c>
      <c r="I295" s="180">
        <f t="shared" si="211"/>
        <v>97429</v>
      </c>
      <c r="J295" s="180">
        <f t="shared" si="211"/>
        <v>113579</v>
      </c>
      <c r="K295" s="180">
        <f t="shared" si="211"/>
        <v>124895</v>
      </c>
      <c r="L295" s="180">
        <f>+L296+L297</f>
        <v>0</v>
      </c>
      <c r="M295" s="12">
        <f t="shared" si="211"/>
        <v>3208701</v>
      </c>
      <c r="N295" s="3961"/>
    </row>
    <row r="296" spans="1:14" ht="12" customHeight="1" thickBot="1">
      <c r="A296" s="474"/>
      <c r="B296" s="181" t="s">
        <v>68</v>
      </c>
      <c r="C296" s="183"/>
      <c r="D296" s="183">
        <f>D307+D311</f>
        <v>16198501</v>
      </c>
      <c r="E296" s="183">
        <f t="shared" ref="E296:K296" si="212">E307+E311</f>
        <v>10342800</v>
      </c>
      <c r="F296" s="183">
        <f t="shared" si="212"/>
        <v>2647000</v>
      </c>
      <c r="G296" s="183">
        <f t="shared" si="212"/>
        <v>2788899</v>
      </c>
      <c r="H296" s="183">
        <f t="shared" si="212"/>
        <v>83899</v>
      </c>
      <c r="I296" s="183">
        <f t="shared" si="212"/>
        <v>97429</v>
      </c>
      <c r="J296" s="183">
        <f t="shared" si="212"/>
        <v>113579</v>
      </c>
      <c r="K296" s="183">
        <f t="shared" si="212"/>
        <v>124895</v>
      </c>
      <c r="L296" s="183">
        <f>L307+L311</f>
        <v>0</v>
      </c>
      <c r="M296" s="14">
        <f>SUM(G296:K296)</f>
        <v>3208701</v>
      </c>
      <c r="N296" s="3961"/>
    </row>
    <row r="297" spans="1:14" ht="14.25" hidden="1" customHeight="1" thickBot="1">
      <c r="A297" s="474"/>
      <c r="B297" s="563" t="s">
        <v>8</v>
      </c>
      <c r="C297" s="549"/>
      <c r="D297" s="549">
        <v>0</v>
      </c>
      <c r="E297" s="549">
        <v>0</v>
      </c>
      <c r="F297" s="549">
        <v>0</v>
      </c>
      <c r="G297" s="549">
        <v>0</v>
      </c>
      <c r="H297" s="549">
        <f>+H307</f>
        <v>0</v>
      </c>
      <c r="I297" s="549">
        <f>+I307</f>
        <v>0</v>
      </c>
      <c r="J297" s="549">
        <f>+J307</f>
        <v>0</v>
      </c>
      <c r="K297" s="549">
        <f>+K307</f>
        <v>0</v>
      </c>
      <c r="L297" s="549">
        <v>0</v>
      </c>
      <c r="M297" s="125">
        <f>SUM(F297:K297)</f>
        <v>0</v>
      </c>
      <c r="N297" s="3961"/>
    </row>
    <row r="298" spans="1:14" ht="16.5" customHeight="1" thickBot="1">
      <c r="A298" s="304"/>
      <c r="B298" s="154" t="s">
        <v>9</v>
      </c>
      <c r="C298" s="2648"/>
      <c r="D298" s="129">
        <f t="shared" ref="D298:K298" si="213">+D299</f>
        <v>16198501</v>
      </c>
      <c r="E298" s="129">
        <f t="shared" si="213"/>
        <v>10342800</v>
      </c>
      <c r="F298" s="129">
        <f t="shared" si="213"/>
        <v>2647000</v>
      </c>
      <c r="G298" s="129">
        <f t="shared" si="213"/>
        <v>2788899</v>
      </c>
      <c r="H298" s="129">
        <f t="shared" si="213"/>
        <v>83899</v>
      </c>
      <c r="I298" s="129">
        <f t="shared" si="213"/>
        <v>97429</v>
      </c>
      <c r="J298" s="129">
        <f t="shared" si="213"/>
        <v>113579</v>
      </c>
      <c r="K298" s="129">
        <f t="shared" si="213"/>
        <v>124895</v>
      </c>
      <c r="L298" s="129">
        <f>+L299</f>
        <v>0</v>
      </c>
      <c r="M298" s="2649">
        <f>+M299</f>
        <v>3208701</v>
      </c>
      <c r="N298" s="3961"/>
    </row>
    <row r="299" spans="1:14" ht="15" customHeight="1" thickBot="1">
      <c r="A299" s="168"/>
      <c r="B299" s="1835" t="s">
        <v>10</v>
      </c>
      <c r="C299" s="4036" t="s">
        <v>52</v>
      </c>
      <c r="D299" s="1863">
        <f>+D302+D300</f>
        <v>16198501</v>
      </c>
      <c r="E299" s="1863">
        <f t="shared" ref="E299:K299" si="214">+E302+E300</f>
        <v>10342800</v>
      </c>
      <c r="F299" s="1863">
        <f t="shared" si="214"/>
        <v>2647000</v>
      </c>
      <c r="G299" s="1863">
        <f t="shared" si="214"/>
        <v>2788899</v>
      </c>
      <c r="H299" s="1863">
        <f t="shared" si="214"/>
        <v>83899</v>
      </c>
      <c r="I299" s="1863">
        <f t="shared" si="214"/>
        <v>97429</v>
      </c>
      <c r="J299" s="1863">
        <f t="shared" si="214"/>
        <v>113579</v>
      </c>
      <c r="K299" s="1863">
        <f t="shared" si="214"/>
        <v>124895</v>
      </c>
      <c r="L299" s="1863">
        <f>+L302+L300</f>
        <v>0</v>
      </c>
      <c r="M299" s="1864">
        <f>+M300+M301+M302</f>
        <v>3208701</v>
      </c>
      <c r="N299" s="3961"/>
    </row>
    <row r="300" spans="1:14" s="925" customFormat="1" ht="15" customHeight="1" thickBot="1">
      <c r="A300" s="168"/>
      <c r="B300" s="1860" t="s">
        <v>11</v>
      </c>
      <c r="C300" s="4037"/>
      <c r="D300" s="1861">
        <f>D313</f>
        <v>503701</v>
      </c>
      <c r="E300" s="1862">
        <f t="shared" ref="E300:K300" si="215">E313</f>
        <v>0</v>
      </c>
      <c r="F300" s="1862">
        <f t="shared" si="215"/>
        <v>0</v>
      </c>
      <c r="G300" s="1862">
        <f t="shared" si="215"/>
        <v>83899</v>
      </c>
      <c r="H300" s="1862">
        <f t="shared" si="215"/>
        <v>83899</v>
      </c>
      <c r="I300" s="1862">
        <f t="shared" si="215"/>
        <v>97429</v>
      </c>
      <c r="J300" s="1862">
        <f t="shared" si="215"/>
        <v>113579</v>
      </c>
      <c r="K300" s="1862">
        <f t="shared" si="215"/>
        <v>124895</v>
      </c>
      <c r="L300" s="1862">
        <f>L313</f>
        <v>0</v>
      </c>
      <c r="M300" s="1444">
        <f>SUM(G300:K300)</f>
        <v>503701</v>
      </c>
      <c r="N300" s="3961"/>
    </row>
    <row r="301" spans="1:14" ht="13.5" hidden="1" customHeight="1" thickBot="1">
      <c r="A301" s="168"/>
      <c r="B301" s="1858" t="s">
        <v>53</v>
      </c>
      <c r="C301" s="4037"/>
      <c r="D301" s="2371">
        <f t="shared" ref="D301:L301" si="216">D317</f>
        <v>0</v>
      </c>
      <c r="E301" s="1484">
        <f t="shared" si="216"/>
        <v>0</v>
      </c>
      <c r="F301" s="1484">
        <f t="shared" si="216"/>
        <v>0</v>
      </c>
      <c r="G301" s="1484">
        <f t="shared" si="216"/>
        <v>0</v>
      </c>
      <c r="H301" s="1484">
        <f t="shared" si="216"/>
        <v>0</v>
      </c>
      <c r="I301" s="1484">
        <f t="shared" si="216"/>
        <v>0</v>
      </c>
      <c r="J301" s="1484">
        <f t="shared" si="216"/>
        <v>0</v>
      </c>
      <c r="K301" s="1484">
        <f t="shared" si="216"/>
        <v>0</v>
      </c>
      <c r="L301" s="1484">
        <f t="shared" si="216"/>
        <v>0</v>
      </c>
      <c r="M301" s="1444">
        <f>SUM(F301:K301)</f>
        <v>0</v>
      </c>
      <c r="N301" s="3961"/>
    </row>
    <row r="302" spans="1:14" ht="15.75" customHeight="1" thickBot="1">
      <c r="A302" s="1855"/>
      <c r="B302" s="22" t="s">
        <v>164</v>
      </c>
      <c r="C302" s="4037"/>
      <c r="D302" s="1859">
        <f t="shared" ref="D302:E302" si="217">+D309+D317</f>
        <v>15694800</v>
      </c>
      <c r="E302" s="1859">
        <f t="shared" si="217"/>
        <v>10342800</v>
      </c>
      <c r="F302" s="1859">
        <f t="shared" ref="F302:H302" si="218">+F309</f>
        <v>2647000</v>
      </c>
      <c r="G302" s="1859">
        <f t="shared" si="218"/>
        <v>2705000</v>
      </c>
      <c r="H302" s="1859">
        <f t="shared" si="218"/>
        <v>0</v>
      </c>
      <c r="I302" s="1859">
        <f>+I309</f>
        <v>0</v>
      </c>
      <c r="J302" s="1859">
        <f>+J309</f>
        <v>0</v>
      </c>
      <c r="K302" s="1859">
        <f>+K309</f>
        <v>0</v>
      </c>
      <c r="L302" s="1859">
        <f>+L309</f>
        <v>0</v>
      </c>
      <c r="M302" s="1444">
        <f>SUM(G302:K302)</f>
        <v>2705000</v>
      </c>
      <c r="N302" s="3961"/>
    </row>
    <row r="303" spans="1:14" ht="18.75" hidden="1" customHeight="1">
      <c r="A303" s="1856"/>
      <c r="B303" s="1848" t="s">
        <v>20</v>
      </c>
      <c r="C303" s="1849"/>
      <c r="D303" s="1850">
        <f t="shared" ref="D303:H304" si="219">D304</f>
        <v>0</v>
      </c>
      <c r="E303" s="1850">
        <f t="shared" si="219"/>
        <v>0</v>
      </c>
      <c r="F303" s="1850">
        <f t="shared" si="219"/>
        <v>0</v>
      </c>
      <c r="G303" s="1850">
        <f t="shared" si="219"/>
        <v>0</v>
      </c>
      <c r="H303" s="1850">
        <f t="shared" si="219"/>
        <v>0</v>
      </c>
      <c r="I303" s="1850">
        <f t="shared" ref="I303:K304" si="220">I304</f>
        <v>0</v>
      </c>
      <c r="J303" s="1850">
        <f t="shared" si="220"/>
        <v>0</v>
      </c>
      <c r="K303" s="1850">
        <f t="shared" si="220"/>
        <v>0</v>
      </c>
      <c r="L303" s="1850" t="e">
        <f>L304</f>
        <v>#REF!</v>
      </c>
      <c r="M303" s="3702" t="s">
        <v>52</v>
      </c>
      <c r="N303" s="3961"/>
    </row>
    <row r="304" spans="1:14" ht="13.5" hidden="1" customHeight="1">
      <c r="A304" s="1856"/>
      <c r="B304" s="1851" t="s">
        <v>10</v>
      </c>
      <c r="C304" s="1852"/>
      <c r="D304" s="1853">
        <f t="shared" si="219"/>
        <v>0</v>
      </c>
      <c r="E304" s="1853">
        <f t="shared" si="219"/>
        <v>0</v>
      </c>
      <c r="F304" s="1853">
        <f t="shared" si="219"/>
        <v>0</v>
      </c>
      <c r="G304" s="1853">
        <f t="shared" si="219"/>
        <v>0</v>
      </c>
      <c r="H304" s="1853">
        <f t="shared" si="219"/>
        <v>0</v>
      </c>
      <c r="I304" s="1853">
        <f t="shared" si="220"/>
        <v>0</v>
      </c>
      <c r="J304" s="1853">
        <f t="shared" si="220"/>
        <v>0</v>
      </c>
      <c r="K304" s="1853">
        <f t="shared" si="220"/>
        <v>0</v>
      </c>
      <c r="L304" s="1853" t="e">
        <f>L305</f>
        <v>#REF!</v>
      </c>
      <c r="M304" s="3702"/>
      <c r="N304" s="3961"/>
    </row>
    <row r="305" spans="1:16" ht="13.5" hidden="1" customHeight="1" thickBot="1">
      <c r="A305" s="1856"/>
      <c r="B305" s="1854" t="s">
        <v>53</v>
      </c>
      <c r="C305" s="1852"/>
      <c r="D305" s="1846"/>
      <c r="E305" s="1847">
        <f t="shared" ref="E305:F305" si="221">E319+E337+E344+E351+E358+E328+E365+E372+E379+E386</f>
        <v>0</v>
      </c>
      <c r="F305" s="1847">
        <f t="shared" si="221"/>
        <v>0</v>
      </c>
      <c r="G305" s="1847">
        <f>G320</f>
        <v>0</v>
      </c>
      <c r="H305" s="1847">
        <f>H320</f>
        <v>0</v>
      </c>
      <c r="I305" s="1847">
        <f>I320</f>
        <v>0</v>
      </c>
      <c r="J305" s="1847">
        <f>J320</f>
        <v>0</v>
      </c>
      <c r="K305" s="1847">
        <f>K320</f>
        <v>0</v>
      </c>
      <c r="L305" s="1847" t="e">
        <f>#REF!+#REF!+#REF!+#REF!+#REF!+L328+#REF!+#REF!+#REF!+#REF!</f>
        <v>#REF!</v>
      </c>
      <c r="M305" s="3702"/>
      <c r="N305" s="3961"/>
    </row>
    <row r="306" spans="1:16" ht="36.75" customHeight="1" thickBot="1">
      <c r="A306" s="4033" t="s">
        <v>54</v>
      </c>
      <c r="B306" s="157" t="s">
        <v>290</v>
      </c>
      <c r="C306" s="1645" t="s">
        <v>160</v>
      </c>
      <c r="D306" s="554"/>
      <c r="E306" s="1646"/>
      <c r="F306" s="2114"/>
      <c r="G306" s="2114"/>
      <c r="H306" s="1646"/>
      <c r="I306" s="1646"/>
      <c r="J306" s="1646"/>
      <c r="K306" s="2115"/>
      <c r="L306" s="2114"/>
      <c r="M306" s="556"/>
      <c r="N306" s="3980" t="s">
        <v>162</v>
      </c>
    </row>
    <row r="307" spans="1:16" ht="15.75" customHeight="1" thickBot="1">
      <c r="A307" s="4033"/>
      <c r="B307" s="1722" t="s">
        <v>9</v>
      </c>
      <c r="C307" s="1999"/>
      <c r="D307" s="1178">
        <f t="shared" ref="D307:M308" si="222">+D308</f>
        <v>15694800</v>
      </c>
      <c r="E307" s="1178">
        <f t="shared" si="222"/>
        <v>10342800</v>
      </c>
      <c r="F307" s="1178">
        <f t="shared" si="222"/>
        <v>2647000</v>
      </c>
      <c r="G307" s="1178">
        <f t="shared" si="222"/>
        <v>2705000</v>
      </c>
      <c r="H307" s="1178">
        <f t="shared" si="222"/>
        <v>0</v>
      </c>
      <c r="I307" s="1178">
        <f t="shared" si="222"/>
        <v>0</v>
      </c>
      <c r="J307" s="1178">
        <f t="shared" si="222"/>
        <v>0</v>
      </c>
      <c r="K307" s="1178">
        <f t="shared" si="222"/>
        <v>0</v>
      </c>
      <c r="L307" s="1178">
        <f>+L308</f>
        <v>0</v>
      </c>
      <c r="M307" s="1229">
        <f t="shared" si="222"/>
        <v>2705000</v>
      </c>
      <c r="N307" s="3980"/>
    </row>
    <row r="308" spans="1:16" ht="15" customHeight="1" thickBot="1">
      <c r="A308" s="4033"/>
      <c r="B308" s="1180" t="s">
        <v>22</v>
      </c>
      <c r="C308" s="3664" t="s">
        <v>163</v>
      </c>
      <c r="D308" s="1485">
        <f t="shared" si="222"/>
        <v>15694800</v>
      </c>
      <c r="E308" s="1485">
        <f t="shared" si="222"/>
        <v>10342800</v>
      </c>
      <c r="F308" s="1186">
        <f t="shared" ref="F308:G308" si="223">F309</f>
        <v>2647000</v>
      </c>
      <c r="G308" s="1186">
        <f t="shared" si="223"/>
        <v>2705000</v>
      </c>
      <c r="H308" s="1186">
        <v>0</v>
      </c>
      <c r="I308" s="1186">
        <v>0</v>
      </c>
      <c r="J308" s="1186">
        <v>0</v>
      </c>
      <c r="K308" s="1186">
        <v>0</v>
      </c>
      <c r="L308" s="1186">
        <f>L309</f>
        <v>0</v>
      </c>
      <c r="M308" s="1182">
        <f t="shared" si="222"/>
        <v>2705000</v>
      </c>
      <c r="N308" s="3980"/>
    </row>
    <row r="309" spans="1:16" ht="15" customHeight="1" thickBot="1">
      <c r="A309" s="4033"/>
      <c r="B309" s="2443" t="s">
        <v>164</v>
      </c>
      <c r="C309" s="3723"/>
      <c r="D309" s="1410">
        <f>E309+L309+F309+G309+H309+I309+J309+K309</f>
        <v>15694800</v>
      </c>
      <c r="E309" s="1410">
        <f>7742800+2600000</f>
        <v>10342800</v>
      </c>
      <c r="F309" s="2372">
        <v>2647000</v>
      </c>
      <c r="G309" s="2372">
        <v>2705000</v>
      </c>
      <c r="H309" s="2372">
        <v>0</v>
      </c>
      <c r="I309" s="2372">
        <v>0</v>
      </c>
      <c r="J309" s="2372">
        <v>0</v>
      </c>
      <c r="K309" s="2372">
        <v>0</v>
      </c>
      <c r="L309" s="2372"/>
      <c r="M309" s="1577">
        <f>SUM(G309:K309)</f>
        <v>2705000</v>
      </c>
      <c r="N309" s="3980"/>
    </row>
    <row r="310" spans="1:16" ht="41.25" customHeight="1">
      <c r="A310" s="3661" t="s">
        <v>55</v>
      </c>
      <c r="B310" s="527" t="s">
        <v>314</v>
      </c>
      <c r="C310" s="536" t="s">
        <v>99</v>
      </c>
      <c r="D310" s="2167"/>
      <c r="E310" s="2103"/>
      <c r="F310" s="2103"/>
      <c r="G310" s="2103"/>
      <c r="H310" s="2103"/>
      <c r="I310" s="2103"/>
      <c r="J310" s="2103"/>
      <c r="K310" s="50"/>
      <c r="L310" s="2103"/>
      <c r="M310" s="528"/>
      <c r="N310" s="3792" t="s">
        <v>606</v>
      </c>
      <c r="P310" s="173"/>
    </row>
    <row r="311" spans="1:16" ht="15" customHeight="1">
      <c r="A311" s="3661"/>
      <c r="B311" s="1722" t="s">
        <v>9</v>
      </c>
      <c r="C311" s="2373"/>
      <c r="D311" s="1178">
        <f>D312</f>
        <v>503701</v>
      </c>
      <c r="E311" s="1421">
        <f t="shared" ref="E311:K312" si="224">E312</f>
        <v>0</v>
      </c>
      <c r="F311" s="1421">
        <f t="shared" si="224"/>
        <v>0</v>
      </c>
      <c r="G311" s="1178">
        <f t="shared" si="224"/>
        <v>83899</v>
      </c>
      <c r="H311" s="1178">
        <f t="shared" si="224"/>
        <v>83899</v>
      </c>
      <c r="I311" s="1178">
        <f t="shared" si="224"/>
        <v>97429</v>
      </c>
      <c r="J311" s="1178">
        <f t="shared" si="224"/>
        <v>113579</v>
      </c>
      <c r="K311" s="1228">
        <f t="shared" si="224"/>
        <v>124895</v>
      </c>
      <c r="L311" s="1421">
        <f>L312</f>
        <v>0</v>
      </c>
      <c r="M311" s="1469">
        <f>M312</f>
        <v>503701</v>
      </c>
      <c r="N311" s="3792"/>
    </row>
    <row r="312" spans="1:16" ht="15" customHeight="1">
      <c r="A312" s="3661"/>
      <c r="B312" s="1707" t="s">
        <v>10</v>
      </c>
      <c r="C312" s="3969" t="s">
        <v>159</v>
      </c>
      <c r="D312" s="1251">
        <f>D313</f>
        <v>503701</v>
      </c>
      <c r="E312" s="1663">
        <f t="shared" si="224"/>
        <v>0</v>
      </c>
      <c r="F312" s="1663">
        <f t="shared" si="224"/>
        <v>0</v>
      </c>
      <c r="G312" s="1251">
        <f t="shared" si="224"/>
        <v>83899</v>
      </c>
      <c r="H312" s="1251">
        <f t="shared" si="224"/>
        <v>83899</v>
      </c>
      <c r="I312" s="1251">
        <f t="shared" si="224"/>
        <v>97429</v>
      </c>
      <c r="J312" s="1251">
        <f t="shared" si="224"/>
        <v>113579</v>
      </c>
      <c r="K312" s="1251">
        <f t="shared" si="224"/>
        <v>124895</v>
      </c>
      <c r="L312" s="1663">
        <f>L313</f>
        <v>0</v>
      </c>
      <c r="M312" s="1432">
        <f>M313</f>
        <v>503701</v>
      </c>
      <c r="N312" s="3792"/>
    </row>
    <row r="313" spans="1:16" ht="15" customHeight="1" thickBot="1">
      <c r="A313" s="3668"/>
      <c r="B313" s="67" t="s">
        <v>11</v>
      </c>
      <c r="C313" s="3687"/>
      <c r="D313" s="1410">
        <f>E313+L313+F313+G313+H313+I313+J313+K313</f>
        <v>503701</v>
      </c>
      <c r="E313" s="1439">
        <v>0</v>
      </c>
      <c r="F313" s="923">
        <v>0</v>
      </c>
      <c r="G313" s="924">
        <v>83899</v>
      </c>
      <c r="H313" s="924">
        <v>83899</v>
      </c>
      <c r="I313" s="924">
        <v>97429</v>
      </c>
      <c r="J313" s="924">
        <v>113579</v>
      </c>
      <c r="K313" s="924">
        <v>124895</v>
      </c>
      <c r="L313" s="923">
        <v>0</v>
      </c>
      <c r="M313" s="1577">
        <f>SUM(G313:K313)</f>
        <v>503701</v>
      </c>
      <c r="N313" s="4035"/>
    </row>
    <row r="314" spans="1:16" ht="40.5" hidden="1" customHeight="1">
      <c r="A314" s="4028" t="s">
        <v>56</v>
      </c>
      <c r="B314" s="220"/>
      <c r="C314" s="215" t="s">
        <v>160</v>
      </c>
      <c r="D314" s="565"/>
      <c r="E314" s="566"/>
      <c r="F314" s="567"/>
      <c r="G314" s="567"/>
      <c r="H314" s="566"/>
      <c r="I314" s="566"/>
      <c r="J314" s="566"/>
      <c r="K314" s="566"/>
      <c r="L314" s="566"/>
      <c r="M314" s="568"/>
      <c r="N314" s="4029" t="s">
        <v>202</v>
      </c>
    </row>
    <row r="315" spans="1:16" ht="17.25" hidden="1" customHeight="1">
      <c r="A315" s="4028"/>
      <c r="B315" s="111" t="s">
        <v>9</v>
      </c>
      <c r="C315" s="111"/>
      <c r="D315" s="198"/>
      <c r="E315" s="198"/>
      <c r="F315" s="221">
        <f t="shared" ref="F315:M315" si="225">+F316</f>
        <v>0</v>
      </c>
      <c r="G315" s="221">
        <f t="shared" si="225"/>
        <v>0</v>
      </c>
      <c r="H315" s="222">
        <f t="shared" si="225"/>
        <v>0</v>
      </c>
      <c r="I315" s="222"/>
      <c r="J315" s="222"/>
      <c r="K315" s="222"/>
      <c r="L315" s="2439"/>
      <c r="M315" s="54">
        <f t="shared" si="225"/>
        <v>0</v>
      </c>
      <c r="N315" s="4029"/>
    </row>
    <row r="316" spans="1:16" ht="16.5" hidden="1" customHeight="1">
      <c r="A316" s="4028"/>
      <c r="B316" s="148" t="s">
        <v>203</v>
      </c>
      <c r="C316" s="4030" t="s">
        <v>201</v>
      </c>
      <c r="D316" s="223"/>
      <c r="E316" s="224"/>
      <c r="F316" s="224">
        <f>F317</f>
        <v>0</v>
      </c>
      <c r="G316" s="224">
        <f>G317</f>
        <v>0</v>
      </c>
      <c r="H316" s="225">
        <f>H317</f>
        <v>0</v>
      </c>
      <c r="I316" s="225"/>
      <c r="J316" s="225"/>
      <c r="K316" s="225"/>
      <c r="L316" s="2440"/>
      <c r="M316" s="65">
        <f>+M317</f>
        <v>0</v>
      </c>
      <c r="N316" s="4029"/>
    </row>
    <row r="317" spans="1:16" ht="13.5" hidden="1" customHeight="1">
      <c r="A317" s="4028"/>
      <c r="B317" s="2579" t="s">
        <v>53</v>
      </c>
      <c r="C317" s="4031"/>
      <c r="D317" s="226"/>
      <c r="E317" s="227"/>
      <c r="F317" s="227">
        <v>0</v>
      </c>
      <c r="G317" s="227">
        <v>0</v>
      </c>
      <c r="H317" s="227">
        <v>0</v>
      </c>
      <c r="I317" s="227"/>
      <c r="J317" s="227"/>
      <c r="K317" s="227"/>
      <c r="L317" s="2441"/>
      <c r="M317" s="228"/>
      <c r="N317" s="4029"/>
    </row>
    <row r="318" spans="1:16" ht="15.75" hidden="1" customHeight="1">
      <c r="A318" s="4028"/>
      <c r="B318" s="229" t="s">
        <v>20</v>
      </c>
      <c r="C318" s="18"/>
      <c r="D318" s="25"/>
      <c r="E318" s="170"/>
      <c r="F318" s="170"/>
      <c r="G318" s="170">
        <f t="shared" ref="F318:H319" si="226">G319</f>
        <v>0</v>
      </c>
      <c r="H318" s="170">
        <f t="shared" si="226"/>
        <v>0</v>
      </c>
      <c r="I318" s="569"/>
      <c r="J318" s="569"/>
      <c r="K318" s="569"/>
      <c r="L318" s="569"/>
      <c r="M318" s="3717" t="s">
        <v>52</v>
      </c>
      <c r="N318" s="4029"/>
    </row>
    <row r="319" spans="1:16" ht="16.5" hidden="1" customHeight="1">
      <c r="A319" s="4028"/>
      <c r="B319" s="148" t="s">
        <v>10</v>
      </c>
      <c r="C319" s="4032" t="s">
        <v>201</v>
      </c>
      <c r="D319" s="103"/>
      <c r="E319" s="41"/>
      <c r="F319" s="41">
        <f t="shared" si="226"/>
        <v>0</v>
      </c>
      <c r="G319" s="41">
        <f t="shared" si="226"/>
        <v>0</v>
      </c>
      <c r="H319" s="41">
        <f t="shared" si="226"/>
        <v>0</v>
      </c>
      <c r="I319" s="244"/>
      <c r="J319" s="244"/>
      <c r="K319" s="244"/>
      <c r="L319" s="244"/>
      <c r="M319" s="3717"/>
      <c r="N319" s="4029"/>
    </row>
    <row r="320" spans="1:16" ht="13.5" hidden="1" customHeight="1" thickBot="1">
      <c r="A320" s="4028"/>
      <c r="B320" s="2577" t="s">
        <v>53</v>
      </c>
      <c r="C320" s="3666"/>
      <c r="D320" s="230"/>
      <c r="E320" s="60"/>
      <c r="F320" s="59">
        <v>0</v>
      </c>
      <c r="G320" s="59">
        <v>0</v>
      </c>
      <c r="H320" s="59">
        <v>0</v>
      </c>
      <c r="I320" s="46"/>
      <c r="J320" s="46"/>
      <c r="K320" s="46"/>
      <c r="L320" s="46"/>
      <c r="M320" s="3718"/>
      <c r="N320" s="4029"/>
    </row>
    <row r="321" spans="1:14" ht="17.25" customHeight="1">
      <c r="E321" s="494"/>
      <c r="N321" s="570"/>
    </row>
    <row r="322" spans="1:14" ht="11.25" hidden="1" customHeight="1">
      <c r="A322" s="4027"/>
      <c r="B322" s="4027"/>
      <c r="C322" s="4027"/>
      <c r="D322" s="4027"/>
      <c r="E322" s="4027"/>
      <c r="F322" s="4027"/>
      <c r="G322" s="4027"/>
      <c r="H322" s="4027"/>
      <c r="I322" s="4027"/>
      <c r="J322" s="4027"/>
      <c r="K322" s="4027"/>
      <c r="L322" s="4027"/>
      <c r="M322" s="4027"/>
      <c r="N322" s="4027"/>
    </row>
    <row r="323" spans="1:14" hidden="1">
      <c r="A323" s="4027"/>
      <c r="B323" s="4027"/>
      <c r="C323" s="4027"/>
      <c r="D323" s="4027"/>
      <c r="E323" s="4027"/>
      <c r="F323" s="4027"/>
      <c r="G323" s="4027"/>
      <c r="H323" s="4027"/>
      <c r="I323" s="4027"/>
      <c r="J323" s="4027"/>
      <c r="K323" s="4027"/>
      <c r="L323" s="4027"/>
      <c r="M323" s="4027"/>
      <c r="N323" s="4027"/>
    </row>
    <row r="324" spans="1:14" ht="15" hidden="1" customHeight="1">
      <c r="B324" s="968" t="s">
        <v>347</v>
      </c>
      <c r="C324" s="2413"/>
      <c r="D324" s="2413"/>
      <c r="E324" s="2413"/>
      <c r="F324" s="2413"/>
      <c r="G324" s="2413"/>
      <c r="H324" s="2413"/>
      <c r="I324" s="2413"/>
      <c r="J324" s="2413"/>
      <c r="K324" s="2413"/>
      <c r="L324" s="2413"/>
      <c r="N324" s="570"/>
    </row>
    <row r="325" spans="1:14" ht="15" hidden="1" customHeight="1">
      <c r="B325" s="2522" t="s">
        <v>348</v>
      </c>
      <c r="C325" s="2413"/>
      <c r="D325" s="2414">
        <f t="shared" ref="D325:L325" si="227">D141+D166+D188+D201+D227+D249+D258+D281+D132</f>
        <v>3723661</v>
      </c>
      <c r="E325" s="2414">
        <f t="shared" si="227"/>
        <v>977</v>
      </c>
      <c r="F325" s="2414">
        <f t="shared" si="227"/>
        <v>232978</v>
      </c>
      <c r="G325" s="2414">
        <f t="shared" si="227"/>
        <v>1750535</v>
      </c>
      <c r="H325" s="2414">
        <f t="shared" si="227"/>
        <v>957573</v>
      </c>
      <c r="I325" s="2414">
        <f t="shared" si="227"/>
        <v>781598</v>
      </c>
      <c r="J325" s="2414">
        <f t="shared" si="227"/>
        <v>0</v>
      </c>
      <c r="K325" s="2414">
        <f t="shared" si="227"/>
        <v>0</v>
      </c>
      <c r="L325" s="2414">
        <f t="shared" si="227"/>
        <v>0</v>
      </c>
      <c r="N325" s="570"/>
    </row>
    <row r="326" spans="1:14" ht="15" hidden="1" customHeight="1">
      <c r="B326" s="2522" t="s">
        <v>349</v>
      </c>
      <c r="C326" s="2413"/>
      <c r="D326" s="2414">
        <f>D32+D44+D56+D91+D105+D151+D175+D214+D236+D268+D293+D291+D121+D80+D68</f>
        <v>79437727</v>
      </c>
      <c r="E326" s="2414">
        <f t="shared" ref="E326:L326" si="228">E32+E44+E56+E91+E105+E151+E175+E214+E236+E268+E293+E291+E121+E80+E68</f>
        <v>150000</v>
      </c>
      <c r="F326" s="2414">
        <f t="shared" si="228"/>
        <v>10773441</v>
      </c>
      <c r="G326" s="2414">
        <f t="shared" si="228"/>
        <v>30230219</v>
      </c>
      <c r="H326" s="2414">
        <f t="shared" si="228"/>
        <v>33505409</v>
      </c>
      <c r="I326" s="2414">
        <f t="shared" si="228"/>
        <v>4778658</v>
      </c>
      <c r="J326" s="2414">
        <f t="shared" si="228"/>
        <v>0</v>
      </c>
      <c r="K326" s="2414">
        <f t="shared" si="228"/>
        <v>0</v>
      </c>
      <c r="L326" s="2414">
        <f t="shared" si="228"/>
        <v>0</v>
      </c>
      <c r="N326" s="570"/>
    </row>
    <row r="327" spans="1:14" ht="15" hidden="1" customHeight="1">
      <c r="B327" s="2522" t="s">
        <v>350</v>
      </c>
      <c r="C327" s="2413"/>
      <c r="D327" s="966">
        <f>D325+D326</f>
        <v>83161388</v>
      </c>
      <c r="E327" s="966">
        <f t="shared" ref="E327:H327" si="229">E325+E326</f>
        <v>150977</v>
      </c>
      <c r="F327" s="966">
        <f t="shared" si="229"/>
        <v>11006419</v>
      </c>
      <c r="G327" s="966">
        <f>G325+G326</f>
        <v>31980754</v>
      </c>
      <c r="H327" s="966">
        <f t="shared" si="229"/>
        <v>34462982</v>
      </c>
      <c r="I327" s="966">
        <f t="shared" ref="I327:K327" si="230">I325+I326</f>
        <v>5560256</v>
      </c>
      <c r="J327" s="966">
        <f t="shared" si="230"/>
        <v>0</v>
      </c>
      <c r="K327" s="966">
        <f t="shared" si="230"/>
        <v>0</v>
      </c>
      <c r="L327" s="966">
        <f>L325+L326</f>
        <v>0</v>
      </c>
      <c r="N327" s="570"/>
    </row>
    <row r="328" spans="1:14" ht="15" hidden="1" customHeight="1">
      <c r="B328" s="963" t="s">
        <v>40</v>
      </c>
      <c r="C328" s="965"/>
      <c r="D328" s="967">
        <f t="shared" ref="D328:L328" si="231">D327-D18</f>
        <v>0</v>
      </c>
      <c r="E328" s="967">
        <f t="shared" si="231"/>
        <v>0</v>
      </c>
      <c r="F328" s="967">
        <f t="shared" si="231"/>
        <v>0</v>
      </c>
      <c r="G328" s="967">
        <f t="shared" si="231"/>
        <v>0</v>
      </c>
      <c r="H328" s="967">
        <f t="shared" si="231"/>
        <v>0</v>
      </c>
      <c r="I328" s="967">
        <f t="shared" si="231"/>
        <v>0</v>
      </c>
      <c r="J328" s="967">
        <f t="shared" si="231"/>
        <v>0</v>
      </c>
      <c r="K328" s="967">
        <f t="shared" si="231"/>
        <v>0</v>
      </c>
      <c r="L328" s="967">
        <f t="shared" si="231"/>
        <v>0</v>
      </c>
      <c r="N328" s="570"/>
    </row>
    <row r="329" spans="1:14" hidden="1">
      <c r="E329" s="494"/>
      <c r="N329" s="570"/>
    </row>
    <row r="330" spans="1:14">
      <c r="E330" s="494"/>
      <c r="N330" s="570"/>
    </row>
    <row r="331" spans="1:14">
      <c r="E331" s="494"/>
      <c r="N331" s="570"/>
    </row>
    <row r="332" spans="1:14">
      <c r="E332" s="494"/>
      <c r="N332" s="570"/>
    </row>
    <row r="333" spans="1:14">
      <c r="E333" s="494"/>
      <c r="N333" s="570"/>
    </row>
    <row r="334" spans="1:14">
      <c r="E334" s="494"/>
      <c r="N334" s="570"/>
    </row>
    <row r="335" spans="1:14">
      <c r="E335" s="494"/>
      <c r="N335" s="570"/>
    </row>
    <row r="336" spans="1:14">
      <c r="E336" s="494"/>
      <c r="N336" s="570"/>
    </row>
    <row r="337" spans="5:14">
      <c r="E337" s="494"/>
      <c r="N337" s="570"/>
    </row>
    <row r="338" spans="5:14">
      <c r="E338" s="494"/>
      <c r="N338" s="570"/>
    </row>
    <row r="339" spans="5:14">
      <c r="E339" s="494"/>
      <c r="N339" s="570"/>
    </row>
    <row r="340" spans="5:14">
      <c r="E340" s="494"/>
      <c r="N340" s="570"/>
    </row>
    <row r="341" spans="5:14">
      <c r="E341" s="494"/>
      <c r="N341" s="570"/>
    </row>
    <row r="342" spans="5:14">
      <c r="E342" s="494"/>
      <c r="N342" s="570"/>
    </row>
    <row r="343" spans="5:14">
      <c r="E343" s="494"/>
      <c r="N343" s="570"/>
    </row>
    <row r="344" spans="5:14">
      <c r="E344" s="494"/>
      <c r="N344" s="570"/>
    </row>
    <row r="345" spans="5:14">
      <c r="E345" s="494"/>
      <c r="N345" s="570"/>
    </row>
    <row r="346" spans="5:14">
      <c r="E346" s="494"/>
      <c r="N346" s="570"/>
    </row>
    <row r="347" spans="5:14">
      <c r="E347" s="494"/>
      <c r="N347" s="570"/>
    </row>
    <row r="348" spans="5:14">
      <c r="E348" s="494"/>
      <c r="N348" s="570"/>
    </row>
    <row r="349" spans="5:14">
      <c r="E349" s="494"/>
      <c r="N349" s="570"/>
    </row>
    <row r="350" spans="5:14">
      <c r="E350" s="494"/>
      <c r="N350" s="570"/>
    </row>
    <row r="351" spans="5:14">
      <c r="E351" s="494"/>
      <c r="N351" s="570"/>
    </row>
    <row r="352" spans="5:14">
      <c r="E352" s="494"/>
      <c r="N352" s="570"/>
    </row>
    <row r="353" spans="5:14">
      <c r="E353" s="494"/>
      <c r="N353" s="570"/>
    </row>
    <row r="354" spans="5:14">
      <c r="E354" s="494"/>
      <c r="N354" s="570"/>
    </row>
    <row r="355" spans="5:14">
      <c r="E355" s="494"/>
      <c r="N355" s="570"/>
    </row>
    <row r="356" spans="5:14">
      <c r="E356" s="494"/>
      <c r="N356" s="570"/>
    </row>
    <row r="357" spans="5:14">
      <c r="E357" s="494"/>
      <c r="N357" s="570"/>
    </row>
    <row r="358" spans="5:14">
      <c r="E358" s="494"/>
      <c r="N358" s="570"/>
    </row>
    <row r="359" spans="5:14">
      <c r="E359" s="494"/>
      <c r="N359" s="570"/>
    </row>
    <row r="360" spans="5:14">
      <c r="E360" s="494"/>
      <c r="N360" s="570"/>
    </row>
    <row r="361" spans="5:14">
      <c r="E361" s="494"/>
      <c r="N361" s="570"/>
    </row>
    <row r="362" spans="5:14">
      <c r="E362" s="494"/>
      <c r="N362" s="570"/>
    </row>
    <row r="363" spans="5:14">
      <c r="E363" s="494"/>
      <c r="N363" s="570"/>
    </row>
    <row r="364" spans="5:14">
      <c r="E364" s="494"/>
      <c r="N364" s="570"/>
    </row>
    <row r="365" spans="5:14">
      <c r="E365" s="494"/>
      <c r="N365" s="570"/>
    </row>
    <row r="366" spans="5:14">
      <c r="E366" s="494"/>
      <c r="N366" s="570"/>
    </row>
    <row r="367" spans="5:14">
      <c r="E367" s="494"/>
      <c r="N367" s="570"/>
    </row>
    <row r="368" spans="5:14">
      <c r="E368" s="494"/>
      <c r="N368" s="570"/>
    </row>
    <row r="369" spans="5:14">
      <c r="E369" s="494"/>
      <c r="N369" s="570"/>
    </row>
    <row r="370" spans="5:14">
      <c r="E370" s="494"/>
      <c r="N370" s="570"/>
    </row>
    <row r="371" spans="5:14">
      <c r="E371" s="494"/>
      <c r="N371" s="570"/>
    </row>
    <row r="372" spans="5:14">
      <c r="E372" s="494"/>
      <c r="N372" s="570"/>
    </row>
    <row r="373" spans="5:14">
      <c r="E373" s="494"/>
      <c r="N373" s="570"/>
    </row>
    <row r="374" spans="5:14">
      <c r="E374" s="494"/>
      <c r="N374" s="570"/>
    </row>
    <row r="375" spans="5:14">
      <c r="E375" s="494"/>
      <c r="N375" s="570"/>
    </row>
    <row r="376" spans="5:14">
      <c r="E376" s="494"/>
      <c r="N376" s="570"/>
    </row>
    <row r="377" spans="5:14">
      <c r="E377" s="494"/>
      <c r="N377" s="570"/>
    </row>
    <row r="378" spans="5:14">
      <c r="E378" s="494"/>
      <c r="N378" s="570"/>
    </row>
    <row r="379" spans="5:14">
      <c r="E379" s="494"/>
      <c r="N379" s="570"/>
    </row>
    <row r="380" spans="5:14">
      <c r="E380" s="494"/>
      <c r="N380" s="570"/>
    </row>
    <row r="381" spans="5:14">
      <c r="E381" s="494"/>
      <c r="N381" s="570"/>
    </row>
    <row r="382" spans="5:14">
      <c r="E382" s="494"/>
      <c r="N382" s="570"/>
    </row>
    <row r="383" spans="5:14">
      <c r="E383" s="494"/>
      <c r="N383" s="570"/>
    </row>
    <row r="384" spans="5:14">
      <c r="E384" s="494"/>
      <c r="N384" s="570"/>
    </row>
    <row r="385" spans="5:14">
      <c r="E385" s="494"/>
      <c r="N385" s="570"/>
    </row>
    <row r="386" spans="5:14">
      <c r="E386" s="494"/>
      <c r="N386" s="570"/>
    </row>
    <row r="387" spans="5:14">
      <c r="E387" s="494"/>
      <c r="N387" s="570"/>
    </row>
    <row r="388" spans="5:14">
      <c r="E388" s="494"/>
      <c r="N388" s="570"/>
    </row>
    <row r="389" spans="5:14">
      <c r="E389" s="494"/>
      <c r="N389" s="570"/>
    </row>
    <row r="390" spans="5:14">
      <c r="E390" s="494"/>
      <c r="N390" s="570"/>
    </row>
    <row r="391" spans="5:14">
      <c r="E391" s="494"/>
      <c r="N391" s="570"/>
    </row>
    <row r="392" spans="5:14">
      <c r="E392" s="494"/>
      <c r="N392" s="570"/>
    </row>
    <row r="393" spans="5:14">
      <c r="E393" s="494"/>
      <c r="N393" s="570"/>
    </row>
    <row r="394" spans="5:14">
      <c r="E394" s="494"/>
      <c r="N394" s="570"/>
    </row>
    <row r="395" spans="5:14">
      <c r="E395" s="494"/>
      <c r="N395" s="570"/>
    </row>
    <row r="396" spans="5:14">
      <c r="E396" s="494"/>
      <c r="N396" s="570"/>
    </row>
    <row r="397" spans="5:14">
      <c r="E397" s="494"/>
      <c r="N397" s="570"/>
    </row>
    <row r="398" spans="5:14">
      <c r="E398" s="494"/>
      <c r="N398" s="570"/>
    </row>
    <row r="399" spans="5:14">
      <c r="E399" s="494"/>
      <c r="N399" s="570"/>
    </row>
    <row r="400" spans="5:14">
      <c r="E400" s="494"/>
      <c r="N400" s="570"/>
    </row>
    <row r="401" spans="5:14">
      <c r="E401" s="494"/>
      <c r="N401" s="570"/>
    </row>
    <row r="402" spans="5:14">
      <c r="E402" s="494"/>
      <c r="N402" s="570"/>
    </row>
    <row r="403" spans="5:14">
      <c r="E403" s="494"/>
      <c r="N403" s="570"/>
    </row>
    <row r="404" spans="5:14">
      <c r="E404" s="494"/>
      <c r="N404" s="570"/>
    </row>
    <row r="405" spans="5:14">
      <c r="E405" s="494"/>
      <c r="N405" s="570"/>
    </row>
    <row r="406" spans="5:14">
      <c r="E406" s="494"/>
      <c r="N406" s="570"/>
    </row>
    <row r="407" spans="5:14">
      <c r="E407" s="494"/>
      <c r="N407" s="570"/>
    </row>
    <row r="408" spans="5:14">
      <c r="E408" s="494"/>
      <c r="N408" s="570"/>
    </row>
    <row r="409" spans="5:14">
      <c r="E409" s="494"/>
      <c r="N409" s="570"/>
    </row>
    <row r="410" spans="5:14">
      <c r="E410" s="494"/>
      <c r="N410" s="570"/>
    </row>
    <row r="411" spans="5:14">
      <c r="E411" s="494"/>
      <c r="N411" s="570"/>
    </row>
    <row r="412" spans="5:14">
      <c r="E412" s="494"/>
      <c r="N412" s="570"/>
    </row>
    <row r="413" spans="5:14">
      <c r="E413" s="494"/>
      <c r="N413" s="570"/>
    </row>
    <row r="414" spans="5:14">
      <c r="E414" s="494"/>
      <c r="N414" s="570"/>
    </row>
    <row r="415" spans="5:14">
      <c r="E415" s="494"/>
      <c r="N415" s="570"/>
    </row>
    <row r="416" spans="5:14">
      <c r="E416" s="494"/>
      <c r="N416" s="570"/>
    </row>
    <row r="417" spans="5:14">
      <c r="E417" s="494"/>
      <c r="N417" s="570"/>
    </row>
    <row r="418" spans="5:14">
      <c r="E418" s="494"/>
      <c r="N418" s="570"/>
    </row>
    <row r="419" spans="5:14">
      <c r="E419" s="494"/>
      <c r="N419" s="570"/>
    </row>
    <row r="420" spans="5:14">
      <c r="E420" s="494"/>
      <c r="N420" s="570"/>
    </row>
    <row r="421" spans="5:14">
      <c r="E421" s="494"/>
      <c r="N421" s="570"/>
    </row>
    <row r="422" spans="5:14">
      <c r="E422" s="494"/>
      <c r="N422" s="570"/>
    </row>
    <row r="423" spans="5:14">
      <c r="E423" s="494"/>
      <c r="N423" s="570"/>
    </row>
    <row r="424" spans="5:14">
      <c r="E424" s="494"/>
      <c r="N424" s="570"/>
    </row>
    <row r="425" spans="5:14">
      <c r="E425" s="494"/>
      <c r="N425" s="570"/>
    </row>
    <row r="426" spans="5:14">
      <c r="E426" s="494"/>
      <c r="N426" s="570"/>
    </row>
    <row r="427" spans="5:14">
      <c r="E427" s="494"/>
      <c r="N427" s="570"/>
    </row>
    <row r="428" spans="5:14">
      <c r="E428" s="494"/>
      <c r="N428" s="570"/>
    </row>
    <row r="429" spans="5:14">
      <c r="E429" s="494"/>
      <c r="N429" s="570"/>
    </row>
    <row r="430" spans="5:14">
      <c r="E430" s="494"/>
      <c r="N430" s="570"/>
    </row>
    <row r="431" spans="5:14">
      <c r="E431" s="494"/>
      <c r="N431" s="570"/>
    </row>
    <row r="432" spans="5:14">
      <c r="E432" s="494"/>
      <c r="N432" s="570"/>
    </row>
    <row r="433" spans="1:14">
      <c r="E433" s="494"/>
      <c r="N433" s="570"/>
    </row>
    <row r="434" spans="1:14">
      <c r="E434" s="494"/>
      <c r="N434" s="570"/>
    </row>
    <row r="435" spans="1:14">
      <c r="E435" s="494"/>
      <c r="N435" s="570"/>
    </row>
    <row r="436" spans="1:14">
      <c r="E436" s="494"/>
      <c r="N436" s="570"/>
    </row>
    <row r="437" spans="1:14">
      <c r="E437" s="494"/>
      <c r="N437" s="570"/>
    </row>
    <row r="438" spans="1:14">
      <c r="E438" s="494"/>
      <c r="N438" s="570"/>
    </row>
    <row r="439" spans="1:14">
      <c r="E439" s="494"/>
      <c r="N439" s="570"/>
    </row>
    <row r="440" spans="1:14">
      <c r="E440" s="494"/>
      <c r="N440" s="570"/>
    </row>
    <row r="441" spans="1:14">
      <c r="E441" s="494"/>
      <c r="N441" s="570"/>
    </row>
    <row r="442" spans="1:14">
      <c r="E442" s="494"/>
      <c r="N442" s="570"/>
    </row>
    <row r="443" spans="1:14">
      <c r="E443" s="494"/>
      <c r="N443" s="570"/>
    </row>
    <row r="444" spans="1:14">
      <c r="E444" s="494"/>
      <c r="N444" s="570"/>
    </row>
    <row r="445" spans="1:14">
      <c r="E445" s="494"/>
      <c r="N445" s="570"/>
    </row>
    <row r="446" spans="1:14">
      <c r="E446" s="494"/>
      <c r="N446" s="570"/>
    </row>
    <row r="447" spans="1:14">
      <c r="E447" s="494"/>
      <c r="N447" s="570"/>
    </row>
    <row r="448" spans="1:14" ht="12" thickBot="1">
      <c r="A448" s="1893"/>
      <c r="E448" s="494"/>
      <c r="N448" s="570"/>
    </row>
    <row r="449" spans="1:14" ht="12" thickBot="1">
      <c r="A449" s="1894"/>
      <c r="E449" s="494"/>
      <c r="N449" s="570"/>
    </row>
    <row r="450" spans="1:14" ht="12" thickBot="1">
      <c r="A450" s="1894"/>
      <c r="E450" s="494"/>
      <c r="N450" s="570"/>
    </row>
    <row r="451" spans="1:14" ht="12" thickBot="1">
      <c r="A451" s="1894"/>
      <c r="E451" s="494"/>
      <c r="N451" s="570"/>
    </row>
    <row r="452" spans="1:14" ht="12" thickBot="1">
      <c r="A452" s="1894"/>
      <c r="E452" s="494"/>
      <c r="N452" s="570"/>
    </row>
    <row r="453" spans="1:14" ht="12" thickBot="1">
      <c r="A453" s="1894"/>
      <c r="E453" s="494"/>
      <c r="N453" s="570"/>
    </row>
    <row r="454" spans="1:14" ht="12" thickBot="1">
      <c r="A454" s="1894"/>
      <c r="E454" s="494"/>
      <c r="M454" s="1881"/>
      <c r="N454" s="1887"/>
    </row>
    <row r="455" spans="1:14" ht="12" thickBot="1">
      <c r="A455" s="1894"/>
      <c r="C455" s="1881"/>
      <c r="E455" s="494"/>
      <c r="M455" s="1882"/>
      <c r="N455" s="1888"/>
    </row>
    <row r="456" spans="1:14" ht="12" thickBot="1">
      <c r="A456" s="1894"/>
      <c r="C456" s="1882"/>
      <c r="D456" s="1881"/>
      <c r="E456" s="1881"/>
      <c r="F456" s="1881"/>
      <c r="G456" s="1881"/>
      <c r="H456" s="1881"/>
      <c r="I456" s="1881"/>
      <c r="J456" s="1881"/>
      <c r="K456" s="1881"/>
      <c r="L456" s="1881"/>
      <c r="M456" s="1882"/>
      <c r="N456" s="1888"/>
    </row>
    <row r="457" spans="1:14" ht="12" thickBot="1">
      <c r="A457" s="1894"/>
      <c r="C457" s="1883"/>
      <c r="D457" s="1883"/>
      <c r="E457" s="1883"/>
      <c r="F457" s="1883"/>
      <c r="G457" s="1883"/>
      <c r="H457" s="1883"/>
      <c r="I457" s="1883"/>
      <c r="J457" s="1883"/>
      <c r="K457" s="1883"/>
      <c r="L457" s="1883"/>
      <c r="M457" s="1883"/>
      <c r="N457" s="1888"/>
    </row>
    <row r="458" spans="1:14" ht="12" thickBot="1">
      <c r="A458" s="1894"/>
      <c r="E458" s="494"/>
      <c r="N458" s="1888"/>
    </row>
    <row r="459" spans="1:14" ht="12" thickBot="1">
      <c r="A459" s="1894"/>
      <c r="E459" s="494"/>
      <c r="N459" s="1888"/>
    </row>
    <row r="460" spans="1:14" ht="12" thickBot="1">
      <c r="A460" s="1894"/>
      <c r="E460" s="494"/>
      <c r="N460" s="1888"/>
    </row>
    <row r="461" spans="1:14" ht="12" thickBot="1">
      <c r="A461" s="1894"/>
      <c r="E461" s="494"/>
      <c r="N461" s="1888"/>
    </row>
    <row r="462" spans="1:14" ht="12" thickBot="1">
      <c r="A462" s="1894"/>
      <c r="E462" s="494"/>
      <c r="N462" s="1889"/>
    </row>
    <row r="463" spans="1:14" ht="12" thickBot="1">
      <c r="A463" s="1894"/>
      <c r="E463" s="494"/>
      <c r="N463" s="570"/>
    </row>
    <row r="464" spans="1:14" ht="12" thickBot="1">
      <c r="A464" s="1894"/>
      <c r="E464" s="494"/>
      <c r="N464" s="570"/>
    </row>
    <row r="465" spans="1:14">
      <c r="A465" s="1895"/>
      <c r="E465" s="494"/>
      <c r="N465" s="570"/>
    </row>
    <row r="466" spans="1:14">
      <c r="E466" s="494"/>
      <c r="N466" s="570"/>
    </row>
    <row r="467" spans="1:14">
      <c r="E467" s="494"/>
      <c r="N467" s="570"/>
    </row>
    <row r="468" spans="1:14">
      <c r="E468" s="494"/>
      <c r="N468" s="570"/>
    </row>
    <row r="469" spans="1:14">
      <c r="E469" s="494"/>
      <c r="N469" s="570"/>
    </row>
    <row r="470" spans="1:14">
      <c r="E470" s="494"/>
      <c r="N470" s="570"/>
    </row>
    <row r="471" spans="1:14">
      <c r="E471" s="494"/>
      <c r="N471" s="570"/>
    </row>
    <row r="472" spans="1:14">
      <c r="E472" s="494"/>
      <c r="N472" s="570"/>
    </row>
    <row r="473" spans="1:14">
      <c r="E473" s="494"/>
      <c r="N473" s="570"/>
    </row>
    <row r="474" spans="1:14">
      <c r="E474" s="494"/>
      <c r="N474" s="570"/>
    </row>
    <row r="475" spans="1:14">
      <c r="E475" s="494"/>
      <c r="N475" s="570"/>
    </row>
    <row r="476" spans="1:14">
      <c r="E476" s="494"/>
      <c r="N476" s="570"/>
    </row>
    <row r="477" spans="1:14">
      <c r="E477" s="494"/>
      <c r="N477" s="570"/>
    </row>
    <row r="478" spans="1:14">
      <c r="E478" s="494"/>
      <c r="N478" s="570"/>
    </row>
    <row r="479" spans="1:14">
      <c r="E479" s="494"/>
      <c r="N479" s="570"/>
    </row>
    <row r="480" spans="1:14">
      <c r="E480" s="494"/>
      <c r="N480" s="570"/>
    </row>
    <row r="481" spans="5:14">
      <c r="E481" s="494"/>
      <c r="N481" s="570"/>
    </row>
    <row r="482" spans="5:14">
      <c r="E482" s="494"/>
      <c r="N482" s="570"/>
    </row>
    <row r="483" spans="5:14">
      <c r="E483" s="494"/>
      <c r="N483" s="570"/>
    </row>
    <row r="484" spans="5:14">
      <c r="E484" s="494"/>
      <c r="N484" s="570"/>
    </row>
    <row r="485" spans="5:14">
      <c r="E485" s="494"/>
      <c r="N485" s="570"/>
    </row>
    <row r="486" spans="5:14">
      <c r="E486" s="494"/>
      <c r="N486" s="570"/>
    </row>
    <row r="487" spans="5:14">
      <c r="E487" s="494"/>
      <c r="N487" s="570"/>
    </row>
    <row r="488" spans="5:14">
      <c r="E488" s="494"/>
      <c r="N488" s="570"/>
    </row>
    <row r="489" spans="5:14">
      <c r="E489" s="494"/>
      <c r="N489" s="570"/>
    </row>
    <row r="490" spans="5:14">
      <c r="E490" s="494"/>
      <c r="N490" s="570"/>
    </row>
    <row r="491" spans="5:14">
      <c r="E491" s="494"/>
      <c r="N491" s="570"/>
    </row>
    <row r="492" spans="5:14">
      <c r="E492" s="494"/>
      <c r="N492" s="570"/>
    </row>
    <row r="493" spans="5:14">
      <c r="E493" s="494"/>
      <c r="N493" s="570"/>
    </row>
    <row r="494" spans="5:14">
      <c r="E494" s="494"/>
      <c r="N494" s="570"/>
    </row>
    <row r="495" spans="5:14">
      <c r="E495" s="494"/>
      <c r="N495" s="570"/>
    </row>
    <row r="496" spans="5:14">
      <c r="E496" s="494"/>
      <c r="N496" s="570"/>
    </row>
    <row r="497" spans="5:14">
      <c r="E497" s="494"/>
      <c r="N497" s="570"/>
    </row>
    <row r="498" spans="5:14">
      <c r="E498" s="494"/>
      <c r="N498" s="570"/>
    </row>
    <row r="499" spans="5:14">
      <c r="E499" s="494"/>
      <c r="N499" s="570"/>
    </row>
    <row r="500" spans="5:14">
      <c r="E500" s="494"/>
      <c r="N500" s="570"/>
    </row>
    <row r="501" spans="5:14">
      <c r="E501" s="494"/>
      <c r="N501" s="570"/>
    </row>
    <row r="502" spans="5:14">
      <c r="E502" s="494"/>
      <c r="N502" s="570"/>
    </row>
    <row r="503" spans="5:14">
      <c r="E503" s="494"/>
      <c r="N503" s="570"/>
    </row>
    <row r="504" spans="5:14">
      <c r="E504" s="494"/>
      <c r="N504" s="570"/>
    </row>
    <row r="505" spans="5:14">
      <c r="E505" s="494"/>
      <c r="N505" s="570"/>
    </row>
    <row r="506" spans="5:14">
      <c r="E506" s="494"/>
      <c r="N506" s="570"/>
    </row>
    <row r="507" spans="5:14">
      <c r="E507" s="494"/>
      <c r="N507" s="570"/>
    </row>
    <row r="508" spans="5:14">
      <c r="E508" s="494"/>
      <c r="N508" s="570"/>
    </row>
    <row r="509" spans="5:14">
      <c r="E509" s="494"/>
      <c r="N509" s="570"/>
    </row>
    <row r="510" spans="5:14">
      <c r="E510" s="494"/>
      <c r="N510" s="570"/>
    </row>
    <row r="511" spans="5:14">
      <c r="E511" s="494"/>
      <c r="N511" s="570"/>
    </row>
    <row r="512" spans="5:14">
      <c r="E512" s="494"/>
      <c r="N512" s="570"/>
    </row>
    <row r="513" spans="5:14">
      <c r="E513" s="494"/>
      <c r="N513" s="570"/>
    </row>
    <row r="514" spans="5:14">
      <c r="E514" s="494"/>
      <c r="N514" s="570"/>
    </row>
    <row r="515" spans="5:14">
      <c r="E515" s="494"/>
      <c r="N515" s="570"/>
    </row>
    <row r="516" spans="5:14">
      <c r="E516" s="494"/>
      <c r="N516" s="570"/>
    </row>
    <row r="517" spans="5:14">
      <c r="E517" s="494"/>
      <c r="N517" s="570"/>
    </row>
    <row r="518" spans="5:14">
      <c r="E518" s="494"/>
      <c r="N518" s="570"/>
    </row>
    <row r="519" spans="5:14">
      <c r="E519" s="494"/>
      <c r="N519" s="570"/>
    </row>
    <row r="520" spans="5:14">
      <c r="E520" s="494"/>
      <c r="N520" s="570"/>
    </row>
    <row r="521" spans="5:14">
      <c r="E521" s="494"/>
      <c r="N521" s="570"/>
    </row>
    <row r="522" spans="5:14">
      <c r="E522" s="494"/>
      <c r="N522" s="570"/>
    </row>
    <row r="523" spans="5:14">
      <c r="E523" s="494"/>
      <c r="N523" s="570"/>
    </row>
    <row r="524" spans="5:14">
      <c r="E524" s="494"/>
      <c r="N524" s="570"/>
    </row>
    <row r="525" spans="5:14">
      <c r="E525" s="494"/>
      <c r="N525" s="570"/>
    </row>
    <row r="526" spans="5:14">
      <c r="E526" s="494"/>
      <c r="N526" s="570"/>
    </row>
    <row r="527" spans="5:14">
      <c r="E527" s="494"/>
      <c r="N527" s="570"/>
    </row>
    <row r="528" spans="5:14">
      <c r="E528" s="494"/>
      <c r="N528" s="570"/>
    </row>
    <row r="529" spans="5:14">
      <c r="E529" s="494"/>
      <c r="N529" s="570"/>
    </row>
    <row r="530" spans="5:14">
      <c r="E530" s="494"/>
      <c r="N530" s="570"/>
    </row>
    <row r="531" spans="5:14">
      <c r="E531" s="494"/>
      <c r="N531" s="570"/>
    </row>
    <row r="532" spans="5:14">
      <c r="E532" s="494"/>
      <c r="N532" s="570"/>
    </row>
    <row r="533" spans="5:14">
      <c r="E533" s="494"/>
      <c r="N533" s="570"/>
    </row>
    <row r="534" spans="5:14">
      <c r="E534" s="494"/>
      <c r="N534" s="570"/>
    </row>
    <row r="535" spans="5:14">
      <c r="E535" s="494"/>
      <c r="N535" s="570"/>
    </row>
    <row r="536" spans="5:14">
      <c r="E536" s="494"/>
      <c r="N536" s="570"/>
    </row>
    <row r="537" spans="5:14">
      <c r="E537" s="494"/>
      <c r="N537" s="570"/>
    </row>
    <row r="538" spans="5:14">
      <c r="E538" s="494"/>
      <c r="N538" s="570"/>
    </row>
    <row r="539" spans="5:14">
      <c r="E539" s="494"/>
      <c r="N539" s="570"/>
    </row>
    <row r="540" spans="5:14">
      <c r="E540" s="494"/>
      <c r="N540" s="570"/>
    </row>
    <row r="541" spans="5:14">
      <c r="E541" s="494"/>
      <c r="N541" s="570"/>
    </row>
    <row r="542" spans="5:14">
      <c r="E542" s="494"/>
      <c r="N542" s="570"/>
    </row>
    <row r="543" spans="5:14">
      <c r="E543" s="494"/>
      <c r="N543" s="570"/>
    </row>
    <row r="544" spans="5:14">
      <c r="E544" s="494"/>
      <c r="N544" s="570"/>
    </row>
    <row r="545" spans="5:14">
      <c r="E545" s="494"/>
      <c r="N545" s="570"/>
    </row>
    <row r="546" spans="5:14">
      <c r="E546" s="494"/>
      <c r="N546" s="570"/>
    </row>
    <row r="547" spans="5:14">
      <c r="E547" s="494"/>
      <c r="N547" s="570"/>
    </row>
    <row r="548" spans="5:14">
      <c r="E548" s="494"/>
      <c r="N548" s="570"/>
    </row>
    <row r="549" spans="5:14">
      <c r="E549" s="494"/>
      <c r="N549" s="570"/>
    </row>
    <row r="550" spans="5:14">
      <c r="E550" s="494"/>
      <c r="N550" s="570"/>
    </row>
    <row r="551" spans="5:14">
      <c r="E551" s="494"/>
      <c r="N551" s="570"/>
    </row>
    <row r="552" spans="5:14">
      <c r="E552" s="494"/>
      <c r="N552" s="570"/>
    </row>
    <row r="553" spans="5:14">
      <c r="E553" s="494"/>
      <c r="N553" s="570"/>
    </row>
    <row r="554" spans="5:14">
      <c r="E554" s="494"/>
      <c r="N554" s="570"/>
    </row>
    <row r="555" spans="5:14">
      <c r="E555" s="494"/>
      <c r="N555" s="570"/>
    </row>
    <row r="556" spans="5:14">
      <c r="E556" s="494"/>
      <c r="N556" s="570"/>
    </row>
    <row r="557" spans="5:14">
      <c r="E557" s="494"/>
      <c r="N557" s="570"/>
    </row>
    <row r="558" spans="5:14">
      <c r="E558" s="494"/>
      <c r="N558" s="570"/>
    </row>
    <row r="559" spans="5:14">
      <c r="E559" s="494"/>
      <c r="N559" s="570"/>
    </row>
    <row r="560" spans="5:14">
      <c r="E560" s="494"/>
      <c r="N560" s="570"/>
    </row>
    <row r="561" spans="1:14">
      <c r="E561" s="494"/>
      <c r="N561" s="570"/>
    </row>
    <row r="562" spans="1:14">
      <c r="E562" s="494"/>
      <c r="N562" s="570"/>
    </row>
    <row r="563" spans="1:14" ht="12" thickBot="1">
      <c r="E563" s="494"/>
      <c r="N563" s="1887"/>
    </row>
    <row r="564" spans="1:14" ht="12" thickBot="1">
      <c r="E564" s="494"/>
      <c r="N564" s="1888"/>
    </row>
    <row r="565" spans="1:14" ht="12" thickBot="1">
      <c r="E565" s="494"/>
      <c r="N565" s="1888"/>
    </row>
    <row r="566" spans="1:14" ht="12" thickBot="1">
      <c r="E566" s="494"/>
      <c r="N566" s="1888"/>
    </row>
    <row r="567" spans="1:14" ht="12" thickBot="1">
      <c r="E567" s="494"/>
      <c r="M567" s="1881"/>
      <c r="N567" s="1888"/>
    </row>
    <row r="568" spans="1:14" ht="12" thickBot="1">
      <c r="E568" s="494"/>
      <c r="M568" s="1882"/>
      <c r="N568" s="1888"/>
    </row>
    <row r="569" spans="1:14" ht="12" thickBot="1">
      <c r="E569" s="494"/>
      <c r="M569" s="1882"/>
      <c r="N569" s="1888"/>
    </row>
    <row r="570" spans="1:14" ht="12" thickBot="1">
      <c r="E570" s="494"/>
      <c r="M570" s="1882"/>
      <c r="N570" s="1888"/>
    </row>
    <row r="571" spans="1:14" ht="12" thickBot="1">
      <c r="E571" s="494"/>
      <c r="M571" s="1882"/>
      <c r="N571" s="1888"/>
    </row>
    <row r="572" spans="1:14" ht="12" thickBot="1">
      <c r="A572" s="1893"/>
      <c r="B572" s="1881"/>
      <c r="C572" s="1881"/>
      <c r="D572" s="1881"/>
      <c r="E572" s="1881"/>
      <c r="F572" s="1881"/>
      <c r="G572" s="1881"/>
      <c r="H572" s="1881"/>
      <c r="I572" s="1881"/>
      <c r="J572" s="1881"/>
      <c r="K572" s="1881"/>
      <c r="L572" s="1881"/>
      <c r="M572" s="1882"/>
      <c r="N572" s="1888"/>
    </row>
    <row r="573" spans="1:14" ht="12" thickBot="1">
      <c r="A573" s="1894"/>
      <c r="B573" s="1883"/>
      <c r="C573" s="1883"/>
      <c r="D573" s="1883"/>
      <c r="E573" s="1883"/>
      <c r="F573" s="1883"/>
      <c r="G573" s="1883"/>
      <c r="H573" s="1883"/>
      <c r="I573" s="1883"/>
      <c r="J573" s="1883"/>
      <c r="K573" s="1883"/>
      <c r="L573" s="1883"/>
      <c r="M573" s="1883"/>
      <c r="N573" s="1888"/>
    </row>
    <row r="574" spans="1:14" ht="12" thickBot="1">
      <c r="A574" s="1894"/>
      <c r="E574" s="494"/>
      <c r="N574" s="1888"/>
    </row>
    <row r="575" spans="1:14" ht="12" thickBot="1">
      <c r="A575" s="1894"/>
      <c r="E575" s="494"/>
      <c r="N575" s="1888"/>
    </row>
    <row r="576" spans="1:14" ht="12" thickBot="1">
      <c r="A576" s="1894"/>
      <c r="E576" s="494"/>
      <c r="N576" s="1888"/>
    </row>
    <row r="577" spans="1:14" ht="12" thickBot="1">
      <c r="A577" s="1894"/>
      <c r="E577" s="494"/>
      <c r="N577" s="1888"/>
    </row>
    <row r="578" spans="1:14" ht="12" thickBot="1">
      <c r="A578" s="1894"/>
      <c r="E578" s="494"/>
      <c r="N578" s="1888"/>
    </row>
    <row r="579" spans="1:14" ht="12" thickBot="1">
      <c r="A579" s="1894"/>
      <c r="E579" s="494"/>
      <c r="N579" s="1888"/>
    </row>
    <row r="580" spans="1:14">
      <c r="A580" s="1895"/>
      <c r="E580" s="494"/>
      <c r="N580" s="1889"/>
    </row>
    <row r="581" spans="1:14">
      <c r="E581" s="494"/>
      <c r="N581" s="570"/>
    </row>
    <row r="582" spans="1:14">
      <c r="E582" s="494"/>
      <c r="N582" s="570"/>
    </row>
    <row r="583" spans="1:14">
      <c r="E583" s="494"/>
      <c r="N583" s="570"/>
    </row>
    <row r="584" spans="1:14">
      <c r="E584" s="494"/>
      <c r="N584" s="570"/>
    </row>
    <row r="585" spans="1:14">
      <c r="E585" s="494"/>
      <c r="N585" s="570"/>
    </row>
    <row r="586" spans="1:14">
      <c r="E586" s="494"/>
      <c r="N586" s="570"/>
    </row>
    <row r="587" spans="1:14">
      <c r="E587" s="494"/>
      <c r="N587" s="570"/>
    </row>
    <row r="588" spans="1:14">
      <c r="E588" s="494"/>
      <c r="N588" s="570"/>
    </row>
    <row r="589" spans="1:14">
      <c r="E589" s="494"/>
      <c r="N589" s="570"/>
    </row>
    <row r="590" spans="1:14">
      <c r="E590" s="494"/>
      <c r="N590" s="570"/>
    </row>
    <row r="591" spans="1:14">
      <c r="E591" s="494"/>
      <c r="N591" s="570"/>
    </row>
    <row r="592" spans="1:14">
      <c r="E592" s="494"/>
      <c r="N592" s="570"/>
    </row>
    <row r="593" spans="5:14">
      <c r="E593" s="494"/>
      <c r="N593" s="570"/>
    </row>
    <row r="594" spans="5:14">
      <c r="E594" s="494"/>
      <c r="N594" s="570"/>
    </row>
    <row r="595" spans="5:14">
      <c r="E595" s="494"/>
      <c r="N595" s="570"/>
    </row>
    <row r="596" spans="5:14">
      <c r="E596" s="494"/>
      <c r="N596" s="570"/>
    </row>
    <row r="597" spans="5:14">
      <c r="E597" s="494"/>
      <c r="N597" s="570"/>
    </row>
    <row r="598" spans="5:14">
      <c r="E598" s="494"/>
      <c r="N598" s="570"/>
    </row>
    <row r="599" spans="5:14">
      <c r="E599" s="494"/>
      <c r="N599" s="570"/>
    </row>
    <row r="600" spans="5:14">
      <c r="E600" s="494"/>
      <c r="N600" s="570"/>
    </row>
    <row r="601" spans="5:14">
      <c r="E601" s="494"/>
      <c r="N601" s="570"/>
    </row>
    <row r="602" spans="5:14">
      <c r="E602" s="494"/>
      <c r="N602" s="570"/>
    </row>
    <row r="603" spans="5:14">
      <c r="E603" s="494"/>
      <c r="N603" s="570"/>
    </row>
    <row r="604" spans="5:14">
      <c r="E604" s="494"/>
      <c r="N604" s="570"/>
    </row>
    <row r="605" spans="5:14">
      <c r="E605" s="494"/>
      <c r="N605" s="570"/>
    </row>
    <row r="606" spans="5:14">
      <c r="E606" s="494"/>
      <c r="N606" s="570"/>
    </row>
    <row r="607" spans="5:14">
      <c r="E607" s="494"/>
      <c r="N607" s="570"/>
    </row>
    <row r="608" spans="5:14">
      <c r="E608" s="494"/>
      <c r="N608" s="570"/>
    </row>
    <row r="609" spans="5:14">
      <c r="E609" s="494"/>
      <c r="N609" s="570"/>
    </row>
    <row r="610" spans="5:14">
      <c r="E610" s="494"/>
      <c r="N610" s="570"/>
    </row>
    <row r="611" spans="5:14">
      <c r="E611" s="494"/>
      <c r="N611" s="570"/>
    </row>
    <row r="612" spans="5:14">
      <c r="E612" s="494"/>
      <c r="N612" s="570"/>
    </row>
    <row r="613" spans="5:14">
      <c r="E613" s="494"/>
      <c r="N613" s="570"/>
    </row>
    <row r="614" spans="5:14">
      <c r="E614" s="494"/>
      <c r="N614" s="570"/>
    </row>
    <row r="615" spans="5:14">
      <c r="E615" s="494"/>
      <c r="N615" s="570"/>
    </row>
    <row r="616" spans="5:14">
      <c r="E616" s="494"/>
      <c r="N616" s="570"/>
    </row>
    <row r="617" spans="5:14">
      <c r="E617" s="494"/>
      <c r="N617" s="570"/>
    </row>
    <row r="618" spans="5:14">
      <c r="E618" s="494"/>
      <c r="N618" s="570"/>
    </row>
    <row r="619" spans="5:14">
      <c r="E619" s="494"/>
      <c r="N619" s="570"/>
    </row>
    <row r="620" spans="5:14">
      <c r="E620" s="494"/>
      <c r="N620" s="570"/>
    </row>
    <row r="621" spans="5:14">
      <c r="E621" s="494"/>
      <c r="N621" s="570"/>
    </row>
    <row r="622" spans="5:14">
      <c r="E622" s="494"/>
      <c r="N622" s="570"/>
    </row>
    <row r="623" spans="5:14">
      <c r="E623" s="494"/>
      <c r="N623" s="570"/>
    </row>
    <row r="624" spans="5:14">
      <c r="E624" s="494"/>
      <c r="N624" s="570"/>
    </row>
    <row r="625" spans="5:14">
      <c r="E625" s="494"/>
      <c r="N625" s="570"/>
    </row>
    <row r="626" spans="5:14">
      <c r="E626" s="494"/>
      <c r="N626" s="570"/>
    </row>
    <row r="627" spans="5:14">
      <c r="E627" s="494"/>
      <c r="N627" s="570"/>
    </row>
    <row r="628" spans="5:14">
      <c r="E628" s="494"/>
      <c r="N628" s="570"/>
    </row>
    <row r="629" spans="5:14">
      <c r="E629" s="494"/>
      <c r="N629" s="570"/>
    </row>
    <row r="630" spans="5:14">
      <c r="E630" s="494"/>
      <c r="N630" s="570"/>
    </row>
    <row r="631" spans="5:14">
      <c r="E631" s="494"/>
      <c r="N631" s="570"/>
    </row>
    <row r="632" spans="5:14">
      <c r="E632" s="494"/>
      <c r="N632" s="570"/>
    </row>
    <row r="633" spans="5:14">
      <c r="E633" s="494"/>
      <c r="N633" s="570"/>
    </row>
    <row r="634" spans="5:14">
      <c r="E634" s="494"/>
      <c r="N634" s="570"/>
    </row>
    <row r="635" spans="5:14">
      <c r="E635" s="494"/>
      <c r="N635" s="570"/>
    </row>
    <row r="636" spans="5:14">
      <c r="E636" s="494"/>
      <c r="N636" s="570"/>
    </row>
    <row r="637" spans="5:14">
      <c r="E637" s="494"/>
      <c r="N637" s="570"/>
    </row>
    <row r="638" spans="5:14">
      <c r="E638" s="494"/>
      <c r="N638" s="570"/>
    </row>
    <row r="639" spans="5:14">
      <c r="E639" s="494"/>
      <c r="N639" s="570"/>
    </row>
    <row r="640" spans="5:14">
      <c r="E640" s="494"/>
      <c r="N640" s="570"/>
    </row>
    <row r="641" spans="5:14">
      <c r="E641" s="494"/>
      <c r="N641" s="570"/>
    </row>
    <row r="642" spans="5:14">
      <c r="E642" s="494"/>
      <c r="N642" s="570"/>
    </row>
    <row r="643" spans="5:14">
      <c r="E643" s="494"/>
      <c r="N643" s="570"/>
    </row>
    <row r="644" spans="5:14">
      <c r="E644" s="494"/>
      <c r="N644" s="570"/>
    </row>
    <row r="645" spans="5:14">
      <c r="E645" s="494"/>
      <c r="N645" s="570"/>
    </row>
    <row r="646" spans="5:14">
      <c r="E646" s="494"/>
      <c r="N646" s="570"/>
    </row>
    <row r="647" spans="5:14">
      <c r="E647" s="494"/>
      <c r="N647" s="570"/>
    </row>
    <row r="648" spans="5:14">
      <c r="E648" s="494"/>
      <c r="N648" s="570"/>
    </row>
    <row r="649" spans="5:14">
      <c r="E649" s="494"/>
      <c r="N649" s="570"/>
    </row>
    <row r="650" spans="5:14">
      <c r="E650" s="494"/>
      <c r="N650" s="570"/>
    </row>
    <row r="651" spans="5:14">
      <c r="E651" s="494"/>
      <c r="N651" s="570"/>
    </row>
    <row r="652" spans="5:14">
      <c r="E652" s="494"/>
      <c r="N652" s="570"/>
    </row>
    <row r="653" spans="5:14">
      <c r="E653" s="494"/>
      <c r="N653" s="570"/>
    </row>
    <row r="654" spans="5:14">
      <c r="E654" s="494"/>
      <c r="N654" s="570"/>
    </row>
    <row r="655" spans="5:14">
      <c r="E655" s="494"/>
      <c r="N655" s="570"/>
    </row>
    <row r="656" spans="5:14">
      <c r="E656" s="494"/>
      <c r="N656" s="570"/>
    </row>
    <row r="657" spans="5:14">
      <c r="E657" s="494"/>
      <c r="N657" s="570"/>
    </row>
    <row r="658" spans="5:14">
      <c r="E658" s="494"/>
      <c r="N658" s="570"/>
    </row>
    <row r="659" spans="5:14">
      <c r="E659" s="494"/>
      <c r="N659" s="570"/>
    </row>
    <row r="660" spans="5:14">
      <c r="E660" s="494"/>
      <c r="N660" s="570"/>
    </row>
    <row r="661" spans="5:14">
      <c r="E661" s="494"/>
      <c r="N661" s="570"/>
    </row>
    <row r="662" spans="5:14">
      <c r="E662" s="494"/>
      <c r="N662" s="570"/>
    </row>
    <row r="663" spans="5:14">
      <c r="E663" s="494"/>
      <c r="N663" s="570"/>
    </row>
    <row r="664" spans="5:14">
      <c r="E664" s="494"/>
      <c r="N664" s="570"/>
    </row>
    <row r="665" spans="5:14">
      <c r="E665" s="494"/>
      <c r="N665" s="570"/>
    </row>
    <row r="666" spans="5:14">
      <c r="E666" s="494"/>
      <c r="N666" s="570"/>
    </row>
    <row r="667" spans="5:14">
      <c r="E667" s="494"/>
      <c r="N667" s="570"/>
    </row>
    <row r="668" spans="5:14">
      <c r="E668" s="494"/>
      <c r="N668" s="570"/>
    </row>
    <row r="669" spans="5:14">
      <c r="E669" s="494"/>
      <c r="N669" s="570"/>
    </row>
    <row r="670" spans="5:14">
      <c r="E670" s="494"/>
      <c r="N670" s="570"/>
    </row>
    <row r="671" spans="5:14">
      <c r="E671" s="494"/>
      <c r="N671" s="570"/>
    </row>
    <row r="672" spans="5:14">
      <c r="E672" s="494"/>
      <c r="N672" s="570"/>
    </row>
    <row r="673" spans="5:14">
      <c r="E673" s="494"/>
      <c r="N673" s="570"/>
    </row>
    <row r="674" spans="5:14">
      <c r="E674" s="494"/>
      <c r="N674" s="570"/>
    </row>
    <row r="675" spans="5:14">
      <c r="E675" s="494"/>
      <c r="N675" s="570"/>
    </row>
    <row r="676" spans="5:14">
      <c r="E676" s="494"/>
      <c r="N676" s="570"/>
    </row>
    <row r="677" spans="5:14">
      <c r="E677" s="494"/>
      <c r="N677" s="570"/>
    </row>
    <row r="678" spans="5:14">
      <c r="E678" s="494"/>
      <c r="N678" s="570"/>
    </row>
    <row r="679" spans="5:14">
      <c r="E679" s="494"/>
      <c r="N679" s="570"/>
    </row>
    <row r="680" spans="5:14">
      <c r="E680" s="494"/>
      <c r="N680" s="570"/>
    </row>
    <row r="681" spans="5:14">
      <c r="E681" s="494"/>
      <c r="N681" s="570"/>
    </row>
    <row r="682" spans="5:14">
      <c r="E682" s="494"/>
      <c r="N682" s="570"/>
    </row>
    <row r="683" spans="5:14">
      <c r="E683" s="494"/>
      <c r="N683" s="570"/>
    </row>
    <row r="684" spans="5:14">
      <c r="E684" s="494"/>
      <c r="N684" s="570"/>
    </row>
    <row r="685" spans="5:14">
      <c r="E685" s="494"/>
      <c r="N685" s="570"/>
    </row>
    <row r="686" spans="5:14">
      <c r="E686" s="494"/>
      <c r="N686" s="570"/>
    </row>
    <row r="687" spans="5:14">
      <c r="E687" s="494"/>
      <c r="N687" s="570"/>
    </row>
    <row r="688" spans="5:14">
      <c r="E688" s="494"/>
      <c r="N688" s="570"/>
    </row>
    <row r="689" spans="5:14">
      <c r="E689" s="494"/>
      <c r="N689" s="570"/>
    </row>
    <row r="690" spans="5:14">
      <c r="E690" s="494"/>
      <c r="N690" s="570"/>
    </row>
    <row r="691" spans="5:14">
      <c r="E691" s="494"/>
      <c r="N691" s="570"/>
    </row>
    <row r="692" spans="5:14">
      <c r="E692" s="494"/>
      <c r="N692" s="570"/>
    </row>
    <row r="693" spans="5:14">
      <c r="E693" s="494"/>
      <c r="N693" s="570"/>
    </row>
    <row r="694" spans="5:14">
      <c r="E694" s="494"/>
      <c r="N694" s="570"/>
    </row>
    <row r="695" spans="5:14">
      <c r="E695" s="494"/>
      <c r="N695" s="570"/>
    </row>
    <row r="696" spans="5:14">
      <c r="E696" s="494"/>
      <c r="N696" s="570"/>
    </row>
    <row r="697" spans="5:14">
      <c r="E697" s="494"/>
      <c r="N697" s="570"/>
    </row>
    <row r="698" spans="5:14">
      <c r="E698" s="494"/>
      <c r="N698" s="570"/>
    </row>
    <row r="699" spans="5:14">
      <c r="E699" s="494"/>
      <c r="N699" s="570"/>
    </row>
    <row r="700" spans="5:14">
      <c r="E700" s="494"/>
      <c r="N700" s="570"/>
    </row>
    <row r="701" spans="5:14">
      <c r="E701" s="494"/>
      <c r="N701" s="570"/>
    </row>
    <row r="702" spans="5:14">
      <c r="E702" s="494"/>
      <c r="N702" s="570"/>
    </row>
    <row r="703" spans="5:14">
      <c r="E703" s="494"/>
      <c r="N703" s="570"/>
    </row>
    <row r="704" spans="5:14">
      <c r="E704" s="494"/>
      <c r="N704" s="570"/>
    </row>
    <row r="705" spans="5:14">
      <c r="E705" s="494"/>
      <c r="N705" s="570"/>
    </row>
  </sheetData>
  <mergeCells count="169">
    <mergeCell ref="N261:N267"/>
    <mergeCell ref="F4:F5"/>
    <mergeCell ref="N227:N229"/>
    <mergeCell ref="C228:C229"/>
    <mergeCell ref="A230:A238"/>
    <mergeCell ref="N230:N235"/>
    <mergeCell ref="C232:C235"/>
    <mergeCell ref="M236:M238"/>
    <mergeCell ref="N236:N238"/>
    <mergeCell ref="N61:N67"/>
    <mergeCell ref="C63:C67"/>
    <mergeCell ref="M68:M72"/>
    <mergeCell ref="N68:N72"/>
    <mergeCell ref="C69:C70"/>
    <mergeCell ref="C71:C72"/>
    <mergeCell ref="A110:A125"/>
    <mergeCell ref="A73:A84"/>
    <mergeCell ref="M227:M229"/>
    <mergeCell ref="A282:A293"/>
    <mergeCell ref="A273:A281"/>
    <mergeCell ref="N273:N278"/>
    <mergeCell ref="C275:C278"/>
    <mergeCell ref="M279:M281"/>
    <mergeCell ref="N279:N281"/>
    <mergeCell ref="C280:C281"/>
    <mergeCell ref="N282:N288"/>
    <mergeCell ref="C284:C288"/>
    <mergeCell ref="M289:M293"/>
    <mergeCell ref="N289:N293"/>
    <mergeCell ref="C290:C293"/>
    <mergeCell ref="C237:C238"/>
    <mergeCell ref="A217:A229"/>
    <mergeCell ref="N217:N226"/>
    <mergeCell ref="C219:C226"/>
    <mergeCell ref="C263:C267"/>
    <mergeCell ref="M268:M272"/>
    <mergeCell ref="A191:A203"/>
    <mergeCell ref="M201:M203"/>
    <mergeCell ref="C202:C203"/>
    <mergeCell ref="A204:A216"/>
    <mergeCell ref="M214:M216"/>
    <mergeCell ref="C215:C216"/>
    <mergeCell ref="N191:N198"/>
    <mergeCell ref="N201:N203"/>
    <mergeCell ref="N204:N211"/>
    <mergeCell ref="N214:N216"/>
    <mergeCell ref="C193:C199"/>
    <mergeCell ref="C206:C213"/>
    <mergeCell ref="N268:N272"/>
    <mergeCell ref="C269:C272"/>
    <mergeCell ref="M258:M260"/>
    <mergeCell ref="N258:N260"/>
    <mergeCell ref="C259:C260"/>
    <mergeCell ref="A261:A272"/>
    <mergeCell ref="A322:N323"/>
    <mergeCell ref="A314:A320"/>
    <mergeCell ref="N314:N320"/>
    <mergeCell ref="C316:C317"/>
    <mergeCell ref="C319:C320"/>
    <mergeCell ref="M318:M320"/>
    <mergeCell ref="A306:A309"/>
    <mergeCell ref="A239:A251"/>
    <mergeCell ref="N239:N248"/>
    <mergeCell ref="C241:C248"/>
    <mergeCell ref="M249:M251"/>
    <mergeCell ref="N249:N251"/>
    <mergeCell ref="C250:C251"/>
    <mergeCell ref="A310:A313"/>
    <mergeCell ref="N310:N313"/>
    <mergeCell ref="C312:C313"/>
    <mergeCell ref="N306:N309"/>
    <mergeCell ref="C308:C309"/>
    <mergeCell ref="C299:C302"/>
    <mergeCell ref="N295:N305"/>
    <mergeCell ref="M303:M305"/>
    <mergeCell ref="A252:A260"/>
    <mergeCell ref="N252:N257"/>
    <mergeCell ref="C254:C257"/>
    <mergeCell ref="A94:A109"/>
    <mergeCell ref="A49:A60"/>
    <mergeCell ref="C51:C55"/>
    <mergeCell ref="C59:C60"/>
    <mergeCell ref="A85:A93"/>
    <mergeCell ref="C87:C90"/>
    <mergeCell ref="C92:C93"/>
    <mergeCell ref="C96:C102"/>
    <mergeCell ref="A61:A72"/>
    <mergeCell ref="N49:N55"/>
    <mergeCell ref="M56:M60"/>
    <mergeCell ref="N56:N60"/>
    <mergeCell ref="A3:N3"/>
    <mergeCell ref="B4:B5"/>
    <mergeCell ref="C4:C5"/>
    <mergeCell ref="D4:D5"/>
    <mergeCell ref="N4:N5"/>
    <mergeCell ref="M4:M5"/>
    <mergeCell ref="L4:L5"/>
    <mergeCell ref="G4:K4"/>
    <mergeCell ref="C45:C46"/>
    <mergeCell ref="C33:C34"/>
    <mergeCell ref="N37:N43"/>
    <mergeCell ref="N44:N48"/>
    <mergeCell ref="M44:M48"/>
    <mergeCell ref="C39:C43"/>
    <mergeCell ref="N25:N31"/>
    <mergeCell ref="N32:N36"/>
    <mergeCell ref="M18:M24"/>
    <mergeCell ref="A25:A36"/>
    <mergeCell ref="C35:C36"/>
    <mergeCell ref="C27:C31"/>
    <mergeCell ref="C57:C58"/>
    <mergeCell ref="A126:A134"/>
    <mergeCell ref="M32:M36"/>
    <mergeCell ref="A37:A48"/>
    <mergeCell ref="A156:A168"/>
    <mergeCell ref="M166:M168"/>
    <mergeCell ref="C167:C168"/>
    <mergeCell ref="M121:M125"/>
    <mergeCell ref="N80:N84"/>
    <mergeCell ref="C81:C82"/>
    <mergeCell ref="C83:C84"/>
    <mergeCell ref="M105:M109"/>
    <mergeCell ref="N85:N90"/>
    <mergeCell ref="M91:M93"/>
    <mergeCell ref="N91:N93"/>
    <mergeCell ref="N141:N143"/>
    <mergeCell ref="N135:N140"/>
    <mergeCell ref="A135:A143"/>
    <mergeCell ref="N73:N79"/>
    <mergeCell ref="M80:M84"/>
    <mergeCell ref="C112:C118"/>
    <mergeCell ref="N111:N118"/>
    <mergeCell ref="C75:C79"/>
    <mergeCell ref="N94:N102"/>
    <mergeCell ref="C47:C48"/>
    <mergeCell ref="A169:A177"/>
    <mergeCell ref="C171:C174"/>
    <mergeCell ref="A144:A155"/>
    <mergeCell ref="C146:C150"/>
    <mergeCell ref="A178:A190"/>
    <mergeCell ref="C180:C185"/>
    <mergeCell ref="C158:C165"/>
    <mergeCell ref="C152:C153"/>
    <mergeCell ref="C154:C155"/>
    <mergeCell ref="C176:C177"/>
    <mergeCell ref="N157:N163"/>
    <mergeCell ref="N166:N168"/>
    <mergeCell ref="N170:N174"/>
    <mergeCell ref="N175:N177"/>
    <mergeCell ref="N179:N185"/>
    <mergeCell ref="N188:N190"/>
    <mergeCell ref="C122:C125"/>
    <mergeCell ref="C106:C109"/>
    <mergeCell ref="C137:C140"/>
    <mergeCell ref="M141:M143"/>
    <mergeCell ref="C142:C143"/>
    <mergeCell ref="N105:N109"/>
    <mergeCell ref="M188:M190"/>
    <mergeCell ref="C189:C190"/>
    <mergeCell ref="N144:N150"/>
    <mergeCell ref="N151:N155"/>
    <mergeCell ref="M175:M177"/>
    <mergeCell ref="M151:M155"/>
    <mergeCell ref="C128:C131"/>
    <mergeCell ref="M132:M134"/>
    <mergeCell ref="C133:C134"/>
    <mergeCell ref="N121:N125"/>
    <mergeCell ref="N132:N134"/>
    <mergeCell ref="N126:N131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4" firstPageNumber="29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48" max="13" man="1"/>
    <brk id="93" max="13" man="1"/>
    <brk id="134" max="13" man="1"/>
    <brk id="177" max="13" man="1"/>
    <brk id="238" max="13" man="1"/>
    <brk id="32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48"/>
  <sheetViews>
    <sheetView showGridLines="0" view="pageBreakPreview" zoomScale="110" zoomScaleSheetLayoutView="110" workbookViewId="0">
      <pane xSplit="3" ySplit="7" topLeftCell="I111" activePane="bottomRight" state="frozen"/>
      <selection pane="topRight" activeCell="D1" sqref="D1"/>
      <selection pane="bottomLeft" activeCell="A8" sqref="A8"/>
      <selection pane="bottomRight" activeCell="J118" sqref="J118:J128"/>
    </sheetView>
  </sheetViews>
  <sheetFormatPr defaultRowHeight="11.25"/>
  <cols>
    <col min="1" max="1" width="2.85546875" style="572" customWidth="1"/>
    <col min="2" max="2" width="60.42578125" style="443" customWidth="1"/>
    <col min="3" max="3" width="10.5703125" style="443" customWidth="1"/>
    <col min="4" max="4" width="14.140625" style="443" customWidth="1"/>
    <col min="5" max="5" width="13.28515625" style="443" customWidth="1"/>
    <col min="6" max="6" width="11.42578125" style="443" customWidth="1"/>
    <col min="7" max="7" width="10.140625" style="443" customWidth="1"/>
    <col min="8" max="8" width="10.7109375" style="443" customWidth="1"/>
    <col min="9" max="9" width="10.42578125" style="443" customWidth="1"/>
    <col min="10" max="11" width="9.28515625" style="443" customWidth="1"/>
    <col min="12" max="12" width="9.28515625" style="443" hidden="1" customWidth="1"/>
    <col min="13" max="13" width="11.42578125" style="443" customWidth="1"/>
    <col min="14" max="14" width="15.28515625" style="607" customWidth="1"/>
    <col min="15" max="15" width="11.85546875" style="443" hidden="1" customWidth="1"/>
    <col min="16" max="21" width="0" style="443" hidden="1" customWidth="1"/>
    <col min="22" max="250" width="9.140625" style="443"/>
    <col min="251" max="251" width="2.85546875" style="443" customWidth="1"/>
    <col min="252" max="252" width="50.7109375" style="443" customWidth="1"/>
    <col min="253" max="253" width="9.42578125" style="443" customWidth="1"/>
    <col min="254" max="254" width="11.85546875" style="443" customWidth="1"/>
    <col min="255" max="255" width="8.42578125" style="443" bestFit="1" customWidth="1"/>
    <col min="256" max="258" width="0" style="443" hidden="1" customWidth="1"/>
    <col min="259" max="259" width="6" style="443" bestFit="1" customWidth="1"/>
    <col min="260" max="260" width="9.5703125" style="443" customWidth="1"/>
    <col min="261" max="261" width="9.85546875" style="443" customWidth="1"/>
    <col min="262" max="262" width="9.7109375" style="443" customWidth="1"/>
    <col min="263" max="263" width="9.5703125" style="443" customWidth="1"/>
    <col min="264" max="264" width="9.85546875" style="443" customWidth="1"/>
    <col min="265" max="265" width="6.5703125" style="443" customWidth="1"/>
    <col min="266" max="266" width="6" style="443" bestFit="1" customWidth="1"/>
    <col min="267" max="267" width="6.28515625" style="443" customWidth="1"/>
    <col min="268" max="268" width="11.7109375" style="443" customWidth="1"/>
    <col min="269" max="269" width="0" style="443" hidden="1" customWidth="1"/>
    <col min="270" max="270" width="14.5703125" style="443" customWidth="1"/>
    <col min="271" max="271" width="11.85546875" style="443" customWidth="1"/>
    <col min="272" max="506" width="9.140625" style="443"/>
    <col min="507" max="507" width="2.85546875" style="443" customWidth="1"/>
    <col min="508" max="508" width="50.7109375" style="443" customWidth="1"/>
    <col min="509" max="509" width="9.42578125" style="443" customWidth="1"/>
    <col min="510" max="510" width="11.85546875" style="443" customWidth="1"/>
    <col min="511" max="511" width="8.42578125" style="443" bestFit="1" customWidth="1"/>
    <col min="512" max="514" width="0" style="443" hidden="1" customWidth="1"/>
    <col min="515" max="515" width="6" style="443" bestFit="1" customWidth="1"/>
    <col min="516" max="516" width="9.5703125" style="443" customWidth="1"/>
    <col min="517" max="517" width="9.85546875" style="443" customWidth="1"/>
    <col min="518" max="518" width="9.7109375" style="443" customWidth="1"/>
    <col min="519" max="519" width="9.5703125" style="443" customWidth="1"/>
    <col min="520" max="520" width="9.85546875" style="443" customWidth="1"/>
    <col min="521" max="521" width="6.5703125" style="443" customWidth="1"/>
    <col min="522" max="522" width="6" style="443" bestFit="1" customWidth="1"/>
    <col min="523" max="523" width="6.28515625" style="443" customWidth="1"/>
    <col min="524" max="524" width="11.7109375" style="443" customWidth="1"/>
    <col min="525" max="525" width="0" style="443" hidden="1" customWidth="1"/>
    <col min="526" max="526" width="14.5703125" style="443" customWidth="1"/>
    <col min="527" max="527" width="11.85546875" style="443" customWidth="1"/>
    <col min="528" max="762" width="9.140625" style="443"/>
    <col min="763" max="763" width="2.85546875" style="443" customWidth="1"/>
    <col min="764" max="764" width="50.7109375" style="443" customWidth="1"/>
    <col min="765" max="765" width="9.42578125" style="443" customWidth="1"/>
    <col min="766" max="766" width="11.85546875" style="443" customWidth="1"/>
    <col min="767" max="767" width="8.42578125" style="443" bestFit="1" customWidth="1"/>
    <col min="768" max="770" width="0" style="443" hidden="1" customWidth="1"/>
    <col min="771" max="771" width="6" style="443" bestFit="1" customWidth="1"/>
    <col min="772" max="772" width="9.5703125" style="443" customWidth="1"/>
    <col min="773" max="773" width="9.85546875" style="443" customWidth="1"/>
    <col min="774" max="774" width="9.7109375" style="443" customWidth="1"/>
    <col min="775" max="775" width="9.5703125" style="443" customWidth="1"/>
    <col min="776" max="776" width="9.85546875" style="443" customWidth="1"/>
    <col min="777" max="777" width="6.5703125" style="443" customWidth="1"/>
    <col min="778" max="778" width="6" style="443" bestFit="1" customWidth="1"/>
    <col min="779" max="779" width="6.28515625" style="443" customWidth="1"/>
    <col min="780" max="780" width="11.7109375" style="443" customWidth="1"/>
    <col min="781" max="781" width="0" style="443" hidden="1" customWidth="1"/>
    <col min="782" max="782" width="14.5703125" style="443" customWidth="1"/>
    <col min="783" max="783" width="11.85546875" style="443" customWidth="1"/>
    <col min="784" max="1018" width="9.140625" style="443"/>
    <col min="1019" max="1019" width="2.85546875" style="443" customWidth="1"/>
    <col min="1020" max="1020" width="50.7109375" style="443" customWidth="1"/>
    <col min="1021" max="1021" width="9.42578125" style="443" customWidth="1"/>
    <col min="1022" max="1022" width="11.85546875" style="443" customWidth="1"/>
    <col min="1023" max="1023" width="8.42578125" style="443" bestFit="1" customWidth="1"/>
    <col min="1024" max="1026" width="0" style="443" hidden="1" customWidth="1"/>
    <col min="1027" max="1027" width="6" style="443" bestFit="1" customWidth="1"/>
    <col min="1028" max="1028" width="9.5703125" style="443" customWidth="1"/>
    <col min="1029" max="1029" width="9.85546875" style="443" customWidth="1"/>
    <col min="1030" max="1030" width="9.7109375" style="443" customWidth="1"/>
    <col min="1031" max="1031" width="9.5703125" style="443" customWidth="1"/>
    <col min="1032" max="1032" width="9.85546875" style="443" customWidth="1"/>
    <col min="1033" max="1033" width="6.5703125" style="443" customWidth="1"/>
    <col min="1034" max="1034" width="6" style="443" bestFit="1" customWidth="1"/>
    <col min="1035" max="1035" width="6.28515625" style="443" customWidth="1"/>
    <col min="1036" max="1036" width="11.7109375" style="443" customWidth="1"/>
    <col min="1037" max="1037" width="0" style="443" hidden="1" customWidth="1"/>
    <col min="1038" max="1038" width="14.5703125" style="443" customWidth="1"/>
    <col min="1039" max="1039" width="11.85546875" style="443" customWidth="1"/>
    <col min="1040" max="1274" width="9.140625" style="443"/>
    <col min="1275" max="1275" width="2.85546875" style="443" customWidth="1"/>
    <col min="1276" max="1276" width="50.7109375" style="443" customWidth="1"/>
    <col min="1277" max="1277" width="9.42578125" style="443" customWidth="1"/>
    <col min="1278" max="1278" width="11.85546875" style="443" customWidth="1"/>
    <col min="1279" max="1279" width="8.42578125" style="443" bestFit="1" customWidth="1"/>
    <col min="1280" max="1282" width="0" style="443" hidden="1" customWidth="1"/>
    <col min="1283" max="1283" width="6" style="443" bestFit="1" customWidth="1"/>
    <col min="1284" max="1284" width="9.5703125" style="443" customWidth="1"/>
    <col min="1285" max="1285" width="9.85546875" style="443" customWidth="1"/>
    <col min="1286" max="1286" width="9.7109375" style="443" customWidth="1"/>
    <col min="1287" max="1287" width="9.5703125" style="443" customWidth="1"/>
    <col min="1288" max="1288" width="9.85546875" style="443" customWidth="1"/>
    <col min="1289" max="1289" width="6.5703125" style="443" customWidth="1"/>
    <col min="1290" max="1290" width="6" style="443" bestFit="1" customWidth="1"/>
    <col min="1291" max="1291" width="6.28515625" style="443" customWidth="1"/>
    <col min="1292" max="1292" width="11.7109375" style="443" customWidth="1"/>
    <col min="1293" max="1293" width="0" style="443" hidden="1" customWidth="1"/>
    <col min="1294" max="1294" width="14.5703125" style="443" customWidth="1"/>
    <col min="1295" max="1295" width="11.85546875" style="443" customWidth="1"/>
    <col min="1296" max="1530" width="9.140625" style="443"/>
    <col min="1531" max="1531" width="2.85546875" style="443" customWidth="1"/>
    <col min="1532" max="1532" width="50.7109375" style="443" customWidth="1"/>
    <col min="1533" max="1533" width="9.42578125" style="443" customWidth="1"/>
    <col min="1534" max="1534" width="11.85546875" style="443" customWidth="1"/>
    <col min="1535" max="1535" width="8.42578125" style="443" bestFit="1" customWidth="1"/>
    <col min="1536" max="1538" width="0" style="443" hidden="1" customWidth="1"/>
    <col min="1539" max="1539" width="6" style="443" bestFit="1" customWidth="1"/>
    <col min="1540" max="1540" width="9.5703125" style="443" customWidth="1"/>
    <col min="1541" max="1541" width="9.85546875" style="443" customWidth="1"/>
    <col min="1542" max="1542" width="9.7109375" style="443" customWidth="1"/>
    <col min="1543" max="1543" width="9.5703125" style="443" customWidth="1"/>
    <col min="1544" max="1544" width="9.85546875" style="443" customWidth="1"/>
    <col min="1545" max="1545" width="6.5703125" style="443" customWidth="1"/>
    <col min="1546" max="1546" width="6" style="443" bestFit="1" customWidth="1"/>
    <col min="1547" max="1547" width="6.28515625" style="443" customWidth="1"/>
    <col min="1548" max="1548" width="11.7109375" style="443" customWidth="1"/>
    <col min="1549" max="1549" width="0" style="443" hidden="1" customWidth="1"/>
    <col min="1550" max="1550" width="14.5703125" style="443" customWidth="1"/>
    <col min="1551" max="1551" width="11.85546875" style="443" customWidth="1"/>
    <col min="1552" max="1786" width="9.140625" style="443"/>
    <col min="1787" max="1787" width="2.85546875" style="443" customWidth="1"/>
    <col min="1788" max="1788" width="50.7109375" style="443" customWidth="1"/>
    <col min="1789" max="1789" width="9.42578125" style="443" customWidth="1"/>
    <col min="1790" max="1790" width="11.85546875" style="443" customWidth="1"/>
    <col min="1791" max="1791" width="8.42578125" style="443" bestFit="1" customWidth="1"/>
    <col min="1792" max="1794" width="0" style="443" hidden="1" customWidth="1"/>
    <col min="1795" max="1795" width="6" style="443" bestFit="1" customWidth="1"/>
    <col min="1796" max="1796" width="9.5703125" style="443" customWidth="1"/>
    <col min="1797" max="1797" width="9.85546875" style="443" customWidth="1"/>
    <col min="1798" max="1798" width="9.7109375" style="443" customWidth="1"/>
    <col min="1799" max="1799" width="9.5703125" style="443" customWidth="1"/>
    <col min="1800" max="1800" width="9.85546875" style="443" customWidth="1"/>
    <col min="1801" max="1801" width="6.5703125" style="443" customWidth="1"/>
    <col min="1802" max="1802" width="6" style="443" bestFit="1" customWidth="1"/>
    <col min="1803" max="1803" width="6.28515625" style="443" customWidth="1"/>
    <col min="1804" max="1804" width="11.7109375" style="443" customWidth="1"/>
    <col min="1805" max="1805" width="0" style="443" hidden="1" customWidth="1"/>
    <col min="1806" max="1806" width="14.5703125" style="443" customWidth="1"/>
    <col min="1807" max="1807" width="11.85546875" style="443" customWidth="1"/>
    <col min="1808" max="2042" width="9.140625" style="443"/>
    <col min="2043" max="2043" width="2.85546875" style="443" customWidth="1"/>
    <col min="2044" max="2044" width="50.7109375" style="443" customWidth="1"/>
    <col min="2045" max="2045" width="9.42578125" style="443" customWidth="1"/>
    <col min="2046" max="2046" width="11.85546875" style="443" customWidth="1"/>
    <col min="2047" max="2047" width="8.42578125" style="443" bestFit="1" customWidth="1"/>
    <col min="2048" max="2050" width="0" style="443" hidden="1" customWidth="1"/>
    <col min="2051" max="2051" width="6" style="443" bestFit="1" customWidth="1"/>
    <col min="2052" max="2052" width="9.5703125" style="443" customWidth="1"/>
    <col min="2053" max="2053" width="9.85546875" style="443" customWidth="1"/>
    <col min="2054" max="2054" width="9.7109375" style="443" customWidth="1"/>
    <col min="2055" max="2055" width="9.5703125" style="443" customWidth="1"/>
    <col min="2056" max="2056" width="9.85546875" style="443" customWidth="1"/>
    <col min="2057" max="2057" width="6.5703125" style="443" customWidth="1"/>
    <col min="2058" max="2058" width="6" style="443" bestFit="1" customWidth="1"/>
    <col min="2059" max="2059" width="6.28515625" style="443" customWidth="1"/>
    <col min="2060" max="2060" width="11.7109375" style="443" customWidth="1"/>
    <col min="2061" max="2061" width="0" style="443" hidden="1" customWidth="1"/>
    <col min="2062" max="2062" width="14.5703125" style="443" customWidth="1"/>
    <col min="2063" max="2063" width="11.85546875" style="443" customWidth="1"/>
    <col min="2064" max="2298" width="9.140625" style="443"/>
    <col min="2299" max="2299" width="2.85546875" style="443" customWidth="1"/>
    <col min="2300" max="2300" width="50.7109375" style="443" customWidth="1"/>
    <col min="2301" max="2301" width="9.42578125" style="443" customWidth="1"/>
    <col min="2302" max="2302" width="11.85546875" style="443" customWidth="1"/>
    <col min="2303" max="2303" width="8.42578125" style="443" bestFit="1" customWidth="1"/>
    <col min="2304" max="2306" width="0" style="443" hidden="1" customWidth="1"/>
    <col min="2307" max="2307" width="6" style="443" bestFit="1" customWidth="1"/>
    <col min="2308" max="2308" width="9.5703125" style="443" customWidth="1"/>
    <col min="2309" max="2309" width="9.85546875" style="443" customWidth="1"/>
    <col min="2310" max="2310" width="9.7109375" style="443" customWidth="1"/>
    <col min="2311" max="2311" width="9.5703125" style="443" customWidth="1"/>
    <col min="2312" max="2312" width="9.85546875" style="443" customWidth="1"/>
    <col min="2313" max="2313" width="6.5703125" style="443" customWidth="1"/>
    <col min="2314" max="2314" width="6" style="443" bestFit="1" customWidth="1"/>
    <col min="2315" max="2315" width="6.28515625" style="443" customWidth="1"/>
    <col min="2316" max="2316" width="11.7109375" style="443" customWidth="1"/>
    <col min="2317" max="2317" width="0" style="443" hidden="1" customWidth="1"/>
    <col min="2318" max="2318" width="14.5703125" style="443" customWidth="1"/>
    <col min="2319" max="2319" width="11.85546875" style="443" customWidth="1"/>
    <col min="2320" max="2554" width="9.140625" style="443"/>
    <col min="2555" max="2555" width="2.85546875" style="443" customWidth="1"/>
    <col min="2556" max="2556" width="50.7109375" style="443" customWidth="1"/>
    <col min="2557" max="2557" width="9.42578125" style="443" customWidth="1"/>
    <col min="2558" max="2558" width="11.85546875" style="443" customWidth="1"/>
    <col min="2559" max="2559" width="8.42578125" style="443" bestFit="1" customWidth="1"/>
    <col min="2560" max="2562" width="0" style="443" hidden="1" customWidth="1"/>
    <col min="2563" max="2563" width="6" style="443" bestFit="1" customWidth="1"/>
    <col min="2564" max="2564" width="9.5703125" style="443" customWidth="1"/>
    <col min="2565" max="2565" width="9.85546875" style="443" customWidth="1"/>
    <col min="2566" max="2566" width="9.7109375" style="443" customWidth="1"/>
    <col min="2567" max="2567" width="9.5703125" style="443" customWidth="1"/>
    <col min="2568" max="2568" width="9.85546875" style="443" customWidth="1"/>
    <col min="2569" max="2569" width="6.5703125" style="443" customWidth="1"/>
    <col min="2570" max="2570" width="6" style="443" bestFit="1" customWidth="1"/>
    <col min="2571" max="2571" width="6.28515625" style="443" customWidth="1"/>
    <col min="2572" max="2572" width="11.7109375" style="443" customWidth="1"/>
    <col min="2573" max="2573" width="0" style="443" hidden="1" customWidth="1"/>
    <col min="2574" max="2574" width="14.5703125" style="443" customWidth="1"/>
    <col min="2575" max="2575" width="11.85546875" style="443" customWidth="1"/>
    <col min="2576" max="2810" width="9.140625" style="443"/>
    <col min="2811" max="2811" width="2.85546875" style="443" customWidth="1"/>
    <col min="2812" max="2812" width="50.7109375" style="443" customWidth="1"/>
    <col min="2813" max="2813" width="9.42578125" style="443" customWidth="1"/>
    <col min="2814" max="2814" width="11.85546875" style="443" customWidth="1"/>
    <col min="2815" max="2815" width="8.42578125" style="443" bestFit="1" customWidth="1"/>
    <col min="2816" max="2818" width="0" style="443" hidden="1" customWidth="1"/>
    <col min="2819" max="2819" width="6" style="443" bestFit="1" customWidth="1"/>
    <col min="2820" max="2820" width="9.5703125" style="443" customWidth="1"/>
    <col min="2821" max="2821" width="9.85546875" style="443" customWidth="1"/>
    <col min="2822" max="2822" width="9.7109375" style="443" customWidth="1"/>
    <col min="2823" max="2823" width="9.5703125" style="443" customWidth="1"/>
    <col min="2824" max="2824" width="9.85546875" style="443" customWidth="1"/>
    <col min="2825" max="2825" width="6.5703125" style="443" customWidth="1"/>
    <col min="2826" max="2826" width="6" style="443" bestFit="1" customWidth="1"/>
    <col min="2827" max="2827" width="6.28515625" style="443" customWidth="1"/>
    <col min="2828" max="2828" width="11.7109375" style="443" customWidth="1"/>
    <col min="2829" max="2829" width="0" style="443" hidden="1" customWidth="1"/>
    <col min="2830" max="2830" width="14.5703125" style="443" customWidth="1"/>
    <col min="2831" max="2831" width="11.85546875" style="443" customWidth="1"/>
    <col min="2832" max="3066" width="9.140625" style="443"/>
    <col min="3067" max="3067" width="2.85546875" style="443" customWidth="1"/>
    <col min="3068" max="3068" width="50.7109375" style="443" customWidth="1"/>
    <col min="3069" max="3069" width="9.42578125" style="443" customWidth="1"/>
    <col min="3070" max="3070" width="11.85546875" style="443" customWidth="1"/>
    <col min="3071" max="3071" width="8.42578125" style="443" bestFit="1" customWidth="1"/>
    <col min="3072" max="3074" width="0" style="443" hidden="1" customWidth="1"/>
    <col min="3075" max="3075" width="6" style="443" bestFit="1" customWidth="1"/>
    <col min="3076" max="3076" width="9.5703125" style="443" customWidth="1"/>
    <col min="3077" max="3077" width="9.85546875" style="443" customWidth="1"/>
    <col min="3078" max="3078" width="9.7109375" style="443" customWidth="1"/>
    <col min="3079" max="3079" width="9.5703125" style="443" customWidth="1"/>
    <col min="3080" max="3080" width="9.85546875" style="443" customWidth="1"/>
    <col min="3081" max="3081" width="6.5703125" style="443" customWidth="1"/>
    <col min="3082" max="3082" width="6" style="443" bestFit="1" customWidth="1"/>
    <col min="3083" max="3083" width="6.28515625" style="443" customWidth="1"/>
    <col min="3084" max="3084" width="11.7109375" style="443" customWidth="1"/>
    <col min="3085" max="3085" width="0" style="443" hidden="1" customWidth="1"/>
    <col min="3086" max="3086" width="14.5703125" style="443" customWidth="1"/>
    <col min="3087" max="3087" width="11.85546875" style="443" customWidth="1"/>
    <col min="3088" max="3322" width="9.140625" style="443"/>
    <col min="3323" max="3323" width="2.85546875" style="443" customWidth="1"/>
    <col min="3324" max="3324" width="50.7109375" style="443" customWidth="1"/>
    <col min="3325" max="3325" width="9.42578125" style="443" customWidth="1"/>
    <col min="3326" max="3326" width="11.85546875" style="443" customWidth="1"/>
    <col min="3327" max="3327" width="8.42578125" style="443" bestFit="1" customWidth="1"/>
    <col min="3328" max="3330" width="0" style="443" hidden="1" customWidth="1"/>
    <col min="3331" max="3331" width="6" style="443" bestFit="1" customWidth="1"/>
    <col min="3332" max="3332" width="9.5703125" style="443" customWidth="1"/>
    <col min="3333" max="3333" width="9.85546875" style="443" customWidth="1"/>
    <col min="3334" max="3334" width="9.7109375" style="443" customWidth="1"/>
    <col min="3335" max="3335" width="9.5703125" style="443" customWidth="1"/>
    <col min="3336" max="3336" width="9.85546875" style="443" customWidth="1"/>
    <col min="3337" max="3337" width="6.5703125" style="443" customWidth="1"/>
    <col min="3338" max="3338" width="6" style="443" bestFit="1" customWidth="1"/>
    <col min="3339" max="3339" width="6.28515625" style="443" customWidth="1"/>
    <col min="3340" max="3340" width="11.7109375" style="443" customWidth="1"/>
    <col min="3341" max="3341" width="0" style="443" hidden="1" customWidth="1"/>
    <col min="3342" max="3342" width="14.5703125" style="443" customWidth="1"/>
    <col min="3343" max="3343" width="11.85546875" style="443" customWidth="1"/>
    <col min="3344" max="3578" width="9.140625" style="443"/>
    <col min="3579" max="3579" width="2.85546875" style="443" customWidth="1"/>
    <col min="3580" max="3580" width="50.7109375" style="443" customWidth="1"/>
    <col min="3581" max="3581" width="9.42578125" style="443" customWidth="1"/>
    <col min="3582" max="3582" width="11.85546875" style="443" customWidth="1"/>
    <col min="3583" max="3583" width="8.42578125" style="443" bestFit="1" customWidth="1"/>
    <col min="3584" max="3586" width="0" style="443" hidden="1" customWidth="1"/>
    <col min="3587" max="3587" width="6" style="443" bestFit="1" customWidth="1"/>
    <col min="3588" max="3588" width="9.5703125" style="443" customWidth="1"/>
    <col min="3589" max="3589" width="9.85546875" style="443" customWidth="1"/>
    <col min="3590" max="3590" width="9.7109375" style="443" customWidth="1"/>
    <col min="3591" max="3591" width="9.5703125" style="443" customWidth="1"/>
    <col min="3592" max="3592" width="9.85546875" style="443" customWidth="1"/>
    <col min="3593" max="3593" width="6.5703125" style="443" customWidth="1"/>
    <col min="3594" max="3594" width="6" style="443" bestFit="1" customWidth="1"/>
    <col min="3595" max="3595" width="6.28515625" style="443" customWidth="1"/>
    <col min="3596" max="3596" width="11.7109375" style="443" customWidth="1"/>
    <col min="3597" max="3597" width="0" style="443" hidden="1" customWidth="1"/>
    <col min="3598" max="3598" width="14.5703125" style="443" customWidth="1"/>
    <col min="3599" max="3599" width="11.85546875" style="443" customWidth="1"/>
    <col min="3600" max="3834" width="9.140625" style="443"/>
    <col min="3835" max="3835" width="2.85546875" style="443" customWidth="1"/>
    <col min="3836" max="3836" width="50.7109375" style="443" customWidth="1"/>
    <col min="3837" max="3837" width="9.42578125" style="443" customWidth="1"/>
    <col min="3838" max="3838" width="11.85546875" style="443" customWidth="1"/>
    <col min="3839" max="3839" width="8.42578125" style="443" bestFit="1" customWidth="1"/>
    <col min="3840" max="3842" width="0" style="443" hidden="1" customWidth="1"/>
    <col min="3843" max="3843" width="6" style="443" bestFit="1" customWidth="1"/>
    <col min="3844" max="3844" width="9.5703125" style="443" customWidth="1"/>
    <col min="3845" max="3845" width="9.85546875" style="443" customWidth="1"/>
    <col min="3846" max="3846" width="9.7109375" style="443" customWidth="1"/>
    <col min="3847" max="3847" width="9.5703125" style="443" customWidth="1"/>
    <col min="3848" max="3848" width="9.85546875" style="443" customWidth="1"/>
    <col min="3849" max="3849" width="6.5703125" style="443" customWidth="1"/>
    <col min="3850" max="3850" width="6" style="443" bestFit="1" customWidth="1"/>
    <col min="3851" max="3851" width="6.28515625" style="443" customWidth="1"/>
    <col min="3852" max="3852" width="11.7109375" style="443" customWidth="1"/>
    <col min="3853" max="3853" width="0" style="443" hidden="1" customWidth="1"/>
    <col min="3854" max="3854" width="14.5703125" style="443" customWidth="1"/>
    <col min="3855" max="3855" width="11.85546875" style="443" customWidth="1"/>
    <col min="3856" max="4090" width="9.140625" style="443"/>
    <col min="4091" max="4091" width="2.85546875" style="443" customWidth="1"/>
    <col min="4092" max="4092" width="50.7109375" style="443" customWidth="1"/>
    <col min="4093" max="4093" width="9.42578125" style="443" customWidth="1"/>
    <col min="4094" max="4094" width="11.85546875" style="443" customWidth="1"/>
    <col min="4095" max="4095" width="8.42578125" style="443" bestFit="1" customWidth="1"/>
    <col min="4096" max="4098" width="0" style="443" hidden="1" customWidth="1"/>
    <col min="4099" max="4099" width="6" style="443" bestFit="1" customWidth="1"/>
    <col min="4100" max="4100" width="9.5703125" style="443" customWidth="1"/>
    <col min="4101" max="4101" width="9.85546875" style="443" customWidth="1"/>
    <col min="4102" max="4102" width="9.7109375" style="443" customWidth="1"/>
    <col min="4103" max="4103" width="9.5703125" style="443" customWidth="1"/>
    <col min="4104" max="4104" width="9.85546875" style="443" customWidth="1"/>
    <col min="4105" max="4105" width="6.5703125" style="443" customWidth="1"/>
    <col min="4106" max="4106" width="6" style="443" bestFit="1" customWidth="1"/>
    <col min="4107" max="4107" width="6.28515625" style="443" customWidth="1"/>
    <col min="4108" max="4108" width="11.7109375" style="443" customWidth="1"/>
    <col min="4109" max="4109" width="0" style="443" hidden="1" customWidth="1"/>
    <col min="4110" max="4110" width="14.5703125" style="443" customWidth="1"/>
    <col min="4111" max="4111" width="11.85546875" style="443" customWidth="1"/>
    <col min="4112" max="4346" width="9.140625" style="443"/>
    <col min="4347" max="4347" width="2.85546875" style="443" customWidth="1"/>
    <col min="4348" max="4348" width="50.7109375" style="443" customWidth="1"/>
    <col min="4349" max="4349" width="9.42578125" style="443" customWidth="1"/>
    <col min="4350" max="4350" width="11.85546875" style="443" customWidth="1"/>
    <col min="4351" max="4351" width="8.42578125" style="443" bestFit="1" customWidth="1"/>
    <col min="4352" max="4354" width="0" style="443" hidden="1" customWidth="1"/>
    <col min="4355" max="4355" width="6" style="443" bestFit="1" customWidth="1"/>
    <col min="4356" max="4356" width="9.5703125" style="443" customWidth="1"/>
    <col min="4357" max="4357" width="9.85546875" style="443" customWidth="1"/>
    <col min="4358" max="4358" width="9.7109375" style="443" customWidth="1"/>
    <col min="4359" max="4359" width="9.5703125" style="443" customWidth="1"/>
    <col min="4360" max="4360" width="9.85546875" style="443" customWidth="1"/>
    <col min="4361" max="4361" width="6.5703125" style="443" customWidth="1"/>
    <col min="4362" max="4362" width="6" style="443" bestFit="1" customWidth="1"/>
    <col min="4363" max="4363" width="6.28515625" style="443" customWidth="1"/>
    <col min="4364" max="4364" width="11.7109375" style="443" customWidth="1"/>
    <col min="4365" max="4365" width="0" style="443" hidden="1" customWidth="1"/>
    <col min="4366" max="4366" width="14.5703125" style="443" customWidth="1"/>
    <col min="4367" max="4367" width="11.85546875" style="443" customWidth="1"/>
    <col min="4368" max="4602" width="9.140625" style="443"/>
    <col min="4603" max="4603" width="2.85546875" style="443" customWidth="1"/>
    <col min="4604" max="4604" width="50.7109375" style="443" customWidth="1"/>
    <col min="4605" max="4605" width="9.42578125" style="443" customWidth="1"/>
    <col min="4606" max="4606" width="11.85546875" style="443" customWidth="1"/>
    <col min="4607" max="4607" width="8.42578125" style="443" bestFit="1" customWidth="1"/>
    <col min="4608" max="4610" width="0" style="443" hidden="1" customWidth="1"/>
    <col min="4611" max="4611" width="6" style="443" bestFit="1" customWidth="1"/>
    <col min="4612" max="4612" width="9.5703125" style="443" customWidth="1"/>
    <col min="4613" max="4613" width="9.85546875" style="443" customWidth="1"/>
    <col min="4614" max="4614" width="9.7109375" style="443" customWidth="1"/>
    <col min="4615" max="4615" width="9.5703125" style="443" customWidth="1"/>
    <col min="4616" max="4616" width="9.85546875" style="443" customWidth="1"/>
    <col min="4617" max="4617" width="6.5703125" style="443" customWidth="1"/>
    <col min="4618" max="4618" width="6" style="443" bestFit="1" customWidth="1"/>
    <col min="4619" max="4619" width="6.28515625" style="443" customWidth="1"/>
    <col min="4620" max="4620" width="11.7109375" style="443" customWidth="1"/>
    <col min="4621" max="4621" width="0" style="443" hidden="1" customWidth="1"/>
    <col min="4622" max="4622" width="14.5703125" style="443" customWidth="1"/>
    <col min="4623" max="4623" width="11.85546875" style="443" customWidth="1"/>
    <col min="4624" max="4858" width="9.140625" style="443"/>
    <col min="4859" max="4859" width="2.85546875" style="443" customWidth="1"/>
    <col min="4860" max="4860" width="50.7109375" style="443" customWidth="1"/>
    <col min="4861" max="4861" width="9.42578125" style="443" customWidth="1"/>
    <col min="4862" max="4862" width="11.85546875" style="443" customWidth="1"/>
    <col min="4863" max="4863" width="8.42578125" style="443" bestFit="1" customWidth="1"/>
    <col min="4864" max="4866" width="0" style="443" hidden="1" customWidth="1"/>
    <col min="4867" max="4867" width="6" style="443" bestFit="1" customWidth="1"/>
    <col min="4868" max="4868" width="9.5703125" style="443" customWidth="1"/>
    <col min="4869" max="4869" width="9.85546875" style="443" customWidth="1"/>
    <col min="4870" max="4870" width="9.7109375" style="443" customWidth="1"/>
    <col min="4871" max="4871" width="9.5703125" style="443" customWidth="1"/>
    <col min="4872" max="4872" width="9.85546875" style="443" customWidth="1"/>
    <col min="4873" max="4873" width="6.5703125" style="443" customWidth="1"/>
    <col min="4874" max="4874" width="6" style="443" bestFit="1" customWidth="1"/>
    <col min="4875" max="4875" width="6.28515625" style="443" customWidth="1"/>
    <col min="4876" max="4876" width="11.7109375" style="443" customWidth="1"/>
    <col min="4877" max="4877" width="0" style="443" hidden="1" customWidth="1"/>
    <col min="4878" max="4878" width="14.5703125" style="443" customWidth="1"/>
    <col min="4879" max="4879" width="11.85546875" style="443" customWidth="1"/>
    <col min="4880" max="5114" width="9.140625" style="443"/>
    <col min="5115" max="5115" width="2.85546875" style="443" customWidth="1"/>
    <col min="5116" max="5116" width="50.7109375" style="443" customWidth="1"/>
    <col min="5117" max="5117" width="9.42578125" style="443" customWidth="1"/>
    <col min="5118" max="5118" width="11.85546875" style="443" customWidth="1"/>
    <col min="5119" max="5119" width="8.42578125" style="443" bestFit="1" customWidth="1"/>
    <col min="5120" max="5122" width="0" style="443" hidden="1" customWidth="1"/>
    <col min="5123" max="5123" width="6" style="443" bestFit="1" customWidth="1"/>
    <col min="5124" max="5124" width="9.5703125" style="443" customWidth="1"/>
    <col min="5125" max="5125" width="9.85546875" style="443" customWidth="1"/>
    <col min="5126" max="5126" width="9.7109375" style="443" customWidth="1"/>
    <col min="5127" max="5127" width="9.5703125" style="443" customWidth="1"/>
    <col min="5128" max="5128" width="9.85546875" style="443" customWidth="1"/>
    <col min="5129" max="5129" width="6.5703125" style="443" customWidth="1"/>
    <col min="5130" max="5130" width="6" style="443" bestFit="1" customWidth="1"/>
    <col min="5131" max="5131" width="6.28515625" style="443" customWidth="1"/>
    <col min="5132" max="5132" width="11.7109375" style="443" customWidth="1"/>
    <col min="5133" max="5133" width="0" style="443" hidden="1" customWidth="1"/>
    <col min="5134" max="5134" width="14.5703125" style="443" customWidth="1"/>
    <col min="5135" max="5135" width="11.85546875" style="443" customWidth="1"/>
    <col min="5136" max="5370" width="9.140625" style="443"/>
    <col min="5371" max="5371" width="2.85546875" style="443" customWidth="1"/>
    <col min="5372" max="5372" width="50.7109375" style="443" customWidth="1"/>
    <col min="5373" max="5373" width="9.42578125" style="443" customWidth="1"/>
    <col min="5374" max="5374" width="11.85546875" style="443" customWidth="1"/>
    <col min="5375" max="5375" width="8.42578125" style="443" bestFit="1" customWidth="1"/>
    <col min="5376" max="5378" width="0" style="443" hidden="1" customWidth="1"/>
    <col min="5379" max="5379" width="6" style="443" bestFit="1" customWidth="1"/>
    <col min="5380" max="5380" width="9.5703125" style="443" customWidth="1"/>
    <col min="5381" max="5381" width="9.85546875" style="443" customWidth="1"/>
    <col min="5382" max="5382" width="9.7109375" style="443" customWidth="1"/>
    <col min="5383" max="5383" width="9.5703125" style="443" customWidth="1"/>
    <col min="5384" max="5384" width="9.85546875" style="443" customWidth="1"/>
    <col min="5385" max="5385" width="6.5703125" style="443" customWidth="1"/>
    <col min="5386" max="5386" width="6" style="443" bestFit="1" customWidth="1"/>
    <col min="5387" max="5387" width="6.28515625" style="443" customWidth="1"/>
    <col min="5388" max="5388" width="11.7109375" style="443" customWidth="1"/>
    <col min="5389" max="5389" width="0" style="443" hidden="1" customWidth="1"/>
    <col min="5390" max="5390" width="14.5703125" style="443" customWidth="1"/>
    <col min="5391" max="5391" width="11.85546875" style="443" customWidth="1"/>
    <col min="5392" max="5626" width="9.140625" style="443"/>
    <col min="5627" max="5627" width="2.85546875" style="443" customWidth="1"/>
    <col min="5628" max="5628" width="50.7109375" style="443" customWidth="1"/>
    <col min="5629" max="5629" width="9.42578125" style="443" customWidth="1"/>
    <col min="5630" max="5630" width="11.85546875" style="443" customWidth="1"/>
    <col min="5631" max="5631" width="8.42578125" style="443" bestFit="1" customWidth="1"/>
    <col min="5632" max="5634" width="0" style="443" hidden="1" customWidth="1"/>
    <col min="5635" max="5635" width="6" style="443" bestFit="1" customWidth="1"/>
    <col min="5636" max="5636" width="9.5703125" style="443" customWidth="1"/>
    <col min="5637" max="5637" width="9.85546875" style="443" customWidth="1"/>
    <col min="5638" max="5638" width="9.7109375" style="443" customWidth="1"/>
    <col min="5639" max="5639" width="9.5703125" style="443" customWidth="1"/>
    <col min="5640" max="5640" width="9.85546875" style="443" customWidth="1"/>
    <col min="5641" max="5641" width="6.5703125" style="443" customWidth="1"/>
    <col min="5642" max="5642" width="6" style="443" bestFit="1" customWidth="1"/>
    <col min="5643" max="5643" width="6.28515625" style="443" customWidth="1"/>
    <col min="5644" max="5644" width="11.7109375" style="443" customWidth="1"/>
    <col min="5645" max="5645" width="0" style="443" hidden="1" customWidth="1"/>
    <col min="5646" max="5646" width="14.5703125" style="443" customWidth="1"/>
    <col min="5647" max="5647" width="11.85546875" style="443" customWidth="1"/>
    <col min="5648" max="5882" width="9.140625" style="443"/>
    <col min="5883" max="5883" width="2.85546875" style="443" customWidth="1"/>
    <col min="5884" max="5884" width="50.7109375" style="443" customWidth="1"/>
    <col min="5885" max="5885" width="9.42578125" style="443" customWidth="1"/>
    <col min="5886" max="5886" width="11.85546875" style="443" customWidth="1"/>
    <col min="5887" max="5887" width="8.42578125" style="443" bestFit="1" customWidth="1"/>
    <col min="5888" max="5890" width="0" style="443" hidden="1" customWidth="1"/>
    <col min="5891" max="5891" width="6" style="443" bestFit="1" customWidth="1"/>
    <col min="5892" max="5892" width="9.5703125" style="443" customWidth="1"/>
    <col min="5893" max="5893" width="9.85546875" style="443" customWidth="1"/>
    <col min="5894" max="5894" width="9.7109375" style="443" customWidth="1"/>
    <col min="5895" max="5895" width="9.5703125" style="443" customWidth="1"/>
    <col min="5896" max="5896" width="9.85546875" style="443" customWidth="1"/>
    <col min="5897" max="5897" width="6.5703125" style="443" customWidth="1"/>
    <col min="5898" max="5898" width="6" style="443" bestFit="1" customWidth="1"/>
    <col min="5899" max="5899" width="6.28515625" style="443" customWidth="1"/>
    <col min="5900" max="5900" width="11.7109375" style="443" customWidth="1"/>
    <col min="5901" max="5901" width="0" style="443" hidden="1" customWidth="1"/>
    <col min="5902" max="5902" width="14.5703125" style="443" customWidth="1"/>
    <col min="5903" max="5903" width="11.85546875" style="443" customWidth="1"/>
    <col min="5904" max="6138" width="9.140625" style="443"/>
    <col min="6139" max="6139" width="2.85546875" style="443" customWidth="1"/>
    <col min="6140" max="6140" width="50.7109375" style="443" customWidth="1"/>
    <col min="6141" max="6141" width="9.42578125" style="443" customWidth="1"/>
    <col min="6142" max="6142" width="11.85546875" style="443" customWidth="1"/>
    <col min="6143" max="6143" width="8.42578125" style="443" bestFit="1" customWidth="1"/>
    <col min="6144" max="6146" width="0" style="443" hidden="1" customWidth="1"/>
    <col min="6147" max="6147" width="6" style="443" bestFit="1" customWidth="1"/>
    <col min="6148" max="6148" width="9.5703125" style="443" customWidth="1"/>
    <col min="6149" max="6149" width="9.85546875" style="443" customWidth="1"/>
    <col min="6150" max="6150" width="9.7109375" style="443" customWidth="1"/>
    <col min="6151" max="6151" width="9.5703125" style="443" customWidth="1"/>
    <col min="6152" max="6152" width="9.85546875" style="443" customWidth="1"/>
    <col min="6153" max="6153" width="6.5703125" style="443" customWidth="1"/>
    <col min="6154" max="6154" width="6" style="443" bestFit="1" customWidth="1"/>
    <col min="6155" max="6155" width="6.28515625" style="443" customWidth="1"/>
    <col min="6156" max="6156" width="11.7109375" style="443" customWidth="1"/>
    <col min="6157" max="6157" width="0" style="443" hidden="1" customWidth="1"/>
    <col min="6158" max="6158" width="14.5703125" style="443" customWidth="1"/>
    <col min="6159" max="6159" width="11.85546875" style="443" customWidth="1"/>
    <col min="6160" max="6394" width="9.140625" style="443"/>
    <col min="6395" max="6395" width="2.85546875" style="443" customWidth="1"/>
    <col min="6396" max="6396" width="50.7109375" style="443" customWidth="1"/>
    <col min="6397" max="6397" width="9.42578125" style="443" customWidth="1"/>
    <col min="6398" max="6398" width="11.85546875" style="443" customWidth="1"/>
    <col min="6399" max="6399" width="8.42578125" style="443" bestFit="1" customWidth="1"/>
    <col min="6400" max="6402" width="0" style="443" hidden="1" customWidth="1"/>
    <col min="6403" max="6403" width="6" style="443" bestFit="1" customWidth="1"/>
    <col min="6404" max="6404" width="9.5703125" style="443" customWidth="1"/>
    <col min="6405" max="6405" width="9.85546875" style="443" customWidth="1"/>
    <col min="6406" max="6406" width="9.7109375" style="443" customWidth="1"/>
    <col min="6407" max="6407" width="9.5703125" style="443" customWidth="1"/>
    <col min="6408" max="6408" width="9.85546875" style="443" customWidth="1"/>
    <col min="6409" max="6409" width="6.5703125" style="443" customWidth="1"/>
    <col min="6410" max="6410" width="6" style="443" bestFit="1" customWidth="1"/>
    <col min="6411" max="6411" width="6.28515625" style="443" customWidth="1"/>
    <col min="6412" max="6412" width="11.7109375" style="443" customWidth="1"/>
    <col min="6413" max="6413" width="0" style="443" hidden="1" customWidth="1"/>
    <col min="6414" max="6414" width="14.5703125" style="443" customWidth="1"/>
    <col min="6415" max="6415" width="11.85546875" style="443" customWidth="1"/>
    <col min="6416" max="6650" width="9.140625" style="443"/>
    <col min="6651" max="6651" width="2.85546875" style="443" customWidth="1"/>
    <col min="6652" max="6652" width="50.7109375" style="443" customWidth="1"/>
    <col min="6653" max="6653" width="9.42578125" style="443" customWidth="1"/>
    <col min="6654" max="6654" width="11.85546875" style="443" customWidth="1"/>
    <col min="6655" max="6655" width="8.42578125" style="443" bestFit="1" customWidth="1"/>
    <col min="6656" max="6658" width="0" style="443" hidden="1" customWidth="1"/>
    <col min="6659" max="6659" width="6" style="443" bestFit="1" customWidth="1"/>
    <col min="6660" max="6660" width="9.5703125" style="443" customWidth="1"/>
    <col min="6661" max="6661" width="9.85546875" style="443" customWidth="1"/>
    <col min="6662" max="6662" width="9.7109375" style="443" customWidth="1"/>
    <col min="6663" max="6663" width="9.5703125" style="443" customWidth="1"/>
    <col min="6664" max="6664" width="9.85546875" style="443" customWidth="1"/>
    <col min="6665" max="6665" width="6.5703125" style="443" customWidth="1"/>
    <col min="6666" max="6666" width="6" style="443" bestFit="1" customWidth="1"/>
    <col min="6667" max="6667" width="6.28515625" style="443" customWidth="1"/>
    <col min="6668" max="6668" width="11.7109375" style="443" customWidth="1"/>
    <col min="6669" max="6669" width="0" style="443" hidden="1" customWidth="1"/>
    <col min="6670" max="6670" width="14.5703125" style="443" customWidth="1"/>
    <col min="6671" max="6671" width="11.85546875" style="443" customWidth="1"/>
    <col min="6672" max="6906" width="9.140625" style="443"/>
    <col min="6907" max="6907" width="2.85546875" style="443" customWidth="1"/>
    <col min="6908" max="6908" width="50.7109375" style="443" customWidth="1"/>
    <col min="6909" max="6909" width="9.42578125" style="443" customWidth="1"/>
    <col min="6910" max="6910" width="11.85546875" style="443" customWidth="1"/>
    <col min="6911" max="6911" width="8.42578125" style="443" bestFit="1" customWidth="1"/>
    <col min="6912" max="6914" width="0" style="443" hidden="1" customWidth="1"/>
    <col min="6915" max="6915" width="6" style="443" bestFit="1" customWidth="1"/>
    <col min="6916" max="6916" width="9.5703125" style="443" customWidth="1"/>
    <col min="6917" max="6917" width="9.85546875" style="443" customWidth="1"/>
    <col min="6918" max="6918" width="9.7109375" style="443" customWidth="1"/>
    <col min="6919" max="6919" width="9.5703125" style="443" customWidth="1"/>
    <col min="6920" max="6920" width="9.85546875" style="443" customWidth="1"/>
    <col min="6921" max="6921" width="6.5703125" style="443" customWidth="1"/>
    <col min="6922" max="6922" width="6" style="443" bestFit="1" customWidth="1"/>
    <col min="6923" max="6923" width="6.28515625" style="443" customWidth="1"/>
    <col min="6924" max="6924" width="11.7109375" style="443" customWidth="1"/>
    <col min="6925" max="6925" width="0" style="443" hidden="1" customWidth="1"/>
    <col min="6926" max="6926" width="14.5703125" style="443" customWidth="1"/>
    <col min="6927" max="6927" width="11.85546875" style="443" customWidth="1"/>
    <col min="6928" max="7162" width="9.140625" style="443"/>
    <col min="7163" max="7163" width="2.85546875" style="443" customWidth="1"/>
    <col min="7164" max="7164" width="50.7109375" style="443" customWidth="1"/>
    <col min="7165" max="7165" width="9.42578125" style="443" customWidth="1"/>
    <col min="7166" max="7166" width="11.85546875" style="443" customWidth="1"/>
    <col min="7167" max="7167" width="8.42578125" style="443" bestFit="1" customWidth="1"/>
    <col min="7168" max="7170" width="0" style="443" hidden="1" customWidth="1"/>
    <col min="7171" max="7171" width="6" style="443" bestFit="1" customWidth="1"/>
    <col min="7172" max="7172" width="9.5703125" style="443" customWidth="1"/>
    <col min="7173" max="7173" width="9.85546875" style="443" customWidth="1"/>
    <col min="7174" max="7174" width="9.7109375" style="443" customWidth="1"/>
    <col min="7175" max="7175" width="9.5703125" style="443" customWidth="1"/>
    <col min="7176" max="7176" width="9.85546875" style="443" customWidth="1"/>
    <col min="7177" max="7177" width="6.5703125" style="443" customWidth="1"/>
    <col min="7178" max="7178" width="6" style="443" bestFit="1" customWidth="1"/>
    <col min="7179" max="7179" width="6.28515625" style="443" customWidth="1"/>
    <col min="7180" max="7180" width="11.7109375" style="443" customWidth="1"/>
    <col min="7181" max="7181" width="0" style="443" hidden="1" customWidth="1"/>
    <col min="7182" max="7182" width="14.5703125" style="443" customWidth="1"/>
    <col min="7183" max="7183" width="11.85546875" style="443" customWidth="1"/>
    <col min="7184" max="7418" width="9.140625" style="443"/>
    <col min="7419" max="7419" width="2.85546875" style="443" customWidth="1"/>
    <col min="7420" max="7420" width="50.7109375" style="443" customWidth="1"/>
    <col min="7421" max="7421" width="9.42578125" style="443" customWidth="1"/>
    <col min="7422" max="7422" width="11.85546875" style="443" customWidth="1"/>
    <col min="7423" max="7423" width="8.42578125" style="443" bestFit="1" customWidth="1"/>
    <col min="7424" max="7426" width="0" style="443" hidden="1" customWidth="1"/>
    <col min="7427" max="7427" width="6" style="443" bestFit="1" customWidth="1"/>
    <col min="7428" max="7428" width="9.5703125" style="443" customWidth="1"/>
    <col min="7429" max="7429" width="9.85546875" style="443" customWidth="1"/>
    <col min="7430" max="7430" width="9.7109375" style="443" customWidth="1"/>
    <col min="7431" max="7431" width="9.5703125" style="443" customWidth="1"/>
    <col min="7432" max="7432" width="9.85546875" style="443" customWidth="1"/>
    <col min="7433" max="7433" width="6.5703125" style="443" customWidth="1"/>
    <col min="7434" max="7434" width="6" style="443" bestFit="1" customWidth="1"/>
    <col min="7435" max="7435" width="6.28515625" style="443" customWidth="1"/>
    <col min="7436" max="7436" width="11.7109375" style="443" customWidth="1"/>
    <col min="7437" max="7437" width="0" style="443" hidden="1" customWidth="1"/>
    <col min="7438" max="7438" width="14.5703125" style="443" customWidth="1"/>
    <col min="7439" max="7439" width="11.85546875" style="443" customWidth="1"/>
    <col min="7440" max="7674" width="9.140625" style="443"/>
    <col min="7675" max="7675" width="2.85546875" style="443" customWidth="1"/>
    <col min="7676" max="7676" width="50.7109375" style="443" customWidth="1"/>
    <col min="7677" max="7677" width="9.42578125" style="443" customWidth="1"/>
    <col min="7678" max="7678" width="11.85546875" style="443" customWidth="1"/>
    <col min="7679" max="7679" width="8.42578125" style="443" bestFit="1" customWidth="1"/>
    <col min="7680" max="7682" width="0" style="443" hidden="1" customWidth="1"/>
    <col min="7683" max="7683" width="6" style="443" bestFit="1" customWidth="1"/>
    <col min="7684" max="7684" width="9.5703125" style="443" customWidth="1"/>
    <col min="7685" max="7685" width="9.85546875" style="443" customWidth="1"/>
    <col min="7686" max="7686" width="9.7109375" style="443" customWidth="1"/>
    <col min="7687" max="7687" width="9.5703125" style="443" customWidth="1"/>
    <col min="7688" max="7688" width="9.85546875" style="443" customWidth="1"/>
    <col min="7689" max="7689" width="6.5703125" style="443" customWidth="1"/>
    <col min="7690" max="7690" width="6" style="443" bestFit="1" customWidth="1"/>
    <col min="7691" max="7691" width="6.28515625" style="443" customWidth="1"/>
    <col min="7692" max="7692" width="11.7109375" style="443" customWidth="1"/>
    <col min="7693" max="7693" width="0" style="443" hidden="1" customWidth="1"/>
    <col min="7694" max="7694" width="14.5703125" style="443" customWidth="1"/>
    <col min="7695" max="7695" width="11.85546875" style="443" customWidth="1"/>
    <col min="7696" max="7930" width="9.140625" style="443"/>
    <col min="7931" max="7931" width="2.85546875" style="443" customWidth="1"/>
    <col min="7932" max="7932" width="50.7109375" style="443" customWidth="1"/>
    <col min="7933" max="7933" width="9.42578125" style="443" customWidth="1"/>
    <col min="7934" max="7934" width="11.85546875" style="443" customWidth="1"/>
    <col min="7935" max="7935" width="8.42578125" style="443" bestFit="1" customWidth="1"/>
    <col min="7936" max="7938" width="0" style="443" hidden="1" customWidth="1"/>
    <col min="7939" max="7939" width="6" style="443" bestFit="1" customWidth="1"/>
    <col min="7940" max="7940" width="9.5703125" style="443" customWidth="1"/>
    <col min="7941" max="7941" width="9.85546875" style="443" customWidth="1"/>
    <col min="7942" max="7942" width="9.7109375" style="443" customWidth="1"/>
    <col min="7943" max="7943" width="9.5703125" style="443" customWidth="1"/>
    <col min="7944" max="7944" width="9.85546875" style="443" customWidth="1"/>
    <col min="7945" max="7945" width="6.5703125" style="443" customWidth="1"/>
    <col min="7946" max="7946" width="6" style="443" bestFit="1" customWidth="1"/>
    <col min="7947" max="7947" width="6.28515625" style="443" customWidth="1"/>
    <col min="7948" max="7948" width="11.7109375" style="443" customWidth="1"/>
    <col min="7949" max="7949" width="0" style="443" hidden="1" customWidth="1"/>
    <col min="7950" max="7950" width="14.5703125" style="443" customWidth="1"/>
    <col min="7951" max="7951" width="11.85546875" style="443" customWidth="1"/>
    <col min="7952" max="8186" width="9.140625" style="443"/>
    <col min="8187" max="8187" width="2.85546875" style="443" customWidth="1"/>
    <col min="8188" max="8188" width="50.7109375" style="443" customWidth="1"/>
    <col min="8189" max="8189" width="9.42578125" style="443" customWidth="1"/>
    <col min="8190" max="8190" width="11.85546875" style="443" customWidth="1"/>
    <col min="8191" max="8191" width="8.42578125" style="443" bestFit="1" customWidth="1"/>
    <col min="8192" max="8194" width="0" style="443" hidden="1" customWidth="1"/>
    <col min="8195" max="8195" width="6" style="443" bestFit="1" customWidth="1"/>
    <col min="8196" max="8196" width="9.5703125" style="443" customWidth="1"/>
    <col min="8197" max="8197" width="9.85546875" style="443" customWidth="1"/>
    <col min="8198" max="8198" width="9.7109375" style="443" customWidth="1"/>
    <col min="8199" max="8199" width="9.5703125" style="443" customWidth="1"/>
    <col min="8200" max="8200" width="9.85546875" style="443" customWidth="1"/>
    <col min="8201" max="8201" width="6.5703125" style="443" customWidth="1"/>
    <col min="8202" max="8202" width="6" style="443" bestFit="1" customWidth="1"/>
    <col min="8203" max="8203" width="6.28515625" style="443" customWidth="1"/>
    <col min="8204" max="8204" width="11.7109375" style="443" customWidth="1"/>
    <col min="8205" max="8205" width="0" style="443" hidden="1" customWidth="1"/>
    <col min="8206" max="8206" width="14.5703125" style="443" customWidth="1"/>
    <col min="8207" max="8207" width="11.85546875" style="443" customWidth="1"/>
    <col min="8208" max="8442" width="9.140625" style="443"/>
    <col min="8443" max="8443" width="2.85546875" style="443" customWidth="1"/>
    <col min="8444" max="8444" width="50.7109375" style="443" customWidth="1"/>
    <col min="8445" max="8445" width="9.42578125" style="443" customWidth="1"/>
    <col min="8446" max="8446" width="11.85546875" style="443" customWidth="1"/>
    <col min="8447" max="8447" width="8.42578125" style="443" bestFit="1" customWidth="1"/>
    <col min="8448" max="8450" width="0" style="443" hidden="1" customWidth="1"/>
    <col min="8451" max="8451" width="6" style="443" bestFit="1" customWidth="1"/>
    <col min="8452" max="8452" width="9.5703125" style="443" customWidth="1"/>
    <col min="8453" max="8453" width="9.85546875" style="443" customWidth="1"/>
    <col min="8454" max="8454" width="9.7109375" style="443" customWidth="1"/>
    <col min="8455" max="8455" width="9.5703125" style="443" customWidth="1"/>
    <col min="8456" max="8456" width="9.85546875" style="443" customWidth="1"/>
    <col min="8457" max="8457" width="6.5703125" style="443" customWidth="1"/>
    <col min="8458" max="8458" width="6" style="443" bestFit="1" customWidth="1"/>
    <col min="8459" max="8459" width="6.28515625" style="443" customWidth="1"/>
    <col min="8460" max="8460" width="11.7109375" style="443" customWidth="1"/>
    <col min="8461" max="8461" width="0" style="443" hidden="1" customWidth="1"/>
    <col min="8462" max="8462" width="14.5703125" style="443" customWidth="1"/>
    <col min="8463" max="8463" width="11.85546875" style="443" customWidth="1"/>
    <col min="8464" max="8698" width="9.140625" style="443"/>
    <col min="8699" max="8699" width="2.85546875" style="443" customWidth="1"/>
    <col min="8700" max="8700" width="50.7109375" style="443" customWidth="1"/>
    <col min="8701" max="8701" width="9.42578125" style="443" customWidth="1"/>
    <col min="8702" max="8702" width="11.85546875" style="443" customWidth="1"/>
    <col min="8703" max="8703" width="8.42578125" style="443" bestFit="1" customWidth="1"/>
    <col min="8704" max="8706" width="0" style="443" hidden="1" customWidth="1"/>
    <col min="8707" max="8707" width="6" style="443" bestFit="1" customWidth="1"/>
    <col min="8708" max="8708" width="9.5703125" style="443" customWidth="1"/>
    <col min="8709" max="8709" width="9.85546875" style="443" customWidth="1"/>
    <col min="8710" max="8710" width="9.7109375" style="443" customWidth="1"/>
    <col min="8711" max="8711" width="9.5703125" style="443" customWidth="1"/>
    <col min="8712" max="8712" width="9.85546875" style="443" customWidth="1"/>
    <col min="8713" max="8713" width="6.5703125" style="443" customWidth="1"/>
    <col min="8714" max="8714" width="6" style="443" bestFit="1" customWidth="1"/>
    <col min="8715" max="8715" width="6.28515625" style="443" customWidth="1"/>
    <col min="8716" max="8716" width="11.7109375" style="443" customWidth="1"/>
    <col min="8717" max="8717" width="0" style="443" hidden="1" customWidth="1"/>
    <col min="8718" max="8718" width="14.5703125" style="443" customWidth="1"/>
    <col min="8719" max="8719" width="11.85546875" style="443" customWidth="1"/>
    <col min="8720" max="8954" width="9.140625" style="443"/>
    <col min="8955" max="8955" width="2.85546875" style="443" customWidth="1"/>
    <col min="8956" max="8956" width="50.7109375" style="443" customWidth="1"/>
    <col min="8957" max="8957" width="9.42578125" style="443" customWidth="1"/>
    <col min="8958" max="8958" width="11.85546875" style="443" customWidth="1"/>
    <col min="8959" max="8959" width="8.42578125" style="443" bestFit="1" customWidth="1"/>
    <col min="8960" max="8962" width="0" style="443" hidden="1" customWidth="1"/>
    <col min="8963" max="8963" width="6" style="443" bestFit="1" customWidth="1"/>
    <col min="8964" max="8964" width="9.5703125" style="443" customWidth="1"/>
    <col min="8965" max="8965" width="9.85546875" style="443" customWidth="1"/>
    <col min="8966" max="8966" width="9.7109375" style="443" customWidth="1"/>
    <col min="8967" max="8967" width="9.5703125" style="443" customWidth="1"/>
    <col min="8968" max="8968" width="9.85546875" style="443" customWidth="1"/>
    <col min="8969" max="8969" width="6.5703125" style="443" customWidth="1"/>
    <col min="8970" max="8970" width="6" style="443" bestFit="1" customWidth="1"/>
    <col min="8971" max="8971" width="6.28515625" style="443" customWidth="1"/>
    <col min="8972" max="8972" width="11.7109375" style="443" customWidth="1"/>
    <col min="8973" max="8973" width="0" style="443" hidden="1" customWidth="1"/>
    <col min="8974" max="8974" width="14.5703125" style="443" customWidth="1"/>
    <col min="8975" max="8975" width="11.85546875" style="443" customWidth="1"/>
    <col min="8976" max="9210" width="9.140625" style="443"/>
    <col min="9211" max="9211" width="2.85546875" style="443" customWidth="1"/>
    <col min="9212" max="9212" width="50.7109375" style="443" customWidth="1"/>
    <col min="9213" max="9213" width="9.42578125" style="443" customWidth="1"/>
    <col min="9214" max="9214" width="11.85546875" style="443" customWidth="1"/>
    <col min="9215" max="9215" width="8.42578125" style="443" bestFit="1" customWidth="1"/>
    <col min="9216" max="9218" width="0" style="443" hidden="1" customWidth="1"/>
    <col min="9219" max="9219" width="6" style="443" bestFit="1" customWidth="1"/>
    <col min="9220" max="9220" width="9.5703125" style="443" customWidth="1"/>
    <col min="9221" max="9221" width="9.85546875" style="443" customWidth="1"/>
    <col min="9222" max="9222" width="9.7109375" style="443" customWidth="1"/>
    <col min="9223" max="9223" width="9.5703125" style="443" customWidth="1"/>
    <col min="9224" max="9224" width="9.85546875" style="443" customWidth="1"/>
    <col min="9225" max="9225" width="6.5703125" style="443" customWidth="1"/>
    <col min="9226" max="9226" width="6" style="443" bestFit="1" customWidth="1"/>
    <col min="9227" max="9227" width="6.28515625" style="443" customWidth="1"/>
    <col min="9228" max="9228" width="11.7109375" style="443" customWidth="1"/>
    <col min="9229" max="9229" width="0" style="443" hidden="1" customWidth="1"/>
    <col min="9230" max="9230" width="14.5703125" style="443" customWidth="1"/>
    <col min="9231" max="9231" width="11.85546875" style="443" customWidth="1"/>
    <col min="9232" max="9466" width="9.140625" style="443"/>
    <col min="9467" max="9467" width="2.85546875" style="443" customWidth="1"/>
    <col min="9468" max="9468" width="50.7109375" style="443" customWidth="1"/>
    <col min="9469" max="9469" width="9.42578125" style="443" customWidth="1"/>
    <col min="9470" max="9470" width="11.85546875" style="443" customWidth="1"/>
    <col min="9471" max="9471" width="8.42578125" style="443" bestFit="1" customWidth="1"/>
    <col min="9472" max="9474" width="0" style="443" hidden="1" customWidth="1"/>
    <col min="9475" max="9475" width="6" style="443" bestFit="1" customWidth="1"/>
    <col min="9476" max="9476" width="9.5703125" style="443" customWidth="1"/>
    <col min="9477" max="9477" width="9.85546875" style="443" customWidth="1"/>
    <col min="9478" max="9478" width="9.7109375" style="443" customWidth="1"/>
    <col min="9479" max="9479" width="9.5703125" style="443" customWidth="1"/>
    <col min="9480" max="9480" width="9.85546875" style="443" customWidth="1"/>
    <col min="9481" max="9481" width="6.5703125" style="443" customWidth="1"/>
    <col min="9482" max="9482" width="6" style="443" bestFit="1" customWidth="1"/>
    <col min="9483" max="9483" width="6.28515625" style="443" customWidth="1"/>
    <col min="9484" max="9484" width="11.7109375" style="443" customWidth="1"/>
    <col min="9485" max="9485" width="0" style="443" hidden="1" customWidth="1"/>
    <col min="9486" max="9486" width="14.5703125" style="443" customWidth="1"/>
    <col min="9487" max="9487" width="11.85546875" style="443" customWidth="1"/>
    <col min="9488" max="9722" width="9.140625" style="443"/>
    <col min="9723" max="9723" width="2.85546875" style="443" customWidth="1"/>
    <col min="9724" max="9724" width="50.7109375" style="443" customWidth="1"/>
    <col min="9725" max="9725" width="9.42578125" style="443" customWidth="1"/>
    <col min="9726" max="9726" width="11.85546875" style="443" customWidth="1"/>
    <col min="9727" max="9727" width="8.42578125" style="443" bestFit="1" customWidth="1"/>
    <col min="9728" max="9730" width="0" style="443" hidden="1" customWidth="1"/>
    <col min="9731" max="9731" width="6" style="443" bestFit="1" customWidth="1"/>
    <col min="9732" max="9732" width="9.5703125" style="443" customWidth="1"/>
    <col min="9733" max="9733" width="9.85546875" style="443" customWidth="1"/>
    <col min="9734" max="9734" width="9.7109375" style="443" customWidth="1"/>
    <col min="9735" max="9735" width="9.5703125" style="443" customWidth="1"/>
    <col min="9736" max="9736" width="9.85546875" style="443" customWidth="1"/>
    <col min="9737" max="9737" width="6.5703125" style="443" customWidth="1"/>
    <col min="9738" max="9738" width="6" style="443" bestFit="1" customWidth="1"/>
    <col min="9739" max="9739" width="6.28515625" style="443" customWidth="1"/>
    <col min="9740" max="9740" width="11.7109375" style="443" customWidth="1"/>
    <col min="9741" max="9741" width="0" style="443" hidden="1" customWidth="1"/>
    <col min="9742" max="9742" width="14.5703125" style="443" customWidth="1"/>
    <col min="9743" max="9743" width="11.85546875" style="443" customWidth="1"/>
    <col min="9744" max="9978" width="9.140625" style="443"/>
    <col min="9979" max="9979" width="2.85546875" style="443" customWidth="1"/>
    <col min="9980" max="9980" width="50.7109375" style="443" customWidth="1"/>
    <col min="9981" max="9981" width="9.42578125" style="443" customWidth="1"/>
    <col min="9982" max="9982" width="11.85546875" style="443" customWidth="1"/>
    <col min="9983" max="9983" width="8.42578125" style="443" bestFit="1" customWidth="1"/>
    <col min="9984" max="9986" width="0" style="443" hidden="1" customWidth="1"/>
    <col min="9987" max="9987" width="6" style="443" bestFit="1" customWidth="1"/>
    <col min="9988" max="9988" width="9.5703125" style="443" customWidth="1"/>
    <col min="9989" max="9989" width="9.85546875" style="443" customWidth="1"/>
    <col min="9990" max="9990" width="9.7109375" style="443" customWidth="1"/>
    <col min="9991" max="9991" width="9.5703125" style="443" customWidth="1"/>
    <col min="9992" max="9992" width="9.85546875" style="443" customWidth="1"/>
    <col min="9993" max="9993" width="6.5703125" style="443" customWidth="1"/>
    <col min="9994" max="9994" width="6" style="443" bestFit="1" customWidth="1"/>
    <col min="9995" max="9995" width="6.28515625" style="443" customWidth="1"/>
    <col min="9996" max="9996" width="11.7109375" style="443" customWidth="1"/>
    <col min="9997" max="9997" width="0" style="443" hidden="1" customWidth="1"/>
    <col min="9998" max="9998" width="14.5703125" style="443" customWidth="1"/>
    <col min="9999" max="9999" width="11.85546875" style="443" customWidth="1"/>
    <col min="10000" max="10234" width="9.140625" style="443"/>
    <col min="10235" max="10235" width="2.85546875" style="443" customWidth="1"/>
    <col min="10236" max="10236" width="50.7109375" style="443" customWidth="1"/>
    <col min="10237" max="10237" width="9.42578125" style="443" customWidth="1"/>
    <col min="10238" max="10238" width="11.85546875" style="443" customWidth="1"/>
    <col min="10239" max="10239" width="8.42578125" style="443" bestFit="1" customWidth="1"/>
    <col min="10240" max="10242" width="0" style="443" hidden="1" customWidth="1"/>
    <col min="10243" max="10243" width="6" style="443" bestFit="1" customWidth="1"/>
    <col min="10244" max="10244" width="9.5703125" style="443" customWidth="1"/>
    <col min="10245" max="10245" width="9.85546875" style="443" customWidth="1"/>
    <col min="10246" max="10246" width="9.7109375" style="443" customWidth="1"/>
    <col min="10247" max="10247" width="9.5703125" style="443" customWidth="1"/>
    <col min="10248" max="10248" width="9.85546875" style="443" customWidth="1"/>
    <col min="10249" max="10249" width="6.5703125" style="443" customWidth="1"/>
    <col min="10250" max="10250" width="6" style="443" bestFit="1" customWidth="1"/>
    <col min="10251" max="10251" width="6.28515625" style="443" customWidth="1"/>
    <col min="10252" max="10252" width="11.7109375" style="443" customWidth="1"/>
    <col min="10253" max="10253" width="0" style="443" hidden="1" customWidth="1"/>
    <col min="10254" max="10254" width="14.5703125" style="443" customWidth="1"/>
    <col min="10255" max="10255" width="11.85546875" style="443" customWidth="1"/>
    <col min="10256" max="10490" width="9.140625" style="443"/>
    <col min="10491" max="10491" width="2.85546875" style="443" customWidth="1"/>
    <col min="10492" max="10492" width="50.7109375" style="443" customWidth="1"/>
    <col min="10493" max="10493" width="9.42578125" style="443" customWidth="1"/>
    <col min="10494" max="10494" width="11.85546875" style="443" customWidth="1"/>
    <col min="10495" max="10495" width="8.42578125" style="443" bestFit="1" customWidth="1"/>
    <col min="10496" max="10498" width="0" style="443" hidden="1" customWidth="1"/>
    <col min="10499" max="10499" width="6" style="443" bestFit="1" customWidth="1"/>
    <col min="10500" max="10500" width="9.5703125" style="443" customWidth="1"/>
    <col min="10501" max="10501" width="9.85546875" style="443" customWidth="1"/>
    <col min="10502" max="10502" width="9.7109375" style="443" customWidth="1"/>
    <col min="10503" max="10503" width="9.5703125" style="443" customWidth="1"/>
    <col min="10504" max="10504" width="9.85546875" style="443" customWidth="1"/>
    <col min="10505" max="10505" width="6.5703125" style="443" customWidth="1"/>
    <col min="10506" max="10506" width="6" style="443" bestFit="1" customWidth="1"/>
    <col min="10507" max="10507" width="6.28515625" style="443" customWidth="1"/>
    <col min="10508" max="10508" width="11.7109375" style="443" customWidth="1"/>
    <col min="10509" max="10509" width="0" style="443" hidden="1" customWidth="1"/>
    <col min="10510" max="10510" width="14.5703125" style="443" customWidth="1"/>
    <col min="10511" max="10511" width="11.85546875" style="443" customWidth="1"/>
    <col min="10512" max="10746" width="9.140625" style="443"/>
    <col min="10747" max="10747" width="2.85546875" style="443" customWidth="1"/>
    <col min="10748" max="10748" width="50.7109375" style="443" customWidth="1"/>
    <col min="10749" max="10749" width="9.42578125" style="443" customWidth="1"/>
    <col min="10750" max="10750" width="11.85546875" style="443" customWidth="1"/>
    <col min="10751" max="10751" width="8.42578125" style="443" bestFit="1" customWidth="1"/>
    <col min="10752" max="10754" width="0" style="443" hidden="1" customWidth="1"/>
    <col min="10755" max="10755" width="6" style="443" bestFit="1" customWidth="1"/>
    <col min="10756" max="10756" width="9.5703125" style="443" customWidth="1"/>
    <col min="10757" max="10757" width="9.85546875" style="443" customWidth="1"/>
    <col min="10758" max="10758" width="9.7109375" style="443" customWidth="1"/>
    <col min="10759" max="10759" width="9.5703125" style="443" customWidth="1"/>
    <col min="10760" max="10760" width="9.85546875" style="443" customWidth="1"/>
    <col min="10761" max="10761" width="6.5703125" style="443" customWidth="1"/>
    <col min="10762" max="10762" width="6" style="443" bestFit="1" customWidth="1"/>
    <col min="10763" max="10763" width="6.28515625" style="443" customWidth="1"/>
    <col min="10764" max="10764" width="11.7109375" style="443" customWidth="1"/>
    <col min="10765" max="10765" width="0" style="443" hidden="1" customWidth="1"/>
    <col min="10766" max="10766" width="14.5703125" style="443" customWidth="1"/>
    <col min="10767" max="10767" width="11.85546875" style="443" customWidth="1"/>
    <col min="10768" max="11002" width="9.140625" style="443"/>
    <col min="11003" max="11003" width="2.85546875" style="443" customWidth="1"/>
    <col min="11004" max="11004" width="50.7109375" style="443" customWidth="1"/>
    <col min="11005" max="11005" width="9.42578125" style="443" customWidth="1"/>
    <col min="11006" max="11006" width="11.85546875" style="443" customWidth="1"/>
    <col min="11007" max="11007" width="8.42578125" style="443" bestFit="1" customWidth="1"/>
    <col min="11008" max="11010" width="0" style="443" hidden="1" customWidth="1"/>
    <col min="11011" max="11011" width="6" style="443" bestFit="1" customWidth="1"/>
    <col min="11012" max="11012" width="9.5703125" style="443" customWidth="1"/>
    <col min="11013" max="11013" width="9.85546875" style="443" customWidth="1"/>
    <col min="11014" max="11014" width="9.7109375" style="443" customWidth="1"/>
    <col min="11015" max="11015" width="9.5703125" style="443" customWidth="1"/>
    <col min="11016" max="11016" width="9.85546875" style="443" customWidth="1"/>
    <col min="11017" max="11017" width="6.5703125" style="443" customWidth="1"/>
    <col min="11018" max="11018" width="6" style="443" bestFit="1" customWidth="1"/>
    <col min="11019" max="11019" width="6.28515625" style="443" customWidth="1"/>
    <col min="11020" max="11020" width="11.7109375" style="443" customWidth="1"/>
    <col min="11021" max="11021" width="0" style="443" hidden="1" customWidth="1"/>
    <col min="11022" max="11022" width="14.5703125" style="443" customWidth="1"/>
    <col min="11023" max="11023" width="11.85546875" style="443" customWidth="1"/>
    <col min="11024" max="11258" width="9.140625" style="443"/>
    <col min="11259" max="11259" width="2.85546875" style="443" customWidth="1"/>
    <col min="11260" max="11260" width="50.7109375" style="443" customWidth="1"/>
    <col min="11261" max="11261" width="9.42578125" style="443" customWidth="1"/>
    <col min="11262" max="11262" width="11.85546875" style="443" customWidth="1"/>
    <col min="11263" max="11263" width="8.42578125" style="443" bestFit="1" customWidth="1"/>
    <col min="11264" max="11266" width="0" style="443" hidden="1" customWidth="1"/>
    <col min="11267" max="11267" width="6" style="443" bestFit="1" customWidth="1"/>
    <col min="11268" max="11268" width="9.5703125" style="443" customWidth="1"/>
    <col min="11269" max="11269" width="9.85546875" style="443" customWidth="1"/>
    <col min="11270" max="11270" width="9.7109375" style="443" customWidth="1"/>
    <col min="11271" max="11271" width="9.5703125" style="443" customWidth="1"/>
    <col min="11272" max="11272" width="9.85546875" style="443" customWidth="1"/>
    <col min="11273" max="11273" width="6.5703125" style="443" customWidth="1"/>
    <col min="11274" max="11274" width="6" style="443" bestFit="1" customWidth="1"/>
    <col min="11275" max="11275" width="6.28515625" style="443" customWidth="1"/>
    <col min="11276" max="11276" width="11.7109375" style="443" customWidth="1"/>
    <col min="11277" max="11277" width="0" style="443" hidden="1" customWidth="1"/>
    <col min="11278" max="11278" width="14.5703125" style="443" customWidth="1"/>
    <col min="11279" max="11279" width="11.85546875" style="443" customWidth="1"/>
    <col min="11280" max="11514" width="9.140625" style="443"/>
    <col min="11515" max="11515" width="2.85546875" style="443" customWidth="1"/>
    <col min="11516" max="11516" width="50.7109375" style="443" customWidth="1"/>
    <col min="11517" max="11517" width="9.42578125" style="443" customWidth="1"/>
    <col min="11518" max="11518" width="11.85546875" style="443" customWidth="1"/>
    <col min="11519" max="11519" width="8.42578125" style="443" bestFit="1" customWidth="1"/>
    <col min="11520" max="11522" width="0" style="443" hidden="1" customWidth="1"/>
    <col min="11523" max="11523" width="6" style="443" bestFit="1" customWidth="1"/>
    <col min="11524" max="11524" width="9.5703125" style="443" customWidth="1"/>
    <col min="11525" max="11525" width="9.85546875" style="443" customWidth="1"/>
    <col min="11526" max="11526" width="9.7109375" style="443" customWidth="1"/>
    <col min="11527" max="11527" width="9.5703125" style="443" customWidth="1"/>
    <col min="11528" max="11528" width="9.85546875" style="443" customWidth="1"/>
    <col min="11529" max="11529" width="6.5703125" style="443" customWidth="1"/>
    <col min="11530" max="11530" width="6" style="443" bestFit="1" customWidth="1"/>
    <col min="11531" max="11531" width="6.28515625" style="443" customWidth="1"/>
    <col min="11532" max="11532" width="11.7109375" style="443" customWidth="1"/>
    <col min="11533" max="11533" width="0" style="443" hidden="1" customWidth="1"/>
    <col min="11534" max="11534" width="14.5703125" style="443" customWidth="1"/>
    <col min="11535" max="11535" width="11.85546875" style="443" customWidth="1"/>
    <col min="11536" max="11770" width="9.140625" style="443"/>
    <col min="11771" max="11771" width="2.85546875" style="443" customWidth="1"/>
    <col min="11772" max="11772" width="50.7109375" style="443" customWidth="1"/>
    <col min="11773" max="11773" width="9.42578125" style="443" customWidth="1"/>
    <col min="11774" max="11774" width="11.85546875" style="443" customWidth="1"/>
    <col min="11775" max="11775" width="8.42578125" style="443" bestFit="1" customWidth="1"/>
    <col min="11776" max="11778" width="0" style="443" hidden="1" customWidth="1"/>
    <col min="11779" max="11779" width="6" style="443" bestFit="1" customWidth="1"/>
    <col min="11780" max="11780" width="9.5703125" style="443" customWidth="1"/>
    <col min="11781" max="11781" width="9.85546875" style="443" customWidth="1"/>
    <col min="11782" max="11782" width="9.7109375" style="443" customWidth="1"/>
    <col min="11783" max="11783" width="9.5703125" style="443" customWidth="1"/>
    <col min="11784" max="11784" width="9.85546875" style="443" customWidth="1"/>
    <col min="11785" max="11785" width="6.5703125" style="443" customWidth="1"/>
    <col min="11786" max="11786" width="6" style="443" bestFit="1" customWidth="1"/>
    <col min="11787" max="11787" width="6.28515625" style="443" customWidth="1"/>
    <col min="11788" max="11788" width="11.7109375" style="443" customWidth="1"/>
    <col min="11789" max="11789" width="0" style="443" hidden="1" customWidth="1"/>
    <col min="11790" max="11790" width="14.5703125" style="443" customWidth="1"/>
    <col min="11791" max="11791" width="11.85546875" style="443" customWidth="1"/>
    <col min="11792" max="12026" width="9.140625" style="443"/>
    <col min="12027" max="12027" width="2.85546875" style="443" customWidth="1"/>
    <col min="12028" max="12028" width="50.7109375" style="443" customWidth="1"/>
    <col min="12029" max="12029" width="9.42578125" style="443" customWidth="1"/>
    <col min="12030" max="12030" width="11.85546875" style="443" customWidth="1"/>
    <col min="12031" max="12031" width="8.42578125" style="443" bestFit="1" customWidth="1"/>
    <col min="12032" max="12034" width="0" style="443" hidden="1" customWidth="1"/>
    <col min="12035" max="12035" width="6" style="443" bestFit="1" customWidth="1"/>
    <col min="12036" max="12036" width="9.5703125" style="443" customWidth="1"/>
    <col min="12037" max="12037" width="9.85546875" style="443" customWidth="1"/>
    <col min="12038" max="12038" width="9.7109375" style="443" customWidth="1"/>
    <col min="12039" max="12039" width="9.5703125" style="443" customWidth="1"/>
    <col min="12040" max="12040" width="9.85546875" style="443" customWidth="1"/>
    <col min="12041" max="12041" width="6.5703125" style="443" customWidth="1"/>
    <col min="12042" max="12042" width="6" style="443" bestFit="1" customWidth="1"/>
    <col min="12043" max="12043" width="6.28515625" style="443" customWidth="1"/>
    <col min="12044" max="12044" width="11.7109375" style="443" customWidth="1"/>
    <col min="12045" max="12045" width="0" style="443" hidden="1" customWidth="1"/>
    <col min="12046" max="12046" width="14.5703125" style="443" customWidth="1"/>
    <col min="12047" max="12047" width="11.85546875" style="443" customWidth="1"/>
    <col min="12048" max="12282" width="9.140625" style="443"/>
    <col min="12283" max="12283" width="2.85546875" style="443" customWidth="1"/>
    <col min="12284" max="12284" width="50.7109375" style="443" customWidth="1"/>
    <col min="12285" max="12285" width="9.42578125" style="443" customWidth="1"/>
    <col min="12286" max="12286" width="11.85546875" style="443" customWidth="1"/>
    <col min="12287" max="12287" width="8.42578125" style="443" bestFit="1" customWidth="1"/>
    <col min="12288" max="12290" width="0" style="443" hidden="1" customWidth="1"/>
    <col min="12291" max="12291" width="6" style="443" bestFit="1" customWidth="1"/>
    <col min="12292" max="12292" width="9.5703125" style="443" customWidth="1"/>
    <col min="12293" max="12293" width="9.85546875" style="443" customWidth="1"/>
    <col min="12294" max="12294" width="9.7109375" style="443" customWidth="1"/>
    <col min="12295" max="12295" width="9.5703125" style="443" customWidth="1"/>
    <col min="12296" max="12296" width="9.85546875" style="443" customWidth="1"/>
    <col min="12297" max="12297" width="6.5703125" style="443" customWidth="1"/>
    <col min="12298" max="12298" width="6" style="443" bestFit="1" customWidth="1"/>
    <col min="12299" max="12299" width="6.28515625" style="443" customWidth="1"/>
    <col min="12300" max="12300" width="11.7109375" style="443" customWidth="1"/>
    <col min="12301" max="12301" width="0" style="443" hidden="1" customWidth="1"/>
    <col min="12302" max="12302" width="14.5703125" style="443" customWidth="1"/>
    <col min="12303" max="12303" width="11.85546875" style="443" customWidth="1"/>
    <col min="12304" max="12538" width="9.140625" style="443"/>
    <col min="12539" max="12539" width="2.85546875" style="443" customWidth="1"/>
    <col min="12540" max="12540" width="50.7109375" style="443" customWidth="1"/>
    <col min="12541" max="12541" width="9.42578125" style="443" customWidth="1"/>
    <col min="12542" max="12542" width="11.85546875" style="443" customWidth="1"/>
    <col min="12543" max="12543" width="8.42578125" style="443" bestFit="1" customWidth="1"/>
    <col min="12544" max="12546" width="0" style="443" hidden="1" customWidth="1"/>
    <col min="12547" max="12547" width="6" style="443" bestFit="1" customWidth="1"/>
    <col min="12548" max="12548" width="9.5703125" style="443" customWidth="1"/>
    <col min="12549" max="12549" width="9.85546875" style="443" customWidth="1"/>
    <col min="12550" max="12550" width="9.7109375" style="443" customWidth="1"/>
    <col min="12551" max="12551" width="9.5703125" style="443" customWidth="1"/>
    <col min="12552" max="12552" width="9.85546875" style="443" customWidth="1"/>
    <col min="12553" max="12553" width="6.5703125" style="443" customWidth="1"/>
    <col min="12554" max="12554" width="6" style="443" bestFit="1" customWidth="1"/>
    <col min="12555" max="12555" width="6.28515625" style="443" customWidth="1"/>
    <col min="12556" max="12556" width="11.7109375" style="443" customWidth="1"/>
    <col min="12557" max="12557" width="0" style="443" hidden="1" customWidth="1"/>
    <col min="12558" max="12558" width="14.5703125" style="443" customWidth="1"/>
    <col min="12559" max="12559" width="11.85546875" style="443" customWidth="1"/>
    <col min="12560" max="12794" width="9.140625" style="443"/>
    <col min="12795" max="12795" width="2.85546875" style="443" customWidth="1"/>
    <col min="12796" max="12796" width="50.7109375" style="443" customWidth="1"/>
    <col min="12797" max="12797" width="9.42578125" style="443" customWidth="1"/>
    <col min="12798" max="12798" width="11.85546875" style="443" customWidth="1"/>
    <col min="12799" max="12799" width="8.42578125" style="443" bestFit="1" customWidth="1"/>
    <col min="12800" max="12802" width="0" style="443" hidden="1" customWidth="1"/>
    <col min="12803" max="12803" width="6" style="443" bestFit="1" customWidth="1"/>
    <col min="12804" max="12804" width="9.5703125" style="443" customWidth="1"/>
    <col min="12805" max="12805" width="9.85546875" style="443" customWidth="1"/>
    <col min="12806" max="12806" width="9.7109375" style="443" customWidth="1"/>
    <col min="12807" max="12807" width="9.5703125" style="443" customWidth="1"/>
    <col min="12808" max="12808" width="9.85546875" style="443" customWidth="1"/>
    <col min="12809" max="12809" width="6.5703125" style="443" customWidth="1"/>
    <col min="12810" max="12810" width="6" style="443" bestFit="1" customWidth="1"/>
    <col min="12811" max="12811" width="6.28515625" style="443" customWidth="1"/>
    <col min="12812" max="12812" width="11.7109375" style="443" customWidth="1"/>
    <col min="12813" max="12813" width="0" style="443" hidden="1" customWidth="1"/>
    <col min="12814" max="12814" width="14.5703125" style="443" customWidth="1"/>
    <col min="12815" max="12815" width="11.85546875" style="443" customWidth="1"/>
    <col min="12816" max="13050" width="9.140625" style="443"/>
    <col min="13051" max="13051" width="2.85546875" style="443" customWidth="1"/>
    <col min="13052" max="13052" width="50.7109375" style="443" customWidth="1"/>
    <col min="13053" max="13053" width="9.42578125" style="443" customWidth="1"/>
    <col min="13054" max="13054" width="11.85546875" style="443" customWidth="1"/>
    <col min="13055" max="13055" width="8.42578125" style="443" bestFit="1" customWidth="1"/>
    <col min="13056" max="13058" width="0" style="443" hidden="1" customWidth="1"/>
    <col min="13059" max="13059" width="6" style="443" bestFit="1" customWidth="1"/>
    <col min="13060" max="13060" width="9.5703125" style="443" customWidth="1"/>
    <col min="13061" max="13061" width="9.85546875" style="443" customWidth="1"/>
    <col min="13062" max="13062" width="9.7109375" style="443" customWidth="1"/>
    <col min="13063" max="13063" width="9.5703125" style="443" customWidth="1"/>
    <col min="13064" max="13064" width="9.85546875" style="443" customWidth="1"/>
    <col min="13065" max="13065" width="6.5703125" style="443" customWidth="1"/>
    <col min="13066" max="13066" width="6" style="443" bestFit="1" customWidth="1"/>
    <col min="13067" max="13067" width="6.28515625" style="443" customWidth="1"/>
    <col min="13068" max="13068" width="11.7109375" style="443" customWidth="1"/>
    <col min="13069" max="13069" width="0" style="443" hidden="1" customWidth="1"/>
    <col min="13070" max="13070" width="14.5703125" style="443" customWidth="1"/>
    <col min="13071" max="13071" width="11.85546875" style="443" customWidth="1"/>
    <col min="13072" max="13306" width="9.140625" style="443"/>
    <col min="13307" max="13307" width="2.85546875" style="443" customWidth="1"/>
    <col min="13308" max="13308" width="50.7109375" style="443" customWidth="1"/>
    <col min="13309" max="13309" width="9.42578125" style="443" customWidth="1"/>
    <col min="13310" max="13310" width="11.85546875" style="443" customWidth="1"/>
    <col min="13311" max="13311" width="8.42578125" style="443" bestFit="1" customWidth="1"/>
    <col min="13312" max="13314" width="0" style="443" hidden="1" customWidth="1"/>
    <col min="13315" max="13315" width="6" style="443" bestFit="1" customWidth="1"/>
    <col min="13316" max="13316" width="9.5703125" style="443" customWidth="1"/>
    <col min="13317" max="13317" width="9.85546875" style="443" customWidth="1"/>
    <col min="13318" max="13318" width="9.7109375" style="443" customWidth="1"/>
    <col min="13319" max="13319" width="9.5703125" style="443" customWidth="1"/>
    <col min="13320" max="13320" width="9.85546875" style="443" customWidth="1"/>
    <col min="13321" max="13321" width="6.5703125" style="443" customWidth="1"/>
    <col min="13322" max="13322" width="6" style="443" bestFit="1" customWidth="1"/>
    <col min="13323" max="13323" width="6.28515625" style="443" customWidth="1"/>
    <col min="13324" max="13324" width="11.7109375" style="443" customWidth="1"/>
    <col min="13325" max="13325" width="0" style="443" hidden="1" customWidth="1"/>
    <col min="13326" max="13326" width="14.5703125" style="443" customWidth="1"/>
    <col min="13327" max="13327" width="11.85546875" style="443" customWidth="1"/>
    <col min="13328" max="13562" width="9.140625" style="443"/>
    <col min="13563" max="13563" width="2.85546875" style="443" customWidth="1"/>
    <col min="13564" max="13564" width="50.7109375" style="443" customWidth="1"/>
    <col min="13565" max="13565" width="9.42578125" style="443" customWidth="1"/>
    <col min="13566" max="13566" width="11.85546875" style="443" customWidth="1"/>
    <col min="13567" max="13567" width="8.42578125" style="443" bestFit="1" customWidth="1"/>
    <col min="13568" max="13570" width="0" style="443" hidden="1" customWidth="1"/>
    <col min="13571" max="13571" width="6" style="443" bestFit="1" customWidth="1"/>
    <col min="13572" max="13572" width="9.5703125" style="443" customWidth="1"/>
    <col min="13573" max="13573" width="9.85546875" style="443" customWidth="1"/>
    <col min="13574" max="13574" width="9.7109375" style="443" customWidth="1"/>
    <col min="13575" max="13575" width="9.5703125" style="443" customWidth="1"/>
    <col min="13576" max="13576" width="9.85546875" style="443" customWidth="1"/>
    <col min="13577" max="13577" width="6.5703125" style="443" customWidth="1"/>
    <col min="13578" max="13578" width="6" style="443" bestFit="1" customWidth="1"/>
    <col min="13579" max="13579" width="6.28515625" style="443" customWidth="1"/>
    <col min="13580" max="13580" width="11.7109375" style="443" customWidth="1"/>
    <col min="13581" max="13581" width="0" style="443" hidden="1" customWidth="1"/>
    <col min="13582" max="13582" width="14.5703125" style="443" customWidth="1"/>
    <col min="13583" max="13583" width="11.85546875" style="443" customWidth="1"/>
    <col min="13584" max="13818" width="9.140625" style="443"/>
    <col min="13819" max="13819" width="2.85546875" style="443" customWidth="1"/>
    <col min="13820" max="13820" width="50.7109375" style="443" customWidth="1"/>
    <col min="13821" max="13821" width="9.42578125" style="443" customWidth="1"/>
    <col min="13822" max="13822" width="11.85546875" style="443" customWidth="1"/>
    <col min="13823" max="13823" width="8.42578125" style="443" bestFit="1" customWidth="1"/>
    <col min="13824" max="13826" width="0" style="443" hidden="1" customWidth="1"/>
    <col min="13827" max="13827" width="6" style="443" bestFit="1" customWidth="1"/>
    <col min="13828" max="13828" width="9.5703125" style="443" customWidth="1"/>
    <col min="13829" max="13829" width="9.85546875" style="443" customWidth="1"/>
    <col min="13830" max="13830" width="9.7109375" style="443" customWidth="1"/>
    <col min="13831" max="13831" width="9.5703125" style="443" customWidth="1"/>
    <col min="13832" max="13832" width="9.85546875" style="443" customWidth="1"/>
    <col min="13833" max="13833" width="6.5703125" style="443" customWidth="1"/>
    <col min="13834" max="13834" width="6" style="443" bestFit="1" customWidth="1"/>
    <col min="13835" max="13835" width="6.28515625" style="443" customWidth="1"/>
    <col min="13836" max="13836" width="11.7109375" style="443" customWidth="1"/>
    <col min="13837" max="13837" width="0" style="443" hidden="1" customWidth="1"/>
    <col min="13838" max="13838" width="14.5703125" style="443" customWidth="1"/>
    <col min="13839" max="13839" width="11.85546875" style="443" customWidth="1"/>
    <col min="13840" max="14074" width="9.140625" style="443"/>
    <col min="14075" max="14075" width="2.85546875" style="443" customWidth="1"/>
    <col min="14076" max="14076" width="50.7109375" style="443" customWidth="1"/>
    <col min="14077" max="14077" width="9.42578125" style="443" customWidth="1"/>
    <col min="14078" max="14078" width="11.85546875" style="443" customWidth="1"/>
    <col min="14079" max="14079" width="8.42578125" style="443" bestFit="1" customWidth="1"/>
    <col min="14080" max="14082" width="0" style="443" hidden="1" customWidth="1"/>
    <col min="14083" max="14083" width="6" style="443" bestFit="1" customWidth="1"/>
    <col min="14084" max="14084" width="9.5703125" style="443" customWidth="1"/>
    <col min="14085" max="14085" width="9.85546875" style="443" customWidth="1"/>
    <col min="14086" max="14086" width="9.7109375" style="443" customWidth="1"/>
    <col min="14087" max="14087" width="9.5703125" style="443" customWidth="1"/>
    <col min="14088" max="14088" width="9.85546875" style="443" customWidth="1"/>
    <col min="14089" max="14089" width="6.5703125" style="443" customWidth="1"/>
    <col min="14090" max="14090" width="6" style="443" bestFit="1" customWidth="1"/>
    <col min="14091" max="14091" width="6.28515625" style="443" customWidth="1"/>
    <col min="14092" max="14092" width="11.7109375" style="443" customWidth="1"/>
    <col min="14093" max="14093" width="0" style="443" hidden="1" customWidth="1"/>
    <col min="14094" max="14094" width="14.5703125" style="443" customWidth="1"/>
    <col min="14095" max="14095" width="11.85546875" style="443" customWidth="1"/>
    <col min="14096" max="14330" width="9.140625" style="443"/>
    <col min="14331" max="14331" width="2.85546875" style="443" customWidth="1"/>
    <col min="14332" max="14332" width="50.7109375" style="443" customWidth="1"/>
    <col min="14333" max="14333" width="9.42578125" style="443" customWidth="1"/>
    <col min="14334" max="14334" width="11.85546875" style="443" customWidth="1"/>
    <col min="14335" max="14335" width="8.42578125" style="443" bestFit="1" customWidth="1"/>
    <col min="14336" max="14338" width="0" style="443" hidden="1" customWidth="1"/>
    <col min="14339" max="14339" width="6" style="443" bestFit="1" customWidth="1"/>
    <col min="14340" max="14340" width="9.5703125" style="443" customWidth="1"/>
    <col min="14341" max="14341" width="9.85546875" style="443" customWidth="1"/>
    <col min="14342" max="14342" width="9.7109375" style="443" customWidth="1"/>
    <col min="14343" max="14343" width="9.5703125" style="443" customWidth="1"/>
    <col min="14344" max="14344" width="9.85546875" style="443" customWidth="1"/>
    <col min="14345" max="14345" width="6.5703125" style="443" customWidth="1"/>
    <col min="14346" max="14346" width="6" style="443" bestFit="1" customWidth="1"/>
    <col min="14347" max="14347" width="6.28515625" style="443" customWidth="1"/>
    <col min="14348" max="14348" width="11.7109375" style="443" customWidth="1"/>
    <col min="14349" max="14349" width="0" style="443" hidden="1" customWidth="1"/>
    <col min="14350" max="14350" width="14.5703125" style="443" customWidth="1"/>
    <col min="14351" max="14351" width="11.85546875" style="443" customWidth="1"/>
    <col min="14352" max="14586" width="9.140625" style="443"/>
    <col min="14587" max="14587" width="2.85546875" style="443" customWidth="1"/>
    <col min="14588" max="14588" width="50.7109375" style="443" customWidth="1"/>
    <col min="14589" max="14589" width="9.42578125" style="443" customWidth="1"/>
    <col min="14590" max="14590" width="11.85546875" style="443" customWidth="1"/>
    <col min="14591" max="14591" width="8.42578125" style="443" bestFit="1" customWidth="1"/>
    <col min="14592" max="14594" width="0" style="443" hidden="1" customWidth="1"/>
    <col min="14595" max="14595" width="6" style="443" bestFit="1" customWidth="1"/>
    <col min="14596" max="14596" width="9.5703125" style="443" customWidth="1"/>
    <col min="14597" max="14597" width="9.85546875" style="443" customWidth="1"/>
    <col min="14598" max="14598" width="9.7109375" style="443" customWidth="1"/>
    <col min="14599" max="14599" width="9.5703125" style="443" customWidth="1"/>
    <col min="14600" max="14600" width="9.85546875" style="443" customWidth="1"/>
    <col min="14601" max="14601" width="6.5703125" style="443" customWidth="1"/>
    <col min="14602" max="14602" width="6" style="443" bestFit="1" customWidth="1"/>
    <col min="14603" max="14603" width="6.28515625" style="443" customWidth="1"/>
    <col min="14604" max="14604" width="11.7109375" style="443" customWidth="1"/>
    <col min="14605" max="14605" width="0" style="443" hidden="1" customWidth="1"/>
    <col min="14606" max="14606" width="14.5703125" style="443" customWidth="1"/>
    <col min="14607" max="14607" width="11.85546875" style="443" customWidth="1"/>
    <col min="14608" max="14842" width="9.140625" style="443"/>
    <col min="14843" max="14843" width="2.85546875" style="443" customWidth="1"/>
    <col min="14844" max="14844" width="50.7109375" style="443" customWidth="1"/>
    <col min="14845" max="14845" width="9.42578125" style="443" customWidth="1"/>
    <col min="14846" max="14846" width="11.85546875" style="443" customWidth="1"/>
    <col min="14847" max="14847" width="8.42578125" style="443" bestFit="1" customWidth="1"/>
    <col min="14848" max="14850" width="0" style="443" hidden="1" customWidth="1"/>
    <col min="14851" max="14851" width="6" style="443" bestFit="1" customWidth="1"/>
    <col min="14852" max="14852" width="9.5703125" style="443" customWidth="1"/>
    <col min="14853" max="14853" width="9.85546875" style="443" customWidth="1"/>
    <col min="14854" max="14854" width="9.7109375" style="443" customWidth="1"/>
    <col min="14855" max="14855" width="9.5703125" style="443" customWidth="1"/>
    <col min="14856" max="14856" width="9.85546875" style="443" customWidth="1"/>
    <col min="14857" max="14857" width="6.5703125" style="443" customWidth="1"/>
    <col min="14858" max="14858" width="6" style="443" bestFit="1" customWidth="1"/>
    <col min="14859" max="14859" width="6.28515625" style="443" customWidth="1"/>
    <col min="14860" max="14860" width="11.7109375" style="443" customWidth="1"/>
    <col min="14861" max="14861" width="0" style="443" hidden="1" customWidth="1"/>
    <col min="14862" max="14862" width="14.5703125" style="443" customWidth="1"/>
    <col min="14863" max="14863" width="11.85546875" style="443" customWidth="1"/>
    <col min="14864" max="15098" width="9.140625" style="443"/>
    <col min="15099" max="15099" width="2.85546875" style="443" customWidth="1"/>
    <col min="15100" max="15100" width="50.7109375" style="443" customWidth="1"/>
    <col min="15101" max="15101" width="9.42578125" style="443" customWidth="1"/>
    <col min="15102" max="15102" width="11.85546875" style="443" customWidth="1"/>
    <col min="15103" max="15103" width="8.42578125" style="443" bestFit="1" customWidth="1"/>
    <col min="15104" max="15106" width="0" style="443" hidden="1" customWidth="1"/>
    <col min="15107" max="15107" width="6" style="443" bestFit="1" customWidth="1"/>
    <col min="15108" max="15108" width="9.5703125" style="443" customWidth="1"/>
    <col min="15109" max="15109" width="9.85546875" style="443" customWidth="1"/>
    <col min="15110" max="15110" width="9.7109375" style="443" customWidth="1"/>
    <col min="15111" max="15111" width="9.5703125" style="443" customWidth="1"/>
    <col min="15112" max="15112" width="9.85546875" style="443" customWidth="1"/>
    <col min="15113" max="15113" width="6.5703125" style="443" customWidth="1"/>
    <col min="15114" max="15114" width="6" style="443" bestFit="1" customWidth="1"/>
    <col min="15115" max="15115" width="6.28515625" style="443" customWidth="1"/>
    <col min="15116" max="15116" width="11.7109375" style="443" customWidth="1"/>
    <col min="15117" max="15117" width="0" style="443" hidden="1" customWidth="1"/>
    <col min="15118" max="15118" width="14.5703125" style="443" customWidth="1"/>
    <col min="15119" max="15119" width="11.85546875" style="443" customWidth="1"/>
    <col min="15120" max="15354" width="9.140625" style="443"/>
    <col min="15355" max="15355" width="2.85546875" style="443" customWidth="1"/>
    <col min="15356" max="15356" width="50.7109375" style="443" customWidth="1"/>
    <col min="15357" max="15357" width="9.42578125" style="443" customWidth="1"/>
    <col min="15358" max="15358" width="11.85546875" style="443" customWidth="1"/>
    <col min="15359" max="15359" width="8.42578125" style="443" bestFit="1" customWidth="1"/>
    <col min="15360" max="15362" width="0" style="443" hidden="1" customWidth="1"/>
    <col min="15363" max="15363" width="6" style="443" bestFit="1" customWidth="1"/>
    <col min="15364" max="15364" width="9.5703125" style="443" customWidth="1"/>
    <col min="15365" max="15365" width="9.85546875" style="443" customWidth="1"/>
    <col min="15366" max="15366" width="9.7109375" style="443" customWidth="1"/>
    <col min="15367" max="15367" width="9.5703125" style="443" customWidth="1"/>
    <col min="15368" max="15368" width="9.85546875" style="443" customWidth="1"/>
    <col min="15369" max="15369" width="6.5703125" style="443" customWidth="1"/>
    <col min="15370" max="15370" width="6" style="443" bestFit="1" customWidth="1"/>
    <col min="15371" max="15371" width="6.28515625" style="443" customWidth="1"/>
    <col min="15372" max="15372" width="11.7109375" style="443" customWidth="1"/>
    <col min="15373" max="15373" width="0" style="443" hidden="1" customWidth="1"/>
    <col min="15374" max="15374" width="14.5703125" style="443" customWidth="1"/>
    <col min="15375" max="15375" width="11.85546875" style="443" customWidth="1"/>
    <col min="15376" max="15610" width="9.140625" style="443"/>
    <col min="15611" max="15611" width="2.85546875" style="443" customWidth="1"/>
    <col min="15612" max="15612" width="50.7109375" style="443" customWidth="1"/>
    <col min="15613" max="15613" width="9.42578125" style="443" customWidth="1"/>
    <col min="15614" max="15614" width="11.85546875" style="443" customWidth="1"/>
    <col min="15615" max="15615" width="8.42578125" style="443" bestFit="1" customWidth="1"/>
    <col min="15616" max="15618" width="0" style="443" hidden="1" customWidth="1"/>
    <col min="15619" max="15619" width="6" style="443" bestFit="1" customWidth="1"/>
    <col min="15620" max="15620" width="9.5703125" style="443" customWidth="1"/>
    <col min="15621" max="15621" width="9.85546875" style="443" customWidth="1"/>
    <col min="15622" max="15622" width="9.7109375" style="443" customWidth="1"/>
    <col min="15623" max="15623" width="9.5703125" style="443" customWidth="1"/>
    <col min="15624" max="15624" width="9.85546875" style="443" customWidth="1"/>
    <col min="15625" max="15625" width="6.5703125" style="443" customWidth="1"/>
    <col min="15626" max="15626" width="6" style="443" bestFit="1" customWidth="1"/>
    <col min="15627" max="15627" width="6.28515625" style="443" customWidth="1"/>
    <col min="15628" max="15628" width="11.7109375" style="443" customWidth="1"/>
    <col min="15629" max="15629" width="0" style="443" hidden="1" customWidth="1"/>
    <col min="15630" max="15630" width="14.5703125" style="443" customWidth="1"/>
    <col min="15631" max="15631" width="11.85546875" style="443" customWidth="1"/>
    <col min="15632" max="15866" width="9.140625" style="443"/>
    <col min="15867" max="15867" width="2.85546875" style="443" customWidth="1"/>
    <col min="15868" max="15868" width="50.7109375" style="443" customWidth="1"/>
    <col min="15869" max="15869" width="9.42578125" style="443" customWidth="1"/>
    <col min="15870" max="15870" width="11.85546875" style="443" customWidth="1"/>
    <col min="15871" max="15871" width="8.42578125" style="443" bestFit="1" customWidth="1"/>
    <col min="15872" max="15874" width="0" style="443" hidden="1" customWidth="1"/>
    <col min="15875" max="15875" width="6" style="443" bestFit="1" customWidth="1"/>
    <col min="15876" max="15876" width="9.5703125" style="443" customWidth="1"/>
    <col min="15877" max="15877" width="9.85546875" style="443" customWidth="1"/>
    <col min="15878" max="15878" width="9.7109375" style="443" customWidth="1"/>
    <col min="15879" max="15879" width="9.5703125" style="443" customWidth="1"/>
    <col min="15880" max="15880" width="9.85546875" style="443" customWidth="1"/>
    <col min="15881" max="15881" width="6.5703125" style="443" customWidth="1"/>
    <col min="15882" max="15882" width="6" style="443" bestFit="1" customWidth="1"/>
    <col min="15883" max="15883" width="6.28515625" style="443" customWidth="1"/>
    <col min="15884" max="15884" width="11.7109375" style="443" customWidth="1"/>
    <col min="15885" max="15885" width="0" style="443" hidden="1" customWidth="1"/>
    <col min="15886" max="15886" width="14.5703125" style="443" customWidth="1"/>
    <col min="15887" max="15887" width="11.85546875" style="443" customWidth="1"/>
    <col min="15888" max="16122" width="9.140625" style="443"/>
    <col min="16123" max="16123" width="2.85546875" style="443" customWidth="1"/>
    <col min="16124" max="16124" width="50.7109375" style="443" customWidth="1"/>
    <col min="16125" max="16125" width="9.42578125" style="443" customWidth="1"/>
    <col min="16126" max="16126" width="11.85546875" style="443" customWidth="1"/>
    <col min="16127" max="16127" width="8.42578125" style="443" bestFit="1" customWidth="1"/>
    <col min="16128" max="16130" width="0" style="443" hidden="1" customWidth="1"/>
    <col min="16131" max="16131" width="6" style="443" bestFit="1" customWidth="1"/>
    <col min="16132" max="16132" width="9.5703125" style="443" customWidth="1"/>
    <col min="16133" max="16133" width="9.85546875" style="443" customWidth="1"/>
    <col min="16134" max="16134" width="9.7109375" style="443" customWidth="1"/>
    <col min="16135" max="16135" width="9.5703125" style="443" customWidth="1"/>
    <col min="16136" max="16136" width="9.85546875" style="443" customWidth="1"/>
    <col min="16137" max="16137" width="6.5703125" style="443" customWidth="1"/>
    <col min="16138" max="16138" width="6" style="443" bestFit="1" customWidth="1"/>
    <col min="16139" max="16139" width="6.28515625" style="443" customWidth="1"/>
    <col min="16140" max="16140" width="11.7109375" style="443" customWidth="1"/>
    <col min="16141" max="16141" width="0" style="443" hidden="1" customWidth="1"/>
    <col min="16142" max="16142" width="14.5703125" style="443" customWidth="1"/>
    <col min="16143" max="16143" width="11.85546875" style="443" customWidth="1"/>
    <col min="16144" max="16384" width="9.140625" style="443"/>
  </cols>
  <sheetData>
    <row r="1" spans="1:15" ht="15" customHeight="1">
      <c r="J1" s="573" t="s">
        <v>388</v>
      </c>
      <c r="M1" s="430"/>
      <c r="N1" s="431"/>
    </row>
    <row r="2" spans="1:15" ht="2.25" customHeight="1">
      <c r="M2" s="430"/>
      <c r="N2" s="431"/>
    </row>
    <row r="3" spans="1:15" ht="6.75" customHeight="1">
      <c r="M3" s="430"/>
      <c r="N3" s="431"/>
    </row>
    <row r="4" spans="1:15" ht="36" customHeight="1" thickBot="1">
      <c r="A4" s="4047" t="s">
        <v>190</v>
      </c>
      <c r="B4" s="4047"/>
      <c r="C4" s="4047"/>
      <c r="D4" s="4047"/>
      <c r="E4" s="4047"/>
      <c r="F4" s="4047"/>
      <c r="G4" s="4047"/>
      <c r="H4" s="4047"/>
      <c r="I4" s="4047"/>
      <c r="J4" s="4047"/>
      <c r="K4" s="4047"/>
      <c r="L4" s="4047"/>
      <c r="M4" s="4047"/>
      <c r="N4" s="4047"/>
    </row>
    <row r="5" spans="1:15" ht="51.75" customHeight="1">
      <c r="A5" s="574"/>
      <c r="B5" s="4048" t="s">
        <v>66</v>
      </c>
      <c r="C5" s="3765" t="s">
        <v>62</v>
      </c>
      <c r="D5" s="4016" t="s">
        <v>107</v>
      </c>
      <c r="E5" s="2407" t="s">
        <v>240</v>
      </c>
      <c r="F5" s="3818" t="s">
        <v>572</v>
      </c>
      <c r="G5" s="3786" t="s">
        <v>540</v>
      </c>
      <c r="H5" s="3787"/>
      <c r="I5" s="3787"/>
      <c r="J5" s="3787"/>
      <c r="K5" s="3788"/>
      <c r="L5" s="3938">
        <v>2024</v>
      </c>
      <c r="M5" s="4020" t="s">
        <v>537</v>
      </c>
      <c r="N5" s="4018" t="s">
        <v>64</v>
      </c>
    </row>
    <row r="6" spans="1:15" ht="18.75" customHeight="1" thickBot="1">
      <c r="A6" s="575"/>
      <c r="B6" s="4049"/>
      <c r="C6" s="4050"/>
      <c r="D6" s="4017"/>
      <c r="E6" s="1107" t="s">
        <v>538</v>
      </c>
      <c r="F6" s="3940"/>
      <c r="G6" s="2379" t="s">
        <v>193</v>
      </c>
      <c r="H6" s="2379" t="s">
        <v>194</v>
      </c>
      <c r="I6" s="2379" t="s">
        <v>234</v>
      </c>
      <c r="J6" s="2379" t="s">
        <v>235</v>
      </c>
      <c r="K6" s="2379" t="s">
        <v>233</v>
      </c>
      <c r="L6" s="3939"/>
      <c r="M6" s="4051"/>
      <c r="N6" s="4019"/>
    </row>
    <row r="7" spans="1:15" ht="12" customHeight="1" thickBot="1">
      <c r="A7" s="738">
        <v>1</v>
      </c>
      <c r="B7" s="2392">
        <v>2</v>
      </c>
      <c r="C7" s="1114" t="s">
        <v>108</v>
      </c>
      <c r="D7" s="1114" t="s">
        <v>109</v>
      </c>
      <c r="E7" s="740">
        <v>5</v>
      </c>
      <c r="F7" s="740">
        <v>6</v>
      </c>
      <c r="G7" s="740">
        <v>7</v>
      </c>
      <c r="H7" s="740">
        <v>8</v>
      </c>
      <c r="I7" s="740">
        <v>9</v>
      </c>
      <c r="J7" s="740">
        <v>10</v>
      </c>
      <c r="K7" s="740">
        <v>11</v>
      </c>
      <c r="L7" s="740"/>
      <c r="M7" s="741">
        <v>12</v>
      </c>
      <c r="N7" s="742">
        <v>13</v>
      </c>
    </row>
    <row r="8" spans="1:15" s="577" customFormat="1" ht="15.75" customHeight="1">
      <c r="A8" s="4083"/>
      <c r="B8" s="199" t="s">
        <v>67</v>
      </c>
      <c r="C8" s="179"/>
      <c r="D8" s="696">
        <f>+D9+D10</f>
        <v>54786041</v>
      </c>
      <c r="E8" s="180">
        <f t="shared" ref="E8" si="0">+E9+E10</f>
        <v>1153170</v>
      </c>
      <c r="F8" s="180">
        <f t="shared" ref="F8:M8" si="1">+F9+F10</f>
        <v>729203</v>
      </c>
      <c r="G8" s="180">
        <f t="shared" si="1"/>
        <v>15849047</v>
      </c>
      <c r="H8" s="180">
        <f t="shared" si="1"/>
        <v>30459238</v>
      </c>
      <c r="I8" s="180">
        <f t="shared" si="1"/>
        <v>6595383</v>
      </c>
      <c r="J8" s="180">
        <f t="shared" si="1"/>
        <v>0</v>
      </c>
      <c r="K8" s="180">
        <f t="shared" si="1"/>
        <v>0</v>
      </c>
      <c r="L8" s="180">
        <f t="shared" ref="L8" si="2">+L9+L10</f>
        <v>0</v>
      </c>
      <c r="M8" s="123">
        <f t="shared" si="1"/>
        <v>52903668</v>
      </c>
      <c r="N8" s="548"/>
      <c r="O8" s="576"/>
    </row>
    <row r="9" spans="1:15" s="577" customFormat="1" ht="13.5" customHeight="1">
      <c r="A9" s="4084"/>
      <c r="B9" s="192" t="s">
        <v>68</v>
      </c>
      <c r="C9" s="182"/>
      <c r="D9" s="691">
        <f t="shared" ref="D9:H9" si="3">+D27+D36+D45</f>
        <v>2215406</v>
      </c>
      <c r="E9" s="183">
        <f t="shared" si="3"/>
        <v>1148835</v>
      </c>
      <c r="F9" s="183">
        <f t="shared" si="3"/>
        <v>729203</v>
      </c>
      <c r="G9" s="183">
        <f t="shared" si="3"/>
        <v>191749</v>
      </c>
      <c r="H9" s="183">
        <f t="shared" si="3"/>
        <v>145619</v>
      </c>
      <c r="I9" s="183">
        <f>+I27+I36+I46</f>
        <v>0</v>
      </c>
      <c r="J9" s="183">
        <f>+J27+J36+J46</f>
        <v>0</v>
      </c>
      <c r="K9" s="183">
        <f>+K27+K36+K46</f>
        <v>0</v>
      </c>
      <c r="L9" s="183">
        <f>+L27+L36+L45</f>
        <v>0</v>
      </c>
      <c r="M9" s="432">
        <f>SUM(G9:K9)</f>
        <v>337368</v>
      </c>
      <c r="N9" s="548"/>
    </row>
    <row r="10" spans="1:15" s="577" customFormat="1" ht="13.5" customHeight="1" thickBot="1">
      <c r="A10" s="4084"/>
      <c r="B10" s="578" t="s">
        <v>8</v>
      </c>
      <c r="C10" s="579"/>
      <c r="D10" s="697">
        <f t="shared" ref="D10:K10" si="4">D74+D63</f>
        <v>52570635</v>
      </c>
      <c r="E10" s="580">
        <f t="shared" si="4"/>
        <v>4335</v>
      </c>
      <c r="F10" s="580">
        <f t="shared" si="4"/>
        <v>0</v>
      </c>
      <c r="G10" s="580">
        <f t="shared" si="4"/>
        <v>15657298</v>
      </c>
      <c r="H10" s="580">
        <f t="shared" si="4"/>
        <v>30313619</v>
      </c>
      <c r="I10" s="580">
        <f t="shared" si="4"/>
        <v>6595383</v>
      </c>
      <c r="J10" s="580">
        <f t="shared" si="4"/>
        <v>0</v>
      </c>
      <c r="K10" s="580">
        <f t="shared" si="4"/>
        <v>0</v>
      </c>
      <c r="L10" s="580">
        <f>L74+L63</f>
        <v>0</v>
      </c>
      <c r="M10" s="125">
        <f>SUM(G10:K10)</f>
        <v>52566300</v>
      </c>
      <c r="N10" s="548"/>
    </row>
    <row r="11" spans="1:15" ht="12.75" customHeight="1">
      <c r="A11" s="4084"/>
      <c r="B11" s="77" t="s">
        <v>9</v>
      </c>
      <c r="C11" s="75"/>
      <c r="D11" s="95">
        <f>D12+D16</f>
        <v>54786041</v>
      </c>
      <c r="E11" s="95">
        <f t="shared" ref="E11" si="5">E12+E16</f>
        <v>1153170</v>
      </c>
      <c r="F11" s="95">
        <f t="shared" ref="F11:K11" si="6">F12+F16</f>
        <v>729203</v>
      </c>
      <c r="G11" s="95">
        <f t="shared" si="6"/>
        <v>15849047</v>
      </c>
      <c r="H11" s="95">
        <f t="shared" si="6"/>
        <v>30459238</v>
      </c>
      <c r="I11" s="95">
        <f t="shared" si="6"/>
        <v>6595383</v>
      </c>
      <c r="J11" s="95">
        <f t="shared" si="6"/>
        <v>0</v>
      </c>
      <c r="K11" s="95">
        <f t="shared" si="6"/>
        <v>0</v>
      </c>
      <c r="L11" s="95">
        <f>L12+L16</f>
        <v>0</v>
      </c>
      <c r="M11" s="374">
        <f>+M12+M16</f>
        <v>52903668</v>
      </c>
      <c r="N11" s="550"/>
    </row>
    <row r="12" spans="1:15" ht="13.5" customHeight="1">
      <c r="A12" s="4084"/>
      <c r="B12" s="581" t="s">
        <v>22</v>
      </c>
      <c r="C12" s="582"/>
      <c r="D12" s="583">
        <f>+D13+D14+D15</f>
        <v>8257639</v>
      </c>
      <c r="E12" s="583">
        <f t="shared" ref="E12:K12" si="7">+E13+E14+E15</f>
        <v>187122</v>
      </c>
      <c r="F12" s="583">
        <f t="shared" si="7"/>
        <v>114411</v>
      </c>
      <c r="G12" s="583">
        <f t="shared" si="7"/>
        <v>2388947</v>
      </c>
      <c r="H12" s="583">
        <f t="shared" si="7"/>
        <v>4577852</v>
      </c>
      <c r="I12" s="583">
        <f t="shared" si="7"/>
        <v>989307</v>
      </c>
      <c r="J12" s="583">
        <f t="shared" si="7"/>
        <v>0</v>
      </c>
      <c r="K12" s="583">
        <f t="shared" si="7"/>
        <v>0</v>
      </c>
      <c r="L12" s="583">
        <f>+L13+L14+L15</f>
        <v>0</v>
      </c>
      <c r="M12" s="584">
        <f>+M13+M14+M15</f>
        <v>7956106</v>
      </c>
      <c r="N12" s="551"/>
    </row>
    <row r="13" spans="1:15" ht="12.75" customHeight="1">
      <c r="A13" s="4084"/>
      <c r="B13" s="585" t="s">
        <v>11</v>
      </c>
      <c r="C13" s="586"/>
      <c r="D13" s="440">
        <f>D29+D38+D51+D76+D88</f>
        <v>2901612</v>
      </c>
      <c r="E13" s="440">
        <f t="shared" ref="E13:K13" si="8">E29+E38+E51+E76+E88</f>
        <v>150434</v>
      </c>
      <c r="F13" s="440">
        <f t="shared" si="8"/>
        <v>102103</v>
      </c>
      <c r="G13" s="440">
        <f t="shared" si="8"/>
        <v>794811</v>
      </c>
      <c r="H13" s="440">
        <f t="shared" si="8"/>
        <v>1524495</v>
      </c>
      <c r="I13" s="440">
        <f t="shared" si="8"/>
        <v>329769</v>
      </c>
      <c r="J13" s="440">
        <f t="shared" si="8"/>
        <v>0</v>
      </c>
      <c r="K13" s="440">
        <f t="shared" si="8"/>
        <v>0</v>
      </c>
      <c r="L13" s="440">
        <f>L29+L38+L51+L76+L88</f>
        <v>0</v>
      </c>
      <c r="M13" s="427">
        <f>SUM(G13:K13)</f>
        <v>2649075</v>
      </c>
      <c r="N13" s="551"/>
    </row>
    <row r="14" spans="1:15" ht="12.75" customHeight="1">
      <c r="A14" s="4084"/>
      <c r="B14" s="585" t="s">
        <v>12</v>
      </c>
      <c r="C14" s="586"/>
      <c r="D14" s="587">
        <f>+D47+D65</f>
        <v>99397</v>
      </c>
      <c r="E14" s="587">
        <f>+E47+E65</f>
        <v>36688</v>
      </c>
      <c r="F14" s="587">
        <f t="shared" ref="F14:H14" si="9">+F47+F65</f>
        <v>12308</v>
      </c>
      <c r="G14" s="587">
        <f t="shared" si="9"/>
        <v>28406</v>
      </c>
      <c r="H14" s="587">
        <f t="shared" si="9"/>
        <v>21995</v>
      </c>
      <c r="I14" s="587">
        <f t="shared" ref="I14:K14" si="10">+I47</f>
        <v>0</v>
      </c>
      <c r="J14" s="587">
        <f t="shared" si="10"/>
        <v>0</v>
      </c>
      <c r="K14" s="587">
        <f t="shared" si="10"/>
        <v>0</v>
      </c>
      <c r="L14" s="587">
        <f>+L47+L65</f>
        <v>0</v>
      </c>
      <c r="M14" s="427">
        <f>SUM(G14:K14)</f>
        <v>50401</v>
      </c>
      <c r="N14" s="551"/>
    </row>
    <row r="15" spans="1:15" ht="12.75" customHeight="1">
      <c r="A15" s="4084"/>
      <c r="B15" s="585" t="s">
        <v>16</v>
      </c>
      <c r="C15" s="2243"/>
      <c r="D15" s="2244">
        <f>D77+D89</f>
        <v>5256630</v>
      </c>
      <c r="E15" s="2244">
        <f t="shared" ref="E15:K15" si="11">E77+E89</f>
        <v>0</v>
      </c>
      <c r="F15" s="2244">
        <f t="shared" si="11"/>
        <v>0</v>
      </c>
      <c r="G15" s="2244">
        <f t="shared" si="11"/>
        <v>1565730</v>
      </c>
      <c r="H15" s="2244">
        <f t="shared" si="11"/>
        <v>3031362</v>
      </c>
      <c r="I15" s="2244">
        <f t="shared" si="11"/>
        <v>659538</v>
      </c>
      <c r="J15" s="2244">
        <f t="shared" si="11"/>
        <v>0</v>
      </c>
      <c r="K15" s="2244">
        <f t="shared" si="11"/>
        <v>0</v>
      </c>
      <c r="L15" s="2244">
        <f>L77+L89</f>
        <v>0</v>
      </c>
      <c r="M15" s="427">
        <f>SUM(G15:K15)</f>
        <v>5256630</v>
      </c>
      <c r="N15" s="551"/>
    </row>
    <row r="16" spans="1:15" ht="13.5" customHeight="1">
      <c r="A16" s="4084"/>
      <c r="B16" s="588" t="s">
        <v>17</v>
      </c>
      <c r="C16" s="589"/>
      <c r="D16" s="583">
        <f>+D17+D18</f>
        <v>46528402</v>
      </c>
      <c r="E16" s="583">
        <f t="shared" ref="E16" si="12">+E17+E18</f>
        <v>966048</v>
      </c>
      <c r="F16" s="583">
        <f t="shared" ref="F16:K16" si="13">+F17+F18</f>
        <v>614792</v>
      </c>
      <c r="G16" s="583">
        <f t="shared" si="13"/>
        <v>13460100</v>
      </c>
      <c r="H16" s="583">
        <f t="shared" si="13"/>
        <v>25881386</v>
      </c>
      <c r="I16" s="583">
        <f t="shared" si="13"/>
        <v>5606076</v>
      </c>
      <c r="J16" s="583">
        <f t="shared" si="13"/>
        <v>0</v>
      </c>
      <c r="K16" s="583">
        <f t="shared" si="13"/>
        <v>0</v>
      </c>
      <c r="L16" s="583">
        <f>+L17+L18</f>
        <v>0</v>
      </c>
      <c r="M16" s="426">
        <f>+M17+M18</f>
        <v>44947562</v>
      </c>
      <c r="N16" s="551"/>
    </row>
    <row r="17" spans="1:16" ht="13.5" customHeight="1">
      <c r="A17" s="4084"/>
      <c r="B17" s="585" t="s">
        <v>19</v>
      </c>
      <c r="C17" s="590"/>
      <c r="D17" s="433">
        <f>+D79</f>
        <v>44681355</v>
      </c>
      <c r="E17" s="433"/>
      <c r="F17" s="433"/>
      <c r="G17" s="433">
        <f t="shared" ref="G17:K17" si="14">+G79</f>
        <v>13308703</v>
      </c>
      <c r="H17" s="433">
        <f t="shared" si="14"/>
        <v>25766576</v>
      </c>
      <c r="I17" s="433">
        <f t="shared" si="14"/>
        <v>5606076</v>
      </c>
      <c r="J17" s="433">
        <f t="shared" si="14"/>
        <v>0</v>
      </c>
      <c r="K17" s="433">
        <f t="shared" si="14"/>
        <v>0</v>
      </c>
      <c r="L17" s="433"/>
      <c r="M17" s="427">
        <f>SUM(F17:K17)</f>
        <v>44681355</v>
      </c>
      <c r="N17" s="551"/>
    </row>
    <row r="18" spans="1:16" ht="12.75" customHeight="1">
      <c r="A18" s="4084"/>
      <c r="B18" s="434" t="s">
        <v>18</v>
      </c>
      <c r="C18" s="590"/>
      <c r="D18" s="433">
        <f>+D31+D40+D53+D67+D91</f>
        <v>1847047</v>
      </c>
      <c r="E18" s="433">
        <f>+E31+E40+E53+E67+E79+E91</f>
        <v>966048</v>
      </c>
      <c r="F18" s="433">
        <f>+F31+F40+F53+F67+F79+F91</f>
        <v>614792</v>
      </c>
      <c r="G18" s="433">
        <f>+G31+G40+G53+G67+G91</f>
        <v>151397</v>
      </c>
      <c r="H18" s="433">
        <f>+H31+H40+H53+H67+H91</f>
        <v>114810</v>
      </c>
      <c r="I18" s="433">
        <f>+I31+I40+I53+I67+I91</f>
        <v>0</v>
      </c>
      <c r="J18" s="433">
        <f>+J31+J40+J53+J67+J91</f>
        <v>0</v>
      </c>
      <c r="K18" s="433">
        <f>+K31+K40+K53+K67+K91</f>
        <v>0</v>
      </c>
      <c r="L18" s="433">
        <f>+L31+L40+L53+L67+L79+L91</f>
        <v>0</v>
      </c>
      <c r="M18" s="427">
        <f>SUM(G18:K18)</f>
        <v>266207</v>
      </c>
      <c r="N18" s="551"/>
    </row>
    <row r="19" spans="1:16" ht="12.75" customHeight="1">
      <c r="A19" s="4084"/>
      <c r="B19" s="68" t="s">
        <v>20</v>
      </c>
      <c r="C19" s="381"/>
      <c r="D19" s="435">
        <f>D23+D20</f>
        <v>51884429</v>
      </c>
      <c r="E19" s="435">
        <f t="shared" ref="E19:K19" si="15">E23+E20</f>
        <v>482232</v>
      </c>
      <c r="F19" s="435">
        <f t="shared" si="15"/>
        <v>633718</v>
      </c>
      <c r="G19" s="435">
        <f t="shared" si="15"/>
        <v>15488971</v>
      </c>
      <c r="H19" s="435">
        <f t="shared" si="15"/>
        <v>28939810</v>
      </c>
      <c r="I19" s="435">
        <f t="shared" si="15"/>
        <v>6339698</v>
      </c>
      <c r="J19" s="435">
        <f t="shared" si="15"/>
        <v>0</v>
      </c>
      <c r="K19" s="435">
        <f t="shared" si="15"/>
        <v>0</v>
      </c>
      <c r="L19" s="435">
        <f>L23+L20</f>
        <v>0</v>
      </c>
      <c r="M19" s="4074" t="s">
        <v>52</v>
      </c>
      <c r="N19" s="441"/>
      <c r="O19" s="442">
        <f>D19-'[5]Tab.6I - Planow. przestrz.'!$D$19</f>
        <v>-29322</v>
      </c>
    </row>
    <row r="20" spans="1:16" ht="12.75" customHeight="1">
      <c r="A20" s="4084"/>
      <c r="B20" s="436" t="s">
        <v>11</v>
      </c>
      <c r="C20" s="437"/>
      <c r="D20" s="438">
        <f>+D21+D22</f>
        <v>5356027</v>
      </c>
      <c r="E20" s="438">
        <f t="shared" ref="E20:K20" si="16">+E21+E22</f>
        <v>23112</v>
      </c>
      <c r="F20" s="438">
        <f t="shared" si="16"/>
        <v>14902</v>
      </c>
      <c r="G20" s="438">
        <f t="shared" si="16"/>
        <v>1584613</v>
      </c>
      <c r="H20" s="438">
        <f t="shared" si="16"/>
        <v>3057845</v>
      </c>
      <c r="I20" s="438">
        <f t="shared" si="16"/>
        <v>675555</v>
      </c>
      <c r="J20" s="438">
        <f t="shared" si="16"/>
        <v>0</v>
      </c>
      <c r="K20" s="438">
        <f t="shared" si="16"/>
        <v>0</v>
      </c>
      <c r="L20" s="438">
        <f>+L21+L22</f>
        <v>0</v>
      </c>
      <c r="M20" s="3717"/>
      <c r="N20" s="441"/>
      <c r="O20" s="442"/>
    </row>
    <row r="21" spans="1:16" ht="12.75" customHeight="1">
      <c r="A21" s="4084"/>
      <c r="B21" s="439" t="s">
        <v>12</v>
      </c>
      <c r="C21" s="437"/>
      <c r="D21" s="440">
        <f>+D59+D70</f>
        <v>99397</v>
      </c>
      <c r="E21" s="440">
        <f>+E59+E70</f>
        <v>23112</v>
      </c>
      <c r="F21" s="440">
        <f>+F59+F70</f>
        <v>14902</v>
      </c>
      <c r="G21" s="440">
        <f t="shared" ref="G21:I21" si="17">+G59+G70</f>
        <v>18883</v>
      </c>
      <c r="H21" s="440">
        <f t="shared" si="17"/>
        <v>26483</v>
      </c>
      <c r="I21" s="440">
        <f t="shared" si="17"/>
        <v>16017</v>
      </c>
      <c r="J21" s="440">
        <f t="shared" ref="J21:K21" si="18">+J59</f>
        <v>0</v>
      </c>
      <c r="K21" s="440">
        <f t="shared" si="18"/>
        <v>0</v>
      </c>
      <c r="L21" s="440">
        <f>+L59+L70</f>
        <v>0</v>
      </c>
      <c r="M21" s="3717"/>
      <c r="N21" s="441"/>
      <c r="O21" s="442">
        <f>D14-D21</f>
        <v>0</v>
      </c>
    </row>
    <row r="22" spans="1:16" ht="12.75" customHeight="1">
      <c r="A22" s="4084"/>
      <c r="B22" s="585" t="s">
        <v>16</v>
      </c>
      <c r="C22" s="444"/>
      <c r="D22" s="440">
        <f>D82+D94</f>
        <v>5256630</v>
      </c>
      <c r="E22" s="440">
        <f t="shared" ref="E22:K22" si="19">E82+E94</f>
        <v>0</v>
      </c>
      <c r="F22" s="440">
        <f t="shared" si="19"/>
        <v>0</v>
      </c>
      <c r="G22" s="440">
        <f t="shared" si="19"/>
        <v>1565730</v>
      </c>
      <c r="H22" s="440">
        <f t="shared" si="19"/>
        <v>3031362</v>
      </c>
      <c r="I22" s="440">
        <f t="shared" si="19"/>
        <v>659538</v>
      </c>
      <c r="J22" s="440">
        <f t="shared" si="19"/>
        <v>0</v>
      </c>
      <c r="K22" s="440">
        <f t="shared" si="19"/>
        <v>0</v>
      </c>
      <c r="L22" s="440">
        <f>L82+L94</f>
        <v>0</v>
      </c>
      <c r="M22" s="3717"/>
      <c r="N22" s="441"/>
      <c r="O22" s="442"/>
    </row>
    <row r="23" spans="1:16" ht="12.75" customHeight="1">
      <c r="A23" s="4084"/>
      <c r="B23" s="156" t="s">
        <v>17</v>
      </c>
      <c r="C23" s="444"/>
      <c r="D23" s="445">
        <f>+D24+D25</f>
        <v>46528402</v>
      </c>
      <c r="E23" s="445">
        <f t="shared" ref="E23" si="20">+E24+E25</f>
        <v>459120</v>
      </c>
      <c r="F23" s="445">
        <f t="shared" ref="F23:K23" si="21">+F24+F25</f>
        <v>618816</v>
      </c>
      <c r="G23" s="445">
        <f t="shared" si="21"/>
        <v>13904358</v>
      </c>
      <c r="H23" s="445">
        <f t="shared" si="21"/>
        <v>25881965</v>
      </c>
      <c r="I23" s="445">
        <f t="shared" si="21"/>
        <v>5664143</v>
      </c>
      <c r="J23" s="445">
        <f t="shared" si="21"/>
        <v>0</v>
      </c>
      <c r="K23" s="445">
        <f t="shared" si="21"/>
        <v>0</v>
      </c>
      <c r="L23" s="445">
        <f>+L24+L25</f>
        <v>0</v>
      </c>
      <c r="M23" s="3717"/>
      <c r="N23" s="441"/>
    </row>
    <row r="24" spans="1:16" ht="15" customHeight="1">
      <c r="A24" s="4084"/>
      <c r="B24" s="439" t="s">
        <v>19</v>
      </c>
      <c r="C24" s="437"/>
      <c r="D24" s="440">
        <f>+D84</f>
        <v>44681355</v>
      </c>
      <c r="E24" s="440"/>
      <c r="F24" s="440"/>
      <c r="G24" s="440">
        <f t="shared" ref="G24:K24" si="22">+G84</f>
        <v>13308703</v>
      </c>
      <c r="H24" s="440">
        <f t="shared" si="22"/>
        <v>25766576</v>
      </c>
      <c r="I24" s="440">
        <f t="shared" si="22"/>
        <v>5606076</v>
      </c>
      <c r="J24" s="440">
        <f t="shared" si="22"/>
        <v>0</v>
      </c>
      <c r="K24" s="440">
        <f t="shared" si="22"/>
        <v>0</v>
      </c>
      <c r="L24" s="440"/>
      <c r="M24" s="3717"/>
      <c r="N24" s="441"/>
      <c r="O24" s="442"/>
    </row>
    <row r="25" spans="1:16" ht="13.5" customHeight="1" thickBot="1">
      <c r="A25" s="4084"/>
      <c r="B25" s="2970" t="s">
        <v>18</v>
      </c>
      <c r="C25" s="591"/>
      <c r="D25" s="440">
        <f>+D34+D43+D61+D72+D96</f>
        <v>1847047</v>
      </c>
      <c r="E25" s="440">
        <f>+E34+E43+E61+E72+E84+E96</f>
        <v>459120</v>
      </c>
      <c r="F25" s="440">
        <f t="shared" ref="F25:K25" si="23">+F34+F43+F61+F72+F96</f>
        <v>618816</v>
      </c>
      <c r="G25" s="440">
        <f t="shared" si="23"/>
        <v>595655</v>
      </c>
      <c r="H25" s="440">
        <f t="shared" si="23"/>
        <v>115389</v>
      </c>
      <c r="I25" s="440">
        <f t="shared" si="23"/>
        <v>58067</v>
      </c>
      <c r="J25" s="440">
        <f t="shared" si="23"/>
        <v>0</v>
      </c>
      <c r="K25" s="440">
        <f t="shared" si="23"/>
        <v>0</v>
      </c>
      <c r="L25" s="440">
        <f>+L34+L43+L61+L72+L84+L96</f>
        <v>0</v>
      </c>
      <c r="M25" s="3718"/>
      <c r="N25" s="592"/>
      <c r="O25" s="442">
        <f>D18-D25</f>
        <v>0</v>
      </c>
    </row>
    <row r="26" spans="1:16" ht="26.25" customHeight="1">
      <c r="A26" s="4077" t="s">
        <v>54</v>
      </c>
      <c r="B26" s="446" t="s">
        <v>441</v>
      </c>
      <c r="C26" s="447" t="s">
        <v>99</v>
      </c>
      <c r="D26" s="593"/>
      <c r="E26" s="2122"/>
      <c r="F26" s="2123"/>
      <c r="G26" s="2123"/>
      <c r="H26" s="2123"/>
      <c r="I26" s="2123"/>
      <c r="J26" s="2123"/>
      <c r="K26" s="2124"/>
      <c r="L26" s="2123"/>
      <c r="M26" s="594"/>
      <c r="N26" s="4085" t="s">
        <v>292</v>
      </c>
    </row>
    <row r="27" spans="1:16" ht="12">
      <c r="A27" s="4081"/>
      <c r="B27" s="369" t="s">
        <v>9</v>
      </c>
      <c r="C27" s="381"/>
      <c r="D27" s="375">
        <f t="shared" ref="D27" si="24">+D28+D30</f>
        <v>944055</v>
      </c>
      <c r="E27" s="375">
        <f t="shared" ref="E27" si="25">+E28+E30</f>
        <v>517481</v>
      </c>
      <c r="F27" s="375">
        <f t="shared" ref="F27:G27" si="26">+F28+F30</f>
        <v>392044</v>
      </c>
      <c r="G27" s="375">
        <f t="shared" si="26"/>
        <v>34530</v>
      </c>
      <c r="H27" s="375"/>
      <c r="I27" s="375"/>
      <c r="J27" s="375"/>
      <c r="K27" s="375"/>
      <c r="L27" s="375">
        <f>+L28+L30</f>
        <v>0</v>
      </c>
      <c r="M27" s="374">
        <f>+M28+M30</f>
        <v>34530</v>
      </c>
      <c r="N27" s="4086"/>
      <c r="O27" s="442"/>
      <c r="P27" s="442"/>
    </row>
    <row r="28" spans="1:16" ht="13.5" customHeight="1">
      <c r="A28" s="4081"/>
      <c r="B28" s="595" t="s">
        <v>22</v>
      </c>
      <c r="C28" s="3682" t="s">
        <v>245</v>
      </c>
      <c r="D28" s="448">
        <f>+D29</f>
        <v>141607</v>
      </c>
      <c r="E28" s="1786">
        <f t="shared" ref="E28:G28" si="27">+E29</f>
        <v>77620</v>
      </c>
      <c r="F28" s="1787">
        <f t="shared" si="27"/>
        <v>58806</v>
      </c>
      <c r="G28" s="1787">
        <f t="shared" si="27"/>
        <v>5181</v>
      </c>
      <c r="H28" s="1787"/>
      <c r="I28" s="1787"/>
      <c r="J28" s="1787"/>
      <c r="K28" s="1787"/>
      <c r="L28" s="1787">
        <f>+L29</f>
        <v>0</v>
      </c>
      <c r="M28" s="1788">
        <f>+M29</f>
        <v>5181</v>
      </c>
      <c r="N28" s="4087"/>
    </row>
    <row r="29" spans="1:16" ht="13.5" customHeight="1">
      <c r="A29" s="4081"/>
      <c r="B29" s="596" t="s">
        <v>11</v>
      </c>
      <c r="C29" s="4080"/>
      <c r="D29" s="206">
        <f>E29+L29+F29+G29+H29+I29+J29+K29</f>
        <v>141607</v>
      </c>
      <c r="E29" s="234">
        <f>27744+49876</f>
        <v>77620</v>
      </c>
      <c r="F29" s="372">
        <f>53201+8098-1-2492</f>
        <v>58806</v>
      </c>
      <c r="G29" s="372">
        <f>5126+55</f>
        <v>5181</v>
      </c>
      <c r="H29" s="372"/>
      <c r="I29" s="372"/>
      <c r="J29" s="372"/>
      <c r="K29" s="372"/>
      <c r="L29" s="372"/>
      <c r="M29" s="427">
        <f>SUM(G29:K29)</f>
        <v>5181</v>
      </c>
      <c r="N29" s="4087"/>
    </row>
    <row r="30" spans="1:16" ht="13.5" customHeight="1">
      <c r="A30" s="4081"/>
      <c r="B30" s="597" t="s">
        <v>17</v>
      </c>
      <c r="C30" s="4080"/>
      <c r="D30" s="449">
        <f t="shared" ref="D30:M30" si="28">+D31</f>
        <v>802448</v>
      </c>
      <c r="E30" s="448">
        <f t="shared" si="28"/>
        <v>439861</v>
      </c>
      <c r="F30" s="450">
        <f>+F31</f>
        <v>333238</v>
      </c>
      <c r="G30" s="450">
        <f>+G31</f>
        <v>29349</v>
      </c>
      <c r="H30" s="450"/>
      <c r="I30" s="450"/>
      <c r="J30" s="450"/>
      <c r="K30" s="450"/>
      <c r="L30" s="450">
        <f>+L31</f>
        <v>0</v>
      </c>
      <c r="M30" s="426">
        <f t="shared" si="28"/>
        <v>29349</v>
      </c>
      <c r="N30" s="4087"/>
    </row>
    <row r="31" spans="1:16" ht="13.5" customHeight="1">
      <c r="A31" s="4081"/>
      <c r="B31" s="489" t="s">
        <v>18</v>
      </c>
      <c r="C31" s="4080"/>
      <c r="D31" s="206">
        <f>E31+L31+F31+G31+H31+I31+J31+K31</f>
        <v>802448</v>
      </c>
      <c r="E31" s="234">
        <f>157219+282642</f>
        <v>439861</v>
      </c>
      <c r="F31" s="1789">
        <f>301472+45901-14135</f>
        <v>333238</v>
      </c>
      <c r="G31" s="428">
        <f>29045+304</f>
        <v>29349</v>
      </c>
      <c r="H31" s="428"/>
      <c r="I31" s="428"/>
      <c r="J31" s="428"/>
      <c r="K31" s="428"/>
      <c r="L31" s="1789"/>
      <c r="M31" s="427">
        <f>SUM(G31:K31)</f>
        <v>29349</v>
      </c>
      <c r="N31" s="4087"/>
    </row>
    <row r="32" spans="1:16" ht="12">
      <c r="A32" s="4081"/>
      <c r="B32" s="369" t="s">
        <v>20</v>
      </c>
      <c r="C32" s="381"/>
      <c r="D32" s="599">
        <f>+D33</f>
        <v>802448</v>
      </c>
      <c r="E32" s="599">
        <f t="shared" ref="E32:H33" si="29">+E33</f>
        <v>183266</v>
      </c>
      <c r="F32" s="599">
        <f t="shared" si="29"/>
        <v>318258</v>
      </c>
      <c r="G32" s="599">
        <f t="shared" si="29"/>
        <v>300924</v>
      </c>
      <c r="H32" s="599">
        <f t="shared" si="29"/>
        <v>0</v>
      </c>
      <c r="I32" s="375"/>
      <c r="J32" s="375"/>
      <c r="K32" s="375"/>
      <c r="L32" s="599">
        <f>+L33</f>
        <v>0</v>
      </c>
      <c r="M32" s="4074" t="s">
        <v>52</v>
      </c>
      <c r="N32" s="4087"/>
      <c r="O32" s="442">
        <f>D32-'[5]Tab.6I - Planow. przestrz.'!$D$32</f>
        <v>-14135</v>
      </c>
    </row>
    <row r="33" spans="1:18" ht="13.5" customHeight="1">
      <c r="A33" s="4081"/>
      <c r="B33" s="597" t="s">
        <v>17</v>
      </c>
      <c r="C33" s="3827" t="s">
        <v>245</v>
      </c>
      <c r="D33" s="449">
        <f>+D34</f>
        <v>802448</v>
      </c>
      <c r="E33" s="449">
        <f t="shared" si="29"/>
        <v>183266</v>
      </c>
      <c r="F33" s="449">
        <f t="shared" si="29"/>
        <v>318258</v>
      </c>
      <c r="G33" s="449">
        <f t="shared" si="29"/>
        <v>300924</v>
      </c>
      <c r="H33" s="449">
        <f t="shared" si="29"/>
        <v>0</v>
      </c>
      <c r="I33" s="449"/>
      <c r="J33" s="449"/>
      <c r="K33" s="449"/>
      <c r="L33" s="449">
        <f>+L34</f>
        <v>0</v>
      </c>
      <c r="M33" s="3717"/>
      <c r="N33" s="4087"/>
      <c r="O33" s="442">
        <f>+D34-D31</f>
        <v>0</v>
      </c>
    </row>
    <row r="34" spans="1:18" ht="12.75" thickBot="1">
      <c r="A34" s="4082"/>
      <c r="B34" s="489" t="s">
        <v>18</v>
      </c>
      <c r="C34" s="4091"/>
      <c r="D34" s="206">
        <f>E34+L34+F34+G34+H34+I34+J34+K34</f>
        <v>802448</v>
      </c>
      <c r="E34" s="1790">
        <f>159401+23865</f>
        <v>183266</v>
      </c>
      <c r="F34" s="1790">
        <f>328844-10586</f>
        <v>318258</v>
      </c>
      <c r="G34" s="1790">
        <f>301472-6999+6451</f>
        <v>300924</v>
      </c>
      <c r="H34" s="1790">
        <f>29045-2182+3-16866-10000</f>
        <v>0</v>
      </c>
      <c r="I34" s="1790"/>
      <c r="J34" s="1790"/>
      <c r="K34" s="1790"/>
      <c r="L34" s="1790"/>
      <c r="M34" s="3718"/>
      <c r="N34" s="4088"/>
    </row>
    <row r="35" spans="1:18" ht="35.25" customHeight="1">
      <c r="A35" s="4077" t="s">
        <v>55</v>
      </c>
      <c r="B35" s="446" t="s">
        <v>442</v>
      </c>
      <c r="C35" s="447" t="s">
        <v>99</v>
      </c>
      <c r="D35" s="593"/>
      <c r="E35" s="2122"/>
      <c r="F35" s="2123"/>
      <c r="G35" s="2123"/>
      <c r="H35" s="2123"/>
      <c r="I35" s="2123"/>
      <c r="J35" s="2123"/>
      <c r="K35" s="2124"/>
      <c r="L35" s="2123"/>
      <c r="M35" s="1791"/>
      <c r="N35" s="4085" t="s">
        <v>292</v>
      </c>
    </row>
    <row r="36" spans="1:18" ht="12.75" customHeight="1">
      <c r="A36" s="4081"/>
      <c r="B36" s="1793" t="s">
        <v>9</v>
      </c>
      <c r="C36" s="1999"/>
      <c r="D36" s="1178">
        <f t="shared" ref="D36:H36" si="30">+D37+D39</f>
        <v>876994</v>
      </c>
      <c r="E36" s="1228">
        <f t="shared" ref="E36" si="31">+E37+E39</f>
        <v>488579</v>
      </c>
      <c r="F36" s="1228">
        <f t="shared" si="30"/>
        <v>287805</v>
      </c>
      <c r="G36" s="1228">
        <f t="shared" si="30"/>
        <v>43185</v>
      </c>
      <c r="H36" s="1228">
        <f t="shared" si="30"/>
        <v>57425</v>
      </c>
      <c r="I36" s="1228"/>
      <c r="J36" s="1228"/>
      <c r="K36" s="1228"/>
      <c r="L36" s="1228">
        <f>+L37+L39</f>
        <v>0</v>
      </c>
      <c r="M36" s="1179">
        <f>+M37+M39</f>
        <v>100610</v>
      </c>
      <c r="N36" s="4086"/>
      <c r="O36" s="442"/>
      <c r="P36" s="442"/>
      <c r="Q36" s="442"/>
      <c r="R36" s="442"/>
    </row>
    <row r="37" spans="1:18" ht="12" customHeight="1">
      <c r="A37" s="4081"/>
      <c r="B37" s="1196" t="s">
        <v>22</v>
      </c>
      <c r="C37" s="3664" t="s">
        <v>245</v>
      </c>
      <c r="D37" s="1198">
        <f>+D38</f>
        <v>130588</v>
      </c>
      <c r="E37" s="3483">
        <f t="shared" ref="E37:H37" si="32">+E38</f>
        <v>72458</v>
      </c>
      <c r="F37" s="3484">
        <f t="shared" si="32"/>
        <v>43171</v>
      </c>
      <c r="G37" s="3484">
        <f t="shared" si="32"/>
        <v>6345</v>
      </c>
      <c r="H37" s="3484">
        <f t="shared" si="32"/>
        <v>8614</v>
      </c>
      <c r="I37" s="1214"/>
      <c r="J37" s="1214"/>
      <c r="K37" s="1214"/>
      <c r="L37" s="3484">
        <f>+L38</f>
        <v>0</v>
      </c>
      <c r="M37" s="1182">
        <f>+M38</f>
        <v>14959</v>
      </c>
      <c r="N37" s="4087"/>
    </row>
    <row r="38" spans="1:18" ht="12">
      <c r="A38" s="4081"/>
      <c r="B38" s="1206" t="s">
        <v>11</v>
      </c>
      <c r="C38" s="4080"/>
      <c r="D38" s="1115">
        <f>E38+L38+F38+G38+H38+I38+J38+K38</f>
        <v>130588</v>
      </c>
      <c r="E38" s="1155">
        <f>23893+48565</f>
        <v>72458</v>
      </c>
      <c r="F38" s="1194">
        <f>43837+2170-2836</f>
        <v>43171</v>
      </c>
      <c r="G38" s="1194">
        <f>6231+114</f>
        <v>6345</v>
      </c>
      <c r="H38" s="1194">
        <v>8614</v>
      </c>
      <c r="I38" s="1194"/>
      <c r="J38" s="1194"/>
      <c r="K38" s="1194"/>
      <c r="L38" s="1194"/>
      <c r="M38" s="1195">
        <f>SUM(G38:K38)</f>
        <v>14959</v>
      </c>
      <c r="N38" s="4087"/>
    </row>
    <row r="39" spans="1:18" ht="12">
      <c r="A39" s="4081"/>
      <c r="B39" s="1779" t="s">
        <v>17</v>
      </c>
      <c r="C39" s="4080"/>
      <c r="D39" s="2980">
        <f t="shared" ref="D39:M39" si="33">+D40</f>
        <v>746406</v>
      </c>
      <c r="E39" s="1485">
        <f t="shared" si="33"/>
        <v>416121</v>
      </c>
      <c r="F39" s="3485">
        <f t="shared" si="33"/>
        <v>244634</v>
      </c>
      <c r="G39" s="3485">
        <f t="shared" si="33"/>
        <v>36840</v>
      </c>
      <c r="H39" s="3485">
        <f t="shared" si="33"/>
        <v>48811</v>
      </c>
      <c r="I39" s="2166"/>
      <c r="J39" s="2166"/>
      <c r="K39" s="2166"/>
      <c r="L39" s="3485">
        <f>+L40</f>
        <v>0</v>
      </c>
      <c r="M39" s="1182">
        <f t="shared" si="33"/>
        <v>85651</v>
      </c>
      <c r="N39" s="4087"/>
    </row>
    <row r="40" spans="1:18" ht="12">
      <c r="A40" s="4081"/>
      <c r="B40" s="2161" t="s">
        <v>18</v>
      </c>
      <c r="C40" s="4080"/>
      <c r="D40" s="1115">
        <f>E40+L40+F40+G40+H40+I40+J40+K40</f>
        <v>746406</v>
      </c>
      <c r="E40" s="1155">
        <f>140919+275202</f>
        <v>416121</v>
      </c>
      <c r="F40" s="1184">
        <f>248412+11409-15187</f>
        <v>244634</v>
      </c>
      <c r="G40" s="1184">
        <f>35307+1533</f>
        <v>36840</v>
      </c>
      <c r="H40" s="1184">
        <v>48811</v>
      </c>
      <c r="I40" s="1184"/>
      <c r="J40" s="1184"/>
      <c r="K40" s="1184"/>
      <c r="L40" s="1184"/>
      <c r="M40" s="1195">
        <f>SUM(G40:K40)</f>
        <v>85651</v>
      </c>
      <c r="N40" s="4087"/>
    </row>
    <row r="41" spans="1:18" ht="12">
      <c r="A41" s="4081"/>
      <c r="B41" s="1705" t="s">
        <v>20</v>
      </c>
      <c r="C41" s="1999"/>
      <c r="D41" s="1178">
        <f>+D42</f>
        <v>746406</v>
      </c>
      <c r="E41" s="1178">
        <f t="shared" ref="E41:H41" si="34">+E42</f>
        <v>206519</v>
      </c>
      <c r="F41" s="1178">
        <f t="shared" si="34"/>
        <v>255853</v>
      </c>
      <c r="G41" s="1178">
        <f t="shared" si="34"/>
        <v>238090</v>
      </c>
      <c r="H41" s="1178">
        <f t="shared" si="34"/>
        <v>35944</v>
      </c>
      <c r="I41" s="1178">
        <f t="shared" ref="E41:I42" si="35">+I42</f>
        <v>10000</v>
      </c>
      <c r="J41" s="1228"/>
      <c r="K41" s="1228"/>
      <c r="L41" s="1178">
        <f>+L42</f>
        <v>0</v>
      </c>
      <c r="M41" s="3757" t="s">
        <v>52</v>
      </c>
      <c r="N41" s="4087"/>
      <c r="O41" s="442">
        <f>D41-'[5]Tab.6I - Planow. przestrz.'!$D$41</f>
        <v>-15187</v>
      </c>
    </row>
    <row r="42" spans="1:18" ht="12" customHeight="1">
      <c r="A42" s="4081"/>
      <c r="B42" s="1779" t="s">
        <v>17</v>
      </c>
      <c r="C42" s="3759" t="s">
        <v>245</v>
      </c>
      <c r="D42" s="2980">
        <f>+D43</f>
        <v>746406</v>
      </c>
      <c r="E42" s="2981">
        <f t="shared" si="35"/>
        <v>206519</v>
      </c>
      <c r="F42" s="2981">
        <f t="shared" si="35"/>
        <v>255853</v>
      </c>
      <c r="G42" s="2981">
        <f t="shared" si="35"/>
        <v>238090</v>
      </c>
      <c r="H42" s="2981">
        <f t="shared" si="35"/>
        <v>35944</v>
      </c>
      <c r="I42" s="2981">
        <f t="shared" si="35"/>
        <v>10000</v>
      </c>
      <c r="J42" s="2981"/>
      <c r="K42" s="2981"/>
      <c r="L42" s="2981">
        <f>+L43</f>
        <v>0</v>
      </c>
      <c r="M42" s="3717"/>
      <c r="N42" s="4087"/>
    </row>
    <row r="43" spans="1:18" ht="13.5" thickBot="1">
      <c r="A43" s="4082"/>
      <c r="B43" s="712" t="s">
        <v>18</v>
      </c>
      <c r="C43" s="4091"/>
      <c r="D43" s="1636">
        <f>E43+L43+F43+G43+H43+I43+J43+K43</f>
        <v>746406</v>
      </c>
      <c r="E43" s="1433">
        <f>133538+72981</f>
        <v>206519</v>
      </c>
      <c r="F43" s="1433">
        <f>296984-41131</f>
        <v>255853</v>
      </c>
      <c r="G43" s="1433">
        <f>248412-10322</f>
        <v>238090</v>
      </c>
      <c r="H43" s="1433">
        <f>35307-25307+25944</f>
        <v>35944</v>
      </c>
      <c r="I43" s="1433">
        <f>48811-1459-37352</f>
        <v>10000</v>
      </c>
      <c r="J43" s="3595"/>
      <c r="K43" s="3595"/>
      <c r="L43" s="1433"/>
      <c r="M43" s="3718"/>
      <c r="N43" s="4088"/>
      <c r="O43" s="442">
        <f>+D43-D40</f>
        <v>0</v>
      </c>
    </row>
    <row r="44" spans="1:18" s="3056" customFormat="1" ht="23.25" customHeight="1">
      <c r="A44" s="4075" t="s">
        <v>56</v>
      </c>
      <c r="B44" s="346" t="s">
        <v>375</v>
      </c>
      <c r="C44" s="684" t="s">
        <v>99</v>
      </c>
      <c r="D44" s="3489"/>
      <c r="E44" s="3591"/>
      <c r="F44" s="3592"/>
      <c r="G44" s="3592"/>
      <c r="H44" s="3592"/>
      <c r="I44" s="3592"/>
      <c r="J44" s="3592"/>
      <c r="K44" s="3593"/>
      <c r="L44" s="3592"/>
      <c r="M44" s="3594"/>
      <c r="N44" s="74"/>
    </row>
    <row r="45" spans="1:18" s="3056" customFormat="1" ht="12.75">
      <c r="A45" s="4076"/>
      <c r="B45" s="1793" t="s">
        <v>9</v>
      </c>
      <c r="C45" s="1177"/>
      <c r="D45" s="1794">
        <f>+D46+D52</f>
        <v>394357</v>
      </c>
      <c r="E45" s="1794">
        <f t="shared" ref="E45" si="36">+E46+E52</f>
        <v>142775</v>
      </c>
      <c r="F45" s="1228">
        <f t="shared" ref="F45:H45" si="37">+F46+F52</f>
        <v>49354</v>
      </c>
      <c r="G45" s="1228">
        <f t="shared" si="37"/>
        <v>114034</v>
      </c>
      <c r="H45" s="1228">
        <f t="shared" si="37"/>
        <v>88194</v>
      </c>
      <c r="I45" s="1228"/>
      <c r="J45" s="1228"/>
      <c r="K45" s="1228"/>
      <c r="L45" s="1228">
        <f>+L46+L52</f>
        <v>0</v>
      </c>
      <c r="M45" s="3558">
        <f>+M46+M52</f>
        <v>202228</v>
      </c>
      <c r="N45" s="3728" t="s">
        <v>619</v>
      </c>
      <c r="O45" s="602"/>
    </row>
    <row r="46" spans="1:18" s="3056" customFormat="1" ht="12.75">
      <c r="A46" s="4076"/>
      <c r="B46" s="595" t="s">
        <v>22</v>
      </c>
      <c r="C46" s="3664" t="s">
        <v>138</v>
      </c>
      <c r="D46" s="2973">
        <f>+D47+D51</f>
        <v>99415</v>
      </c>
      <c r="E46" s="2973">
        <f>+E47+E51</f>
        <v>35960</v>
      </c>
      <c r="F46" s="2974">
        <f t="shared" ref="F46:H46" si="38">+F47+F51</f>
        <v>12434</v>
      </c>
      <c r="G46" s="2974">
        <f t="shared" si="38"/>
        <v>28826</v>
      </c>
      <c r="H46" s="2974">
        <f t="shared" si="38"/>
        <v>22195</v>
      </c>
      <c r="I46" s="2973"/>
      <c r="J46" s="2973"/>
      <c r="K46" s="2973"/>
      <c r="L46" s="2974">
        <f>+L47+L51</f>
        <v>0</v>
      </c>
      <c r="M46" s="3559">
        <f>+M47+M51</f>
        <v>51021</v>
      </c>
      <c r="N46" s="3728"/>
    </row>
    <row r="47" spans="1:18" s="3056" customFormat="1" ht="10.5" customHeight="1">
      <c r="A47" s="4076"/>
      <c r="B47" s="1795" t="s">
        <v>12</v>
      </c>
      <c r="C47" s="3722"/>
      <c r="D47" s="1115">
        <f>E47+L47+F47+G47+H47+I47+J47+K47</f>
        <v>98313</v>
      </c>
      <c r="E47" s="1155">
        <f>+E49+E50</f>
        <v>35604</v>
      </c>
      <c r="F47" s="2975">
        <f t="shared" ref="F47:H47" si="39">+F49+F50</f>
        <v>12308</v>
      </c>
      <c r="G47" s="2975">
        <f t="shared" si="39"/>
        <v>28406</v>
      </c>
      <c r="H47" s="2975">
        <f t="shared" si="39"/>
        <v>21995</v>
      </c>
      <c r="I47" s="1155"/>
      <c r="J47" s="1155"/>
      <c r="K47" s="1155"/>
      <c r="L47" s="2975">
        <f>+L49+L50</f>
        <v>0</v>
      </c>
      <c r="M47" s="427">
        <f>SUM(G47:K47)</f>
        <v>50401</v>
      </c>
      <c r="N47" s="3728"/>
      <c r="O47" s="602">
        <f>D47-D59</f>
        <v>0</v>
      </c>
    </row>
    <row r="48" spans="1:18" s="3056" customFormat="1" ht="12.75" hidden="1" customHeight="1">
      <c r="A48" s="4076"/>
      <c r="B48" s="3560" t="s">
        <v>139</v>
      </c>
      <c r="C48" s="3722"/>
      <c r="D48" s="1115">
        <f>E48+L48+F48+G48+H48+I48+J48+K48</f>
        <v>0</v>
      </c>
      <c r="E48" s="1155"/>
      <c r="F48" s="1194"/>
      <c r="G48" s="1194"/>
      <c r="H48" s="1194"/>
      <c r="I48" s="1194"/>
      <c r="J48" s="1194"/>
      <c r="K48" s="1194"/>
      <c r="L48" s="1194"/>
      <c r="M48" s="1195"/>
      <c r="N48" s="3728"/>
      <c r="O48" s="602"/>
    </row>
    <row r="49" spans="1:16" s="3056" customFormat="1" ht="12.75" hidden="1" customHeight="1">
      <c r="A49" s="4076"/>
      <c r="B49" s="3560" t="s">
        <v>269</v>
      </c>
      <c r="C49" s="3722"/>
      <c r="D49" s="1115">
        <f>E49+L49+F49+G49+H49+I49+J49+K49</f>
        <v>59778</v>
      </c>
      <c r="E49" s="1155">
        <f>15556+8649</f>
        <v>24205</v>
      </c>
      <c r="F49" s="3561">
        <f>8056+671+1501+214+1413-3260</f>
        <v>8595</v>
      </c>
      <c r="G49" s="2976">
        <f>8057+671+1501+214+1417</f>
        <v>11860</v>
      </c>
      <c r="H49" s="2976">
        <f>8057+671+1501+214+1415+3260</f>
        <v>15118</v>
      </c>
      <c r="I49" s="1194"/>
      <c r="J49" s="1194"/>
      <c r="K49" s="1194"/>
      <c r="L49" s="2976"/>
      <c r="M49" s="3562">
        <f>SUM(G49:H49)</f>
        <v>26978</v>
      </c>
      <c r="N49" s="3728"/>
      <c r="O49" s="602"/>
    </row>
    <row r="50" spans="1:16" s="3056" customFormat="1" ht="12.75" hidden="1" customHeight="1">
      <c r="A50" s="4076"/>
      <c r="B50" s="3560" t="s">
        <v>605</v>
      </c>
      <c r="C50" s="3722"/>
      <c r="D50" s="1115">
        <f>E50+L50+F50+G50+H50+I50+J50+K50</f>
        <v>38535</v>
      </c>
      <c r="E50" s="1155">
        <f>6510-111+5000</f>
        <v>11399</v>
      </c>
      <c r="F50" s="3561">
        <f>512+979+979+1250+2407+750+6505-9669</f>
        <v>3713</v>
      </c>
      <c r="G50" s="2976">
        <f>512+979+979+1250+2407+750+9669</f>
        <v>16546</v>
      </c>
      <c r="H50" s="2976">
        <f>512+979+979+1250+2407+750</f>
        <v>6877</v>
      </c>
      <c r="I50" s="1194"/>
      <c r="J50" s="1194"/>
      <c r="K50" s="1194"/>
      <c r="L50" s="2977"/>
      <c r="M50" s="3562">
        <f>SUM(G50:H50)</f>
        <v>23423</v>
      </c>
      <c r="N50" s="3728"/>
      <c r="O50" s="602"/>
    </row>
    <row r="51" spans="1:16" s="3056" customFormat="1" ht="12.75">
      <c r="A51" s="4076"/>
      <c r="B51" s="1254" t="s">
        <v>11</v>
      </c>
      <c r="C51" s="3722"/>
      <c r="D51" s="1115">
        <f>E51+L51+F51+G51+H51+I51+J51+K51</f>
        <v>1102</v>
      </c>
      <c r="E51" s="1155">
        <f>222+134</f>
        <v>356</v>
      </c>
      <c r="F51" s="1194">
        <f>200+146-220</f>
        <v>126</v>
      </c>
      <c r="G51" s="1194">
        <f>200+220</f>
        <v>420</v>
      </c>
      <c r="H51" s="1194">
        <v>200</v>
      </c>
      <c r="I51" s="1194"/>
      <c r="J51" s="1194"/>
      <c r="K51" s="1194"/>
      <c r="L51" s="1194"/>
      <c r="M51" s="427">
        <f>SUM(G51:K51)</f>
        <v>620</v>
      </c>
      <c r="N51" s="3728"/>
    </row>
    <row r="52" spans="1:16" s="3056" customFormat="1" ht="13.5" customHeight="1">
      <c r="A52" s="4076"/>
      <c r="B52" s="1779" t="s">
        <v>17</v>
      </c>
      <c r="C52" s="3722"/>
      <c r="D52" s="1181">
        <f>+D53</f>
        <v>294942</v>
      </c>
      <c r="E52" s="1181">
        <f t="shared" ref="E52" si="40">+E53</f>
        <v>106815</v>
      </c>
      <c r="F52" s="1187">
        <f t="shared" ref="F52:H52" si="41">+F53</f>
        <v>36920</v>
      </c>
      <c r="G52" s="1187">
        <f t="shared" si="41"/>
        <v>85208</v>
      </c>
      <c r="H52" s="1187">
        <f t="shared" si="41"/>
        <v>65999</v>
      </c>
      <c r="I52" s="1187"/>
      <c r="J52" s="1187"/>
      <c r="K52" s="1187"/>
      <c r="L52" s="1187">
        <f>+L53</f>
        <v>0</v>
      </c>
      <c r="M52" s="1255">
        <f>+M53</f>
        <v>151207</v>
      </c>
      <c r="N52" s="3728"/>
    </row>
    <row r="53" spans="1:16" s="3056" customFormat="1" ht="12.75">
      <c r="A53" s="4076"/>
      <c r="B53" s="3563" t="s">
        <v>18</v>
      </c>
      <c r="C53" s="3789"/>
      <c r="D53" s="1115">
        <f>E53+L53+F53+G53+H53+I53+J53+K53</f>
        <v>294942</v>
      </c>
      <c r="E53" s="1155">
        <f>+E55+E56</f>
        <v>106815</v>
      </c>
      <c r="F53" s="2978">
        <f>SUM(F55:F56)</f>
        <v>36920</v>
      </c>
      <c r="G53" s="2978">
        <f>SUM(G55:G56)</f>
        <v>85208</v>
      </c>
      <c r="H53" s="2978">
        <f>SUM(H55:H56)</f>
        <v>65999</v>
      </c>
      <c r="I53" s="1184"/>
      <c r="J53" s="1184"/>
      <c r="K53" s="1184"/>
      <c r="L53" s="2978">
        <f>SUM(L55:L56)</f>
        <v>0</v>
      </c>
      <c r="M53" s="427">
        <f>SUM(G53:K53)</f>
        <v>151207</v>
      </c>
      <c r="N53" s="3728"/>
      <c r="O53" s="602">
        <f>D53-D61</f>
        <v>0</v>
      </c>
    </row>
    <row r="54" spans="1:16" s="1797" customFormat="1" ht="13.5" hidden="1" customHeight="1">
      <c r="A54" s="4076"/>
      <c r="B54" s="3560" t="s">
        <v>139</v>
      </c>
      <c r="C54" s="3564"/>
      <c r="D54" s="3565"/>
      <c r="E54" s="2979"/>
      <c r="F54" s="2979"/>
      <c r="G54" s="2979"/>
      <c r="H54" s="2979"/>
      <c r="I54" s="2979"/>
      <c r="J54" s="2979"/>
      <c r="K54" s="2979"/>
      <c r="L54" s="2979"/>
      <c r="M54" s="3566"/>
      <c r="N54" s="1774"/>
      <c r="O54" s="1796"/>
    </row>
    <row r="55" spans="1:16" s="1797" customFormat="1" ht="13.5" hidden="1" customHeight="1">
      <c r="A55" s="4076"/>
      <c r="B55" s="3560" t="s">
        <v>269</v>
      </c>
      <c r="C55" s="3564"/>
      <c r="D55" s="1115">
        <f>E55+L55+F55+G55+H55+I55+J55+K55</f>
        <v>179344</v>
      </c>
      <c r="E55" s="2979">
        <f>46667+25948</f>
        <v>72615</v>
      </c>
      <c r="F55" s="2979">
        <f>24173+2014+4502+642+4245-9795</f>
        <v>25781</v>
      </c>
      <c r="G55" s="2979">
        <f>24172+2014+4502+642+4247</f>
        <v>35577</v>
      </c>
      <c r="H55" s="2979">
        <f>24172+2014+4502+642+4246+9795</f>
        <v>45371</v>
      </c>
      <c r="I55" s="2979"/>
      <c r="J55" s="2979"/>
      <c r="K55" s="2979"/>
      <c r="L55" s="2979"/>
      <c r="M55" s="3562">
        <f>SUM(G55:H55)</f>
        <v>80948</v>
      </c>
      <c r="N55" s="1774"/>
      <c r="O55" s="1796"/>
    </row>
    <row r="56" spans="1:16" s="1797" customFormat="1" ht="13.5" hidden="1" customHeight="1">
      <c r="A56" s="4076"/>
      <c r="B56" s="3560" t="s">
        <v>605</v>
      </c>
      <c r="C56" s="3564"/>
      <c r="D56" s="1115">
        <f>E56+L56+F56+G56+H56+I56+J56+K56</f>
        <v>115598</v>
      </c>
      <c r="E56" s="2979">
        <f>19532-333+15001</f>
        <v>34200</v>
      </c>
      <c r="F56" s="2979">
        <f>1537+2936+2936+3750+7219+2250+19514-29003</f>
        <v>11139</v>
      </c>
      <c r="G56" s="2979">
        <f>1537+2936+2936+3750+7219+2250+29003</f>
        <v>49631</v>
      </c>
      <c r="H56" s="2979">
        <f>1537+2936+2936+3750+7219+2250</f>
        <v>20628</v>
      </c>
      <c r="I56" s="2979"/>
      <c r="J56" s="2979"/>
      <c r="K56" s="2979"/>
      <c r="L56" s="2979"/>
      <c r="M56" s="3562">
        <f>SUM(G56:H56)</f>
        <v>70259</v>
      </c>
      <c r="N56" s="1774"/>
      <c r="O56" s="1796"/>
    </row>
    <row r="57" spans="1:16" s="3056" customFormat="1" ht="12.75">
      <c r="A57" s="4076"/>
      <c r="B57" s="367" t="s">
        <v>20</v>
      </c>
      <c r="C57" s="1177"/>
      <c r="D57" s="1178">
        <f>+D58+D60</f>
        <v>393255</v>
      </c>
      <c r="E57" s="1178">
        <f t="shared" ref="E57" si="42">+E58+E60</f>
        <v>92447</v>
      </c>
      <c r="F57" s="1178">
        <f t="shared" ref="F57:I57" si="43">+F58+F60</f>
        <v>55272</v>
      </c>
      <c r="G57" s="1178">
        <f t="shared" si="43"/>
        <v>75524</v>
      </c>
      <c r="H57" s="1178">
        <f t="shared" si="43"/>
        <v>105928</v>
      </c>
      <c r="I57" s="1178">
        <f t="shared" si="43"/>
        <v>64084</v>
      </c>
      <c r="J57" s="1228"/>
      <c r="K57" s="1228"/>
      <c r="L57" s="1178">
        <f>+L58+L60</f>
        <v>0</v>
      </c>
      <c r="M57" s="3757" t="s">
        <v>52</v>
      </c>
      <c r="N57" s="3812" t="s">
        <v>606</v>
      </c>
      <c r="O57" s="602">
        <f>D57-'[5]Tab.6I - Planow. przestrz.'!$D$57</f>
        <v>0</v>
      </c>
    </row>
    <row r="58" spans="1:16" s="3056" customFormat="1" ht="13.5" customHeight="1">
      <c r="A58" s="4076"/>
      <c r="B58" s="483" t="s">
        <v>22</v>
      </c>
      <c r="C58" s="3759" t="s">
        <v>138</v>
      </c>
      <c r="D58" s="2980">
        <f>+D59</f>
        <v>98313</v>
      </c>
      <c r="E58" s="2981">
        <f t="shared" ref="E58:I58" si="44">+E59</f>
        <v>23112</v>
      </c>
      <c r="F58" s="2981">
        <f t="shared" si="44"/>
        <v>13818</v>
      </c>
      <c r="G58" s="2981">
        <f t="shared" si="44"/>
        <v>18883</v>
      </c>
      <c r="H58" s="2981">
        <f t="shared" si="44"/>
        <v>26483</v>
      </c>
      <c r="I58" s="2981">
        <f t="shared" si="44"/>
        <v>16017</v>
      </c>
      <c r="J58" s="2981"/>
      <c r="K58" s="2981"/>
      <c r="L58" s="2981">
        <f>+L59</f>
        <v>0</v>
      </c>
      <c r="M58" s="3717"/>
      <c r="N58" s="3728"/>
    </row>
    <row r="59" spans="1:16" s="3056" customFormat="1" ht="12.75">
      <c r="A59" s="4076"/>
      <c r="B59" s="1795" t="s">
        <v>12</v>
      </c>
      <c r="C59" s="3828"/>
      <c r="D59" s="1160">
        <f>E59+L59+F59+G59+H59+I59+J59+K59</f>
        <v>98313</v>
      </c>
      <c r="E59" s="1155">
        <f>28409-5297</f>
        <v>23112</v>
      </c>
      <c r="F59" s="1155">
        <f>17319+6040-1889-2668-4984</f>
        <v>13818</v>
      </c>
      <c r="G59" s="1155">
        <f>17319+6294-4730</f>
        <v>18883</v>
      </c>
      <c r="H59" s="1155">
        <f>17320+1415+7748</f>
        <v>26483</v>
      </c>
      <c r="I59" s="1155">
        <f>12990+1061+1966</f>
        <v>16017</v>
      </c>
      <c r="J59" s="2982"/>
      <c r="K59" s="2982"/>
      <c r="L59" s="1155"/>
      <c r="M59" s="3717"/>
      <c r="N59" s="3728"/>
    </row>
    <row r="60" spans="1:16" s="3056" customFormat="1" ht="12.75">
      <c r="A60" s="4076"/>
      <c r="B60" s="1798" t="s">
        <v>17</v>
      </c>
      <c r="C60" s="3828"/>
      <c r="D60" s="2983">
        <f t="shared" ref="D60:I60" si="45">+D61</f>
        <v>294942</v>
      </c>
      <c r="E60" s="2983">
        <f t="shared" si="45"/>
        <v>69335</v>
      </c>
      <c r="F60" s="2983">
        <f t="shared" si="45"/>
        <v>41454</v>
      </c>
      <c r="G60" s="2983">
        <f t="shared" si="45"/>
        <v>56641</v>
      </c>
      <c r="H60" s="2983">
        <f t="shared" si="45"/>
        <v>79445</v>
      </c>
      <c r="I60" s="2983">
        <f t="shared" si="45"/>
        <v>48067</v>
      </c>
      <c r="J60" s="2984"/>
      <c r="K60" s="2984"/>
      <c r="L60" s="2983">
        <f>+L61</f>
        <v>0</v>
      </c>
      <c r="M60" s="3717"/>
      <c r="N60" s="3728"/>
    </row>
    <row r="61" spans="1:16" s="3056" customFormat="1" ht="13.5" thickBot="1">
      <c r="A61" s="4055"/>
      <c r="B61" s="603" t="s">
        <v>18</v>
      </c>
      <c r="C61" s="3971"/>
      <c r="D61" s="692">
        <f>E61+L61+F61+G61+H61+I61+J61+K61</f>
        <v>294942</v>
      </c>
      <c r="E61" s="365">
        <f>85229-15894</f>
        <v>69335</v>
      </c>
      <c r="F61" s="365">
        <f>51959+18120-5672-7998-14955</f>
        <v>41454</v>
      </c>
      <c r="G61" s="365">
        <f>51959+18879-14197</f>
        <v>56641</v>
      </c>
      <c r="H61" s="365">
        <f>51958+4249+23238</f>
        <v>79445</v>
      </c>
      <c r="I61" s="365">
        <f>38968+3185+5914</f>
        <v>48067</v>
      </c>
      <c r="J61" s="1792"/>
      <c r="K61" s="1792"/>
      <c r="L61" s="365"/>
      <c r="M61" s="3718"/>
      <c r="N61" s="3813"/>
    </row>
    <row r="62" spans="1:16" s="3056" customFormat="1" ht="27.75" customHeight="1">
      <c r="A62" s="4054" t="s">
        <v>57</v>
      </c>
      <c r="B62" s="61" t="s">
        <v>406</v>
      </c>
      <c r="C62" s="48" t="s">
        <v>72</v>
      </c>
      <c r="D62" s="2121"/>
      <c r="E62" s="2098"/>
      <c r="F62" s="2098"/>
      <c r="G62" s="2098"/>
      <c r="H62" s="2098"/>
      <c r="I62" s="2098"/>
      <c r="J62" s="2098"/>
      <c r="K62" s="34"/>
      <c r="L62" s="2098"/>
      <c r="M62" s="36"/>
      <c r="N62" s="74"/>
    </row>
    <row r="63" spans="1:16" s="3056" customFormat="1" ht="14.25" customHeight="1" thickBot="1">
      <c r="A63" s="4055"/>
      <c r="B63" s="479" t="s">
        <v>9</v>
      </c>
      <c r="C63" s="543"/>
      <c r="D63" s="520">
        <f>+D64+D66</f>
        <v>4335</v>
      </c>
      <c r="E63" s="520">
        <f>+E64+E66</f>
        <v>4335</v>
      </c>
      <c r="F63" s="529">
        <v>0</v>
      </c>
      <c r="G63" s="1799">
        <v>0</v>
      </c>
      <c r="H63" s="1799">
        <v>0</v>
      </c>
      <c r="I63" s="1799">
        <v>0</v>
      </c>
      <c r="J63" s="1799">
        <v>0</v>
      </c>
      <c r="K63" s="1799">
        <v>0</v>
      </c>
      <c r="L63" s="520">
        <f>+L64+L66</f>
        <v>0</v>
      </c>
      <c r="M63" s="1800">
        <f>+M64+M66</f>
        <v>0</v>
      </c>
      <c r="N63" s="3728" t="s">
        <v>100</v>
      </c>
      <c r="O63" s="602" t="s">
        <v>366</v>
      </c>
    </row>
    <row r="64" spans="1:16" s="3056" customFormat="1" ht="13.5" customHeight="1" thickBot="1">
      <c r="A64" s="4055"/>
      <c r="B64" s="595" t="s">
        <v>22</v>
      </c>
      <c r="C64" s="3682" t="s">
        <v>138</v>
      </c>
      <c r="D64" s="1801">
        <f>+D65</f>
        <v>1084</v>
      </c>
      <c r="E64" s="1801">
        <f>+E65</f>
        <v>1084</v>
      </c>
      <c r="F64" s="1802">
        <v>0</v>
      </c>
      <c r="G64" s="1061">
        <v>0</v>
      </c>
      <c r="H64" s="1061">
        <v>0</v>
      </c>
      <c r="I64" s="1061">
        <v>0</v>
      </c>
      <c r="J64" s="1061">
        <v>0</v>
      </c>
      <c r="K64" s="1061">
        <v>0</v>
      </c>
      <c r="L64" s="1801">
        <f>+L65</f>
        <v>0</v>
      </c>
      <c r="M64" s="1803">
        <f>+M65</f>
        <v>0</v>
      </c>
      <c r="N64" s="3728"/>
      <c r="O64" s="3056" t="s">
        <v>367</v>
      </c>
      <c r="P64" s="602"/>
    </row>
    <row r="65" spans="1:16" s="3056" customFormat="1" ht="13.5" customHeight="1" thickBot="1">
      <c r="A65" s="4055"/>
      <c r="B65" s="1795" t="s">
        <v>12</v>
      </c>
      <c r="C65" s="3722"/>
      <c r="D65" s="1042">
        <f>E65+L65+F65+G65+H65+I65+J65+K65</f>
        <v>1084</v>
      </c>
      <c r="E65" s="524">
        <f>1889-805</f>
        <v>1084</v>
      </c>
      <c r="F65" s="1802">
        <v>0</v>
      </c>
      <c r="G65" s="1061">
        <v>0</v>
      </c>
      <c r="H65" s="1061">
        <v>0</v>
      </c>
      <c r="I65" s="1061">
        <v>0</v>
      </c>
      <c r="J65" s="1061">
        <v>0</v>
      </c>
      <c r="K65" s="1061">
        <v>0</v>
      </c>
      <c r="L65" s="524"/>
      <c r="M65" s="427">
        <f>SUM(G65:K65)</f>
        <v>0</v>
      </c>
      <c r="N65" s="3728"/>
    </row>
    <row r="66" spans="1:16" s="1034" customFormat="1" ht="13.5" thickBot="1">
      <c r="A66" s="4056"/>
      <c r="B66" s="488" t="s">
        <v>17</v>
      </c>
      <c r="C66" s="3722"/>
      <c r="D66" s="522">
        <f>+D67</f>
        <v>3251</v>
      </c>
      <c r="E66" s="522">
        <f>+E67</f>
        <v>3251</v>
      </c>
      <c r="F66" s="1804">
        <v>0</v>
      </c>
      <c r="G66" s="1061">
        <v>0</v>
      </c>
      <c r="H66" s="1061">
        <v>0</v>
      </c>
      <c r="I66" s="1061">
        <v>0</v>
      </c>
      <c r="J66" s="1061">
        <v>0</v>
      </c>
      <c r="K66" s="1061">
        <v>0</v>
      </c>
      <c r="L66" s="522">
        <f>+L67</f>
        <v>0</v>
      </c>
      <c r="M66" s="459">
        <f>+M67</f>
        <v>0</v>
      </c>
      <c r="N66" s="3728"/>
      <c r="O66" s="1033"/>
    </row>
    <row r="67" spans="1:16" s="3056" customFormat="1" ht="13.5" thickBot="1">
      <c r="A67" s="4055"/>
      <c r="B67" s="598" t="s">
        <v>18</v>
      </c>
      <c r="C67" s="3789"/>
      <c r="D67" s="1042">
        <f>E67+L67+F67+G67+H67+I67+J67+K67</f>
        <v>3251</v>
      </c>
      <c r="E67" s="1805">
        <f>5672-2421</f>
        <v>3251</v>
      </c>
      <c r="F67" s="1806">
        <v>0</v>
      </c>
      <c r="G67" s="487">
        <v>0</v>
      </c>
      <c r="H67" s="487">
        <v>0</v>
      </c>
      <c r="I67" s="487">
        <v>0</v>
      </c>
      <c r="J67" s="487">
        <v>0</v>
      </c>
      <c r="K67" s="487">
        <v>0</v>
      </c>
      <c r="L67" s="1805"/>
      <c r="M67" s="427">
        <f>SUM(G67:K67)</f>
        <v>0</v>
      </c>
      <c r="N67" s="3728"/>
      <c r="O67" s="602"/>
    </row>
    <row r="68" spans="1:16" s="3056" customFormat="1" ht="13.5" thickBot="1">
      <c r="A68" s="4055"/>
      <c r="B68" s="367" t="s">
        <v>20</v>
      </c>
      <c r="C68" s="543"/>
      <c r="D68" s="519">
        <f>+D69+D71</f>
        <v>4335</v>
      </c>
      <c r="E68" s="519">
        <f>+E69+E71</f>
        <v>0</v>
      </c>
      <c r="F68" s="519">
        <f>+F69+F71</f>
        <v>4335</v>
      </c>
      <c r="G68" s="544">
        <v>0</v>
      </c>
      <c r="H68" s="544">
        <v>0</v>
      </c>
      <c r="I68" s="544">
        <v>0</v>
      </c>
      <c r="J68" s="544">
        <v>0</v>
      </c>
      <c r="K68" s="544">
        <v>0</v>
      </c>
      <c r="L68" s="544">
        <v>0</v>
      </c>
      <c r="M68" s="4057" t="s">
        <v>52</v>
      </c>
      <c r="N68" s="3812" t="s">
        <v>100</v>
      </c>
      <c r="O68" s="602">
        <f>D68-'[5]Tab.6I - Planow. przestrz.'!$D$68</f>
        <v>0</v>
      </c>
    </row>
    <row r="69" spans="1:16" s="1034" customFormat="1" ht="12.75" customHeight="1" thickBot="1">
      <c r="A69" s="4056"/>
      <c r="B69" s="483" t="s">
        <v>22</v>
      </c>
      <c r="C69" s="3682" t="s">
        <v>138</v>
      </c>
      <c r="D69" s="534">
        <f>+D70</f>
        <v>1084</v>
      </c>
      <c r="E69" s="534">
        <f>+E70</f>
        <v>0</v>
      </c>
      <c r="F69" s="534">
        <f>+F70</f>
        <v>1084</v>
      </c>
      <c r="G69" s="1061">
        <v>0</v>
      </c>
      <c r="H69" s="1061">
        <v>0</v>
      </c>
      <c r="I69" s="1061">
        <v>0</v>
      </c>
      <c r="J69" s="1061">
        <v>0</v>
      </c>
      <c r="K69" s="1061">
        <v>0</v>
      </c>
      <c r="L69" s="1807">
        <v>0</v>
      </c>
      <c r="M69" s="3675"/>
      <c r="N69" s="3728"/>
      <c r="O69" s="1033"/>
    </row>
    <row r="70" spans="1:16" s="3056" customFormat="1" ht="13.5" customHeight="1" thickBot="1">
      <c r="A70" s="4055"/>
      <c r="B70" s="1795" t="s">
        <v>12</v>
      </c>
      <c r="C70" s="3722"/>
      <c r="D70" s="1042">
        <f>E70+L70+F70+G70+H70+I70+J70+K70</f>
        <v>1084</v>
      </c>
      <c r="E70" s="234">
        <v>0</v>
      </c>
      <c r="F70" s="524">
        <f>1889-805</f>
        <v>1084</v>
      </c>
      <c r="G70" s="487">
        <v>0</v>
      </c>
      <c r="H70" s="487">
        <v>0</v>
      </c>
      <c r="I70" s="487">
        <v>0</v>
      </c>
      <c r="J70" s="487">
        <v>0</v>
      </c>
      <c r="K70" s="487">
        <v>0</v>
      </c>
      <c r="L70" s="708">
        <v>0</v>
      </c>
      <c r="M70" s="3675"/>
      <c r="N70" s="3728"/>
    </row>
    <row r="71" spans="1:16" s="3056" customFormat="1" ht="13.5" customHeight="1" thickBot="1">
      <c r="A71" s="4055"/>
      <c r="B71" s="1798" t="s">
        <v>17</v>
      </c>
      <c r="C71" s="3722"/>
      <c r="D71" s="705">
        <f>+D72</f>
        <v>3251</v>
      </c>
      <c r="E71" s="705">
        <f>+E72</f>
        <v>0</v>
      </c>
      <c r="F71" s="705">
        <f>+F72</f>
        <v>3251</v>
      </c>
      <c r="G71" s="710">
        <v>0</v>
      </c>
      <c r="H71" s="710">
        <v>0</v>
      </c>
      <c r="I71" s="710">
        <v>0</v>
      </c>
      <c r="J71" s="710">
        <v>0</v>
      </c>
      <c r="K71" s="710">
        <v>0</v>
      </c>
      <c r="L71" s="714">
        <v>0</v>
      </c>
      <c r="M71" s="3675"/>
      <c r="N71" s="3728"/>
    </row>
    <row r="72" spans="1:16" s="3056" customFormat="1" ht="13.5" customHeight="1" thickBot="1">
      <c r="A72" s="4055"/>
      <c r="B72" s="603" t="s">
        <v>18</v>
      </c>
      <c r="C72" s="3723"/>
      <c r="D72" s="1042">
        <f>E72+L72+F72+G72+H72+I72+J72+K72</f>
        <v>3251</v>
      </c>
      <c r="E72" s="234">
        <v>0</v>
      </c>
      <c r="F72" s="1805">
        <f>5672-2421</f>
        <v>3251</v>
      </c>
      <c r="G72" s="487">
        <v>0</v>
      </c>
      <c r="H72" s="487">
        <v>0</v>
      </c>
      <c r="I72" s="487">
        <v>0</v>
      </c>
      <c r="J72" s="487">
        <v>0</v>
      </c>
      <c r="K72" s="487">
        <v>0</v>
      </c>
      <c r="L72" s="1808">
        <v>0</v>
      </c>
      <c r="M72" s="3676"/>
      <c r="N72" s="3813"/>
      <c r="O72" s="602"/>
    </row>
    <row r="73" spans="1:16" ht="38.25" customHeight="1">
      <c r="A73" s="4077" t="s">
        <v>58</v>
      </c>
      <c r="B73" s="446" t="s">
        <v>502</v>
      </c>
      <c r="C73" s="447" t="s">
        <v>72</v>
      </c>
      <c r="D73" s="2121"/>
      <c r="E73" s="2098"/>
      <c r="F73" s="2098"/>
      <c r="G73" s="2098"/>
      <c r="H73" s="2098"/>
      <c r="I73" s="2098"/>
      <c r="J73" s="2098"/>
      <c r="K73" s="34"/>
      <c r="L73" s="2098"/>
      <c r="M73" s="36"/>
      <c r="N73" s="2245"/>
    </row>
    <row r="74" spans="1:16" ht="15.75" customHeight="1">
      <c r="A74" s="4078"/>
      <c r="B74" s="1793" t="s">
        <v>9</v>
      </c>
      <c r="C74" s="1999"/>
      <c r="D74" s="1228">
        <f>+D75+D78</f>
        <v>52566300</v>
      </c>
      <c r="E74" s="3116">
        <f t="shared" ref="E74:K74" si="46">+E75+E78</f>
        <v>0</v>
      </c>
      <c r="F74" s="3116">
        <f t="shared" si="46"/>
        <v>0</v>
      </c>
      <c r="G74" s="1228">
        <f t="shared" si="46"/>
        <v>15657298</v>
      </c>
      <c r="H74" s="1228">
        <f t="shared" si="46"/>
        <v>30313619</v>
      </c>
      <c r="I74" s="1228">
        <f t="shared" si="46"/>
        <v>6595383</v>
      </c>
      <c r="J74" s="3116">
        <f t="shared" si="46"/>
        <v>0</v>
      </c>
      <c r="K74" s="3116">
        <f t="shared" si="46"/>
        <v>0</v>
      </c>
      <c r="L74" s="3116">
        <f>+L75+L78</f>
        <v>0</v>
      </c>
      <c r="M74" s="1179">
        <f>+M75+M78</f>
        <v>52566300</v>
      </c>
      <c r="N74" s="4089" t="s">
        <v>499</v>
      </c>
      <c r="P74" s="442"/>
    </row>
    <row r="75" spans="1:16" ht="12.75" customHeight="1">
      <c r="A75" s="4078"/>
      <c r="B75" s="1196" t="s">
        <v>22</v>
      </c>
      <c r="C75" s="3664" t="s">
        <v>343</v>
      </c>
      <c r="D75" s="2974">
        <f>+D76+D77</f>
        <v>7884945</v>
      </c>
      <c r="E75" s="3492">
        <f t="shared" ref="E75:K75" si="47">+E76+E77</f>
        <v>0</v>
      </c>
      <c r="F75" s="3492">
        <f t="shared" si="47"/>
        <v>0</v>
      </c>
      <c r="G75" s="2974">
        <f t="shared" si="47"/>
        <v>2348595</v>
      </c>
      <c r="H75" s="2974">
        <f t="shared" si="47"/>
        <v>4547043</v>
      </c>
      <c r="I75" s="2974">
        <f t="shared" si="47"/>
        <v>989307</v>
      </c>
      <c r="J75" s="3492">
        <f t="shared" si="47"/>
        <v>0</v>
      </c>
      <c r="K75" s="3492">
        <f t="shared" si="47"/>
        <v>0</v>
      </c>
      <c r="L75" s="3492">
        <f>+L76+L77</f>
        <v>0</v>
      </c>
      <c r="M75" s="1182">
        <f>+M76+M77</f>
        <v>7884945</v>
      </c>
      <c r="N75" s="4089"/>
    </row>
    <row r="76" spans="1:16" ht="14.25" customHeight="1">
      <c r="A76" s="4078"/>
      <c r="B76" s="1206" t="s">
        <v>11</v>
      </c>
      <c r="C76" s="4080"/>
      <c r="D76" s="1160">
        <f>E76+L76+F76+G76+H76+I76+J76+K76</f>
        <v>2628315</v>
      </c>
      <c r="E76" s="2246">
        <v>0</v>
      </c>
      <c r="F76" s="2246">
        <v>0</v>
      </c>
      <c r="G76" s="1190">
        <v>782865</v>
      </c>
      <c r="H76" s="1190">
        <v>1515681</v>
      </c>
      <c r="I76" s="1190">
        <v>329769</v>
      </c>
      <c r="J76" s="2246">
        <v>0</v>
      </c>
      <c r="K76" s="2246">
        <v>0</v>
      </c>
      <c r="L76" s="2246">
        <v>0</v>
      </c>
      <c r="M76" s="1195">
        <f>SUM(G76:K76)</f>
        <v>2628315</v>
      </c>
      <c r="N76" s="4089"/>
      <c r="O76" s="2247">
        <f>D76+D88</f>
        <v>2628315</v>
      </c>
      <c r="P76" s="443" t="s">
        <v>311</v>
      </c>
    </row>
    <row r="77" spans="1:16" ht="12.75" customHeight="1">
      <c r="A77" s="4078"/>
      <c r="B77" s="429" t="s">
        <v>16</v>
      </c>
      <c r="C77" s="4080"/>
      <c r="D77" s="1160">
        <f>E77+L77+F77+G77+H77+I77+J77+K77</f>
        <v>5256630</v>
      </c>
      <c r="E77" s="1209">
        <v>0</v>
      </c>
      <c r="F77" s="2246">
        <v>0</v>
      </c>
      <c r="G77" s="1190">
        <v>1565730</v>
      </c>
      <c r="H77" s="1190">
        <v>3031362</v>
      </c>
      <c r="I77" s="1190">
        <v>659538</v>
      </c>
      <c r="J77" s="2246">
        <v>0</v>
      </c>
      <c r="K77" s="2246">
        <v>0</v>
      </c>
      <c r="L77" s="2246">
        <v>0</v>
      </c>
      <c r="M77" s="1195">
        <f>SUM(G77:K77)</f>
        <v>5256630</v>
      </c>
      <c r="N77" s="4089"/>
      <c r="O77" s="2247">
        <f>D77+D89</f>
        <v>5256630</v>
      </c>
      <c r="P77" s="443" t="s">
        <v>498</v>
      </c>
    </row>
    <row r="78" spans="1:16" ht="12" customHeight="1">
      <c r="A78" s="4078"/>
      <c r="B78" s="1779" t="s">
        <v>17</v>
      </c>
      <c r="C78" s="4080"/>
      <c r="D78" s="1214">
        <f>+D79</f>
        <v>44681355</v>
      </c>
      <c r="E78" s="3008">
        <f t="shared" ref="E78:K78" si="48">+E79</f>
        <v>0</v>
      </c>
      <c r="F78" s="3008">
        <f t="shared" si="48"/>
        <v>0</v>
      </c>
      <c r="G78" s="1214">
        <f t="shared" si="48"/>
        <v>13308703</v>
      </c>
      <c r="H78" s="1214">
        <f t="shared" si="48"/>
        <v>25766576</v>
      </c>
      <c r="I78" s="1214">
        <f t="shared" si="48"/>
        <v>5606076</v>
      </c>
      <c r="J78" s="3008">
        <f t="shared" si="48"/>
        <v>0</v>
      </c>
      <c r="K78" s="3008">
        <f t="shared" si="48"/>
        <v>0</v>
      </c>
      <c r="L78" s="3008">
        <f>+L79</f>
        <v>0</v>
      </c>
      <c r="M78" s="1182">
        <f t="shared" ref="M78" si="49">+M79</f>
        <v>44681355</v>
      </c>
      <c r="N78" s="4089"/>
    </row>
    <row r="79" spans="1:16" ht="12.75">
      <c r="A79" s="4078"/>
      <c r="B79" s="2248" t="s">
        <v>19</v>
      </c>
      <c r="C79" s="4080"/>
      <c r="D79" s="1160">
        <f>E79+L79+F79+G79+H79+I79+J79+K79</f>
        <v>44681355</v>
      </c>
      <c r="E79" s="2246">
        <v>0</v>
      </c>
      <c r="F79" s="2246">
        <v>0</v>
      </c>
      <c r="G79" s="1190">
        <v>13308703</v>
      </c>
      <c r="H79" s="1190">
        <v>25766576</v>
      </c>
      <c r="I79" s="1190">
        <v>5606076</v>
      </c>
      <c r="J79" s="2246">
        <v>0</v>
      </c>
      <c r="K79" s="2246">
        <v>0</v>
      </c>
      <c r="L79" s="2246">
        <v>0</v>
      </c>
      <c r="M79" s="1195">
        <f>SUM(G79:K79)</f>
        <v>44681355</v>
      </c>
      <c r="N79" s="4090"/>
    </row>
    <row r="80" spans="1:16" ht="15.75" customHeight="1">
      <c r="A80" s="4078"/>
      <c r="B80" s="160" t="s">
        <v>20</v>
      </c>
      <c r="C80" s="1999"/>
      <c r="D80" s="1178">
        <f>+D81+D83</f>
        <v>49937985</v>
      </c>
      <c r="E80" s="1421">
        <f t="shared" ref="E80:K80" si="50">+E81+E83</f>
        <v>0</v>
      </c>
      <c r="F80" s="1421">
        <f t="shared" si="50"/>
        <v>0</v>
      </c>
      <c r="G80" s="1178">
        <f t="shared" si="50"/>
        <v>14874433</v>
      </c>
      <c r="H80" s="1178">
        <f t="shared" si="50"/>
        <v>28797938</v>
      </c>
      <c r="I80" s="1178">
        <f t="shared" si="50"/>
        <v>6265614</v>
      </c>
      <c r="J80" s="1421">
        <f t="shared" si="50"/>
        <v>0</v>
      </c>
      <c r="K80" s="1421">
        <f t="shared" si="50"/>
        <v>0</v>
      </c>
      <c r="L80" s="1421">
        <f>+L81+L83</f>
        <v>0</v>
      </c>
      <c r="M80" s="3757" t="s">
        <v>52</v>
      </c>
      <c r="N80" s="4092" t="s">
        <v>500</v>
      </c>
      <c r="O80" s="442">
        <f>D80-'[5]Tab.6I - Planow. przestrz.'!$D$80</f>
        <v>0</v>
      </c>
    </row>
    <row r="81" spans="1:16" ht="15.75" customHeight="1">
      <c r="A81" s="4078"/>
      <c r="B81" s="1196" t="s">
        <v>22</v>
      </c>
      <c r="C81" s="3759" t="s">
        <v>501</v>
      </c>
      <c r="D81" s="1214">
        <f>+D82</f>
        <v>5256630</v>
      </c>
      <c r="E81" s="3008">
        <f t="shared" ref="E81:K81" si="51">+E82</f>
        <v>0</v>
      </c>
      <c r="F81" s="3008">
        <f t="shared" si="51"/>
        <v>0</v>
      </c>
      <c r="G81" s="1214">
        <f t="shared" si="51"/>
        <v>1565730</v>
      </c>
      <c r="H81" s="1214">
        <f t="shared" si="51"/>
        <v>3031362</v>
      </c>
      <c r="I81" s="1214">
        <f t="shared" si="51"/>
        <v>659538</v>
      </c>
      <c r="J81" s="3008">
        <f t="shared" si="51"/>
        <v>0</v>
      </c>
      <c r="K81" s="1418">
        <f t="shared" si="51"/>
        <v>0</v>
      </c>
      <c r="L81" s="3008">
        <f>+L82</f>
        <v>0</v>
      </c>
      <c r="M81" s="3717"/>
      <c r="N81" s="4089"/>
    </row>
    <row r="82" spans="1:16" ht="15.75" customHeight="1">
      <c r="A82" s="4078"/>
      <c r="B82" s="429" t="s">
        <v>16</v>
      </c>
      <c r="C82" s="3828"/>
      <c r="D82" s="2349">
        <f>E82+L82+F82+G82+H82+I82+J82+K82</f>
        <v>5256630</v>
      </c>
      <c r="E82" s="3493">
        <v>0</v>
      </c>
      <c r="F82" s="2251">
        <v>0</v>
      </c>
      <c r="G82" s="1190">
        <v>1565730</v>
      </c>
      <c r="H82" s="1190">
        <v>3031362</v>
      </c>
      <c r="I82" s="1190">
        <v>659538</v>
      </c>
      <c r="J82" s="2251">
        <v>0</v>
      </c>
      <c r="K82" s="2251">
        <v>0</v>
      </c>
      <c r="L82" s="2251">
        <v>0</v>
      </c>
      <c r="M82" s="3717"/>
      <c r="N82" s="4089"/>
    </row>
    <row r="83" spans="1:16" ht="14.25" customHeight="1">
      <c r="A83" s="4078"/>
      <c r="B83" s="1779" t="s">
        <v>17</v>
      </c>
      <c r="C83" s="3828"/>
      <c r="D83" s="1187">
        <f>+D84</f>
        <v>44681355</v>
      </c>
      <c r="E83" s="1227">
        <f t="shared" ref="E83:K83" si="52">+E84</f>
        <v>0</v>
      </c>
      <c r="F83" s="1227">
        <f t="shared" si="52"/>
        <v>0</v>
      </c>
      <c r="G83" s="1187">
        <f t="shared" si="52"/>
        <v>13308703</v>
      </c>
      <c r="H83" s="1187">
        <f t="shared" si="52"/>
        <v>25766576</v>
      </c>
      <c r="I83" s="1187">
        <f t="shared" si="52"/>
        <v>5606076</v>
      </c>
      <c r="J83" s="1227">
        <f t="shared" si="52"/>
        <v>0</v>
      </c>
      <c r="K83" s="1227">
        <f t="shared" si="52"/>
        <v>0</v>
      </c>
      <c r="L83" s="1227">
        <f>+L84</f>
        <v>0</v>
      </c>
      <c r="M83" s="3717"/>
      <c r="N83" s="4089"/>
    </row>
    <row r="84" spans="1:16" ht="13.5" thickBot="1">
      <c r="A84" s="4079"/>
      <c r="B84" s="2252" t="s">
        <v>19</v>
      </c>
      <c r="C84" s="3971"/>
      <c r="D84" s="1410">
        <f>E84+L84+F84+G84+H84+I84+J84+K84</f>
        <v>44681355</v>
      </c>
      <c r="E84" s="1434">
        <v>0</v>
      </c>
      <c r="F84" s="1439">
        <v>0</v>
      </c>
      <c r="G84" s="1433">
        <v>13308703</v>
      </c>
      <c r="H84" s="1433">
        <v>25766576</v>
      </c>
      <c r="I84" s="1433">
        <v>5606076</v>
      </c>
      <c r="J84" s="1439">
        <v>0</v>
      </c>
      <c r="K84" s="1439">
        <v>0</v>
      </c>
      <c r="L84" s="1439">
        <v>0</v>
      </c>
      <c r="M84" s="3718"/>
      <c r="N84" s="4093"/>
    </row>
    <row r="85" spans="1:16" ht="42" hidden="1" customHeight="1">
      <c r="A85" s="4078" t="s">
        <v>55</v>
      </c>
      <c r="B85" s="3486" t="s">
        <v>495</v>
      </c>
      <c r="C85" s="3487" t="s">
        <v>99</v>
      </c>
      <c r="D85" s="3488"/>
      <c r="E85" s="3489"/>
      <c r="F85" s="3490"/>
      <c r="G85" s="3490"/>
      <c r="H85" s="3490"/>
      <c r="I85" s="3490"/>
      <c r="J85" s="3490"/>
      <c r="K85" s="3490"/>
      <c r="L85" s="3490"/>
      <c r="M85" s="3491"/>
      <c r="N85" s="4086"/>
    </row>
    <row r="86" spans="1:16" ht="15.75" hidden="1" customHeight="1">
      <c r="A86" s="4078"/>
      <c r="B86" s="369" t="s">
        <v>9</v>
      </c>
      <c r="C86" s="381"/>
      <c r="D86" s="520">
        <f>+D87+D90</f>
        <v>0</v>
      </c>
      <c r="E86" s="520">
        <f t="shared" ref="E86:K86" si="53">+E87+E90</f>
        <v>0</v>
      </c>
      <c r="F86" s="520">
        <f t="shared" si="53"/>
        <v>0</v>
      </c>
      <c r="G86" s="520">
        <f t="shared" si="53"/>
        <v>0</v>
      </c>
      <c r="H86" s="520">
        <f t="shared" si="53"/>
        <v>0</v>
      </c>
      <c r="I86" s="520">
        <f t="shared" si="53"/>
        <v>0</v>
      </c>
      <c r="J86" s="520">
        <f t="shared" si="53"/>
        <v>0</v>
      </c>
      <c r="K86" s="520">
        <f t="shared" si="53"/>
        <v>0</v>
      </c>
      <c r="L86" s="520">
        <f>+L87+L90</f>
        <v>0</v>
      </c>
      <c r="M86" s="374">
        <f>+M87+M90</f>
        <v>0</v>
      </c>
      <c r="N86" s="4086"/>
      <c r="P86" s="442"/>
    </row>
    <row r="87" spans="1:16" ht="12.75" hidden="1" customHeight="1">
      <c r="A87" s="4078"/>
      <c r="B87" s="595" t="s">
        <v>22</v>
      </c>
      <c r="C87" s="3682" t="s">
        <v>497</v>
      </c>
      <c r="D87" s="1801">
        <f>+D88+D89</f>
        <v>0</v>
      </c>
      <c r="E87" s="1801">
        <f t="shared" ref="E87" si="54">+E88+E89</f>
        <v>0</v>
      </c>
      <c r="F87" s="1801">
        <f t="shared" ref="F87" si="55">+F88+F89</f>
        <v>0</v>
      </c>
      <c r="G87" s="1801">
        <f t="shared" ref="G87" si="56">+G88+G89</f>
        <v>0</v>
      </c>
      <c r="H87" s="1801">
        <f t="shared" ref="H87" si="57">+H88+H89</f>
        <v>0</v>
      </c>
      <c r="I87" s="1801">
        <f t="shared" ref="I87" si="58">+I88+I89</f>
        <v>0</v>
      </c>
      <c r="J87" s="1801">
        <f t="shared" ref="J87" si="59">+J88+J89</f>
        <v>0</v>
      </c>
      <c r="K87" s="1801">
        <f t="shared" ref="K87" si="60">+K88+K89</f>
        <v>0</v>
      </c>
      <c r="L87" s="1801">
        <f t="shared" ref="L87" si="61">+L88+L89</f>
        <v>0</v>
      </c>
      <c r="M87" s="426">
        <f>+M88</f>
        <v>0</v>
      </c>
      <c r="N87" s="4087"/>
    </row>
    <row r="88" spans="1:16" ht="12.75" hidden="1" customHeight="1">
      <c r="A88" s="4078"/>
      <c r="B88" s="596" t="s">
        <v>11</v>
      </c>
      <c r="C88" s="4080"/>
      <c r="D88" s="2250">
        <f>E88+L88+F88+G88+H88+I88+J88+K88</f>
        <v>0</v>
      </c>
      <c r="E88" s="2253">
        <v>0</v>
      </c>
      <c r="F88" s="1190">
        <f>0</f>
        <v>0</v>
      </c>
      <c r="G88" s="1190"/>
      <c r="H88" s="1190"/>
      <c r="I88" s="1190"/>
      <c r="J88" s="1190"/>
      <c r="K88" s="1190"/>
      <c r="L88" s="1190">
        <v>0</v>
      </c>
      <c r="M88" s="427">
        <f>SUM(F88:K88)</f>
        <v>0</v>
      </c>
      <c r="N88" s="4087"/>
    </row>
    <row r="89" spans="1:16" ht="12.75" hidden="1" customHeight="1">
      <c r="A89" s="4078"/>
      <c r="B89" s="429" t="s">
        <v>16</v>
      </c>
      <c r="C89" s="4080"/>
      <c r="D89" s="2250">
        <f>E89+L89+F89+G89+H89+I89+J89+K89</f>
        <v>0</v>
      </c>
      <c r="E89" s="1210">
        <v>0</v>
      </c>
      <c r="F89" s="1190">
        <v>0</v>
      </c>
      <c r="G89" s="1190"/>
      <c r="H89" s="1190"/>
      <c r="I89" s="1190"/>
      <c r="J89" s="1190"/>
      <c r="K89" s="1190"/>
      <c r="L89" s="1190">
        <v>0</v>
      </c>
      <c r="M89" s="427">
        <f>SUM(F89:K89)</f>
        <v>0</v>
      </c>
      <c r="N89" s="4087"/>
    </row>
    <row r="90" spans="1:16" ht="12" hidden="1" customHeight="1">
      <c r="A90" s="4078"/>
      <c r="B90" s="597" t="s">
        <v>17</v>
      </c>
      <c r="C90" s="4080"/>
      <c r="D90" s="522">
        <f>+D91</f>
        <v>0</v>
      </c>
      <c r="E90" s="1786">
        <v>0</v>
      </c>
      <c r="F90" s="1786">
        <v>0</v>
      </c>
      <c r="G90" s="1786">
        <v>0</v>
      </c>
      <c r="H90" s="1786">
        <v>0</v>
      </c>
      <c r="I90" s="1786">
        <v>0</v>
      </c>
      <c r="J90" s="1786">
        <v>0</v>
      </c>
      <c r="K90" s="1786">
        <v>0</v>
      </c>
      <c r="L90" s="1786">
        <v>0</v>
      </c>
      <c r="M90" s="426">
        <f t="shared" ref="M90" si="62">+M91</f>
        <v>0</v>
      </c>
      <c r="N90" s="4087"/>
    </row>
    <row r="91" spans="1:16" ht="13.5" hidden="1" thickBot="1">
      <c r="A91" s="4078"/>
      <c r="B91" s="2248" t="s">
        <v>19</v>
      </c>
      <c r="C91" s="4080"/>
      <c r="D91" s="2250">
        <f>E91+L91+F91+G91+H91+I91+J91+K91</f>
        <v>0</v>
      </c>
      <c r="E91" s="2253"/>
      <c r="F91" s="1190"/>
      <c r="G91" s="1190"/>
      <c r="H91" s="1190"/>
      <c r="I91" s="1190"/>
      <c r="J91" s="1190"/>
      <c r="K91" s="1190"/>
      <c r="L91" s="1190"/>
      <c r="M91" s="427">
        <f>SUM(F91:H91)</f>
        <v>0</v>
      </c>
      <c r="N91" s="4087"/>
    </row>
    <row r="92" spans="1:16" ht="15.75" hidden="1" customHeight="1">
      <c r="A92" s="4078"/>
      <c r="B92" s="160" t="s">
        <v>20</v>
      </c>
      <c r="C92" s="381"/>
      <c r="D92" s="519">
        <f>+D93+D95</f>
        <v>0</v>
      </c>
      <c r="E92" s="519">
        <f t="shared" ref="E92:K92" si="63">+E93+E95</f>
        <v>0</v>
      </c>
      <c r="F92" s="519">
        <f t="shared" si="63"/>
        <v>0</v>
      </c>
      <c r="G92" s="519">
        <f t="shared" si="63"/>
        <v>0</v>
      </c>
      <c r="H92" s="519">
        <f t="shared" si="63"/>
        <v>0</v>
      </c>
      <c r="I92" s="519">
        <f t="shared" si="63"/>
        <v>0</v>
      </c>
      <c r="J92" s="519">
        <f t="shared" si="63"/>
        <v>0</v>
      </c>
      <c r="K92" s="519">
        <f t="shared" si="63"/>
        <v>0</v>
      </c>
      <c r="L92" s="519">
        <f>+L93+L95</f>
        <v>0</v>
      </c>
      <c r="M92" s="4074" t="s">
        <v>52</v>
      </c>
      <c r="N92" s="4087"/>
    </row>
    <row r="93" spans="1:16" ht="15.75" hidden="1" customHeight="1">
      <c r="A93" s="4078"/>
      <c r="B93" s="595" t="s">
        <v>22</v>
      </c>
      <c r="C93" s="2249"/>
      <c r="D93" s="534">
        <f>+D94</f>
        <v>0</v>
      </c>
      <c r="E93" s="534">
        <f t="shared" ref="E93:K93" si="64">+E94</f>
        <v>0</v>
      </c>
      <c r="F93" s="534">
        <f t="shared" si="64"/>
        <v>0</v>
      </c>
      <c r="G93" s="534">
        <f t="shared" si="64"/>
        <v>0</v>
      </c>
      <c r="H93" s="534">
        <f t="shared" si="64"/>
        <v>0</v>
      </c>
      <c r="I93" s="534">
        <f t="shared" si="64"/>
        <v>0</v>
      </c>
      <c r="J93" s="534">
        <f t="shared" si="64"/>
        <v>0</v>
      </c>
      <c r="K93" s="534">
        <f t="shared" si="64"/>
        <v>0</v>
      </c>
      <c r="L93" s="534">
        <f>+L94</f>
        <v>0</v>
      </c>
      <c r="M93" s="3717"/>
      <c r="N93" s="4087"/>
    </row>
    <row r="94" spans="1:16" ht="12" hidden="1" customHeight="1">
      <c r="A94" s="4078"/>
      <c r="B94" s="429" t="s">
        <v>16</v>
      </c>
      <c r="C94" s="2249"/>
      <c r="D94" s="1042">
        <f>E94+L94+F94+G94+H94+I94+J94+K94</f>
        <v>0</v>
      </c>
      <c r="E94" s="2254">
        <v>0</v>
      </c>
      <c r="F94" s="2255">
        <v>0</v>
      </c>
      <c r="G94" s="1190"/>
      <c r="H94" s="1190"/>
      <c r="I94" s="1190"/>
      <c r="J94" s="2256"/>
      <c r="K94" s="2256"/>
      <c r="L94" s="2255">
        <v>0</v>
      </c>
      <c r="M94" s="3717"/>
      <c r="N94" s="4087"/>
    </row>
    <row r="95" spans="1:16" ht="12" hidden="1" customHeight="1">
      <c r="A95" s="4078"/>
      <c r="B95" s="597" t="s">
        <v>17</v>
      </c>
      <c r="C95" s="3827" t="s">
        <v>496</v>
      </c>
      <c r="D95" s="705">
        <f>+D96</f>
        <v>0</v>
      </c>
      <c r="E95" s="449">
        <v>0</v>
      </c>
      <c r="F95" s="449"/>
      <c r="G95" s="449"/>
      <c r="H95" s="449"/>
      <c r="I95" s="449"/>
      <c r="J95" s="449"/>
      <c r="K95" s="449"/>
      <c r="L95" s="449"/>
      <c r="M95" s="3717"/>
      <c r="N95" s="4087"/>
    </row>
    <row r="96" spans="1:16" ht="13.5" hidden="1" customHeight="1" thickBot="1">
      <c r="A96" s="4079"/>
      <c r="B96" s="2252" t="s">
        <v>19</v>
      </c>
      <c r="C96" s="4091"/>
      <c r="D96" s="1042">
        <f>E96+L96+F96+G96+H96+I96+J96+K96</f>
        <v>0</v>
      </c>
      <c r="E96" s="365"/>
      <c r="F96" s="2257"/>
      <c r="G96" s="2257"/>
      <c r="H96" s="2257"/>
      <c r="I96" s="2257"/>
      <c r="J96" s="2257"/>
      <c r="K96" s="2257"/>
      <c r="L96" s="2257"/>
      <c r="M96" s="3718"/>
      <c r="N96" s="4088"/>
    </row>
    <row r="97" spans="1:16" ht="28.5" customHeight="1" thickBot="1">
      <c r="A97" s="164" t="s">
        <v>244</v>
      </c>
      <c r="B97" s="559"/>
      <c r="C97" s="559"/>
      <c r="D97" s="559"/>
      <c r="E97" s="559"/>
      <c r="F97" s="559"/>
      <c r="G97" s="559"/>
      <c r="H97" s="559"/>
      <c r="I97" s="559"/>
      <c r="J97" s="559"/>
      <c r="K97" s="559"/>
      <c r="L97" s="559"/>
      <c r="M97" s="560"/>
      <c r="N97" s="2051"/>
    </row>
    <row r="98" spans="1:16" ht="15.75" customHeight="1">
      <c r="A98" s="474"/>
      <c r="B98" s="187" t="s">
        <v>67</v>
      </c>
      <c r="C98" s="188"/>
      <c r="D98" s="189">
        <f>+D99+D100</f>
        <v>312355</v>
      </c>
      <c r="E98" s="189">
        <f t="shared" ref="E98" si="65">+E99+E100</f>
        <v>78463</v>
      </c>
      <c r="F98" s="189">
        <f t="shared" ref="F98:M98" si="66">+F99+F100</f>
        <v>164370</v>
      </c>
      <c r="G98" s="189">
        <f t="shared" si="66"/>
        <v>69522</v>
      </c>
      <c r="H98" s="189">
        <f t="shared" si="66"/>
        <v>0</v>
      </c>
      <c r="I98" s="189">
        <f t="shared" si="66"/>
        <v>0</v>
      </c>
      <c r="J98" s="189">
        <f t="shared" si="66"/>
        <v>0</v>
      </c>
      <c r="K98" s="189">
        <f t="shared" si="66"/>
        <v>0</v>
      </c>
      <c r="L98" s="189">
        <f>+L99+L100</f>
        <v>0</v>
      </c>
      <c r="M98" s="1929">
        <f t="shared" si="66"/>
        <v>69522</v>
      </c>
      <c r="N98" s="4063" t="s">
        <v>52</v>
      </c>
    </row>
    <row r="99" spans="1:16" ht="16.5" customHeight="1">
      <c r="A99" s="474"/>
      <c r="B99" s="181" t="s">
        <v>68</v>
      </c>
      <c r="C99" s="182"/>
      <c r="D99" s="183">
        <f>+D109+D113</f>
        <v>312355</v>
      </c>
      <c r="E99" s="183">
        <f>+E109+E113</f>
        <v>78463</v>
      </c>
      <c r="F99" s="183">
        <f t="shared" ref="F99:K99" si="67">+F109+F113</f>
        <v>164370</v>
      </c>
      <c r="G99" s="183">
        <f t="shared" si="67"/>
        <v>69522</v>
      </c>
      <c r="H99" s="183">
        <f t="shared" si="67"/>
        <v>0</v>
      </c>
      <c r="I99" s="183">
        <f t="shared" si="67"/>
        <v>0</v>
      </c>
      <c r="J99" s="183">
        <f t="shared" si="67"/>
        <v>0</v>
      </c>
      <c r="K99" s="183">
        <f t="shared" si="67"/>
        <v>0</v>
      </c>
      <c r="L99" s="183">
        <f>+L109+L113</f>
        <v>0</v>
      </c>
      <c r="M99" s="1505">
        <f>SUM(G99:K99)</f>
        <v>69522</v>
      </c>
      <c r="N99" s="4064"/>
    </row>
    <row r="100" spans="1:16" ht="12.75" thickBot="1">
      <c r="A100" s="474"/>
      <c r="B100" s="604" t="s">
        <v>8</v>
      </c>
      <c r="C100" s="182"/>
      <c r="D100" s="183"/>
      <c r="E100" s="183"/>
      <c r="F100" s="303"/>
      <c r="G100" s="303"/>
      <c r="H100" s="303"/>
      <c r="I100" s="303"/>
      <c r="J100" s="303"/>
      <c r="K100" s="303"/>
      <c r="L100" s="183"/>
      <c r="M100" s="1504">
        <f>SUM(G100:H100)</f>
        <v>0</v>
      </c>
      <c r="N100" s="4064"/>
    </row>
    <row r="101" spans="1:16" ht="15.75" customHeight="1">
      <c r="A101" s="304"/>
      <c r="B101" s="154" t="s">
        <v>9</v>
      </c>
      <c r="C101" s="155"/>
      <c r="D101" s="129">
        <f>+D102</f>
        <v>312355</v>
      </c>
      <c r="E101" s="129">
        <v>24302</v>
      </c>
      <c r="F101" s="129">
        <f t="shared" ref="F101:K102" si="68">+F102</f>
        <v>164370</v>
      </c>
      <c r="G101" s="129">
        <f t="shared" si="68"/>
        <v>69522</v>
      </c>
      <c r="H101" s="129">
        <f t="shared" si="68"/>
        <v>0</v>
      </c>
      <c r="I101" s="129">
        <f t="shared" si="68"/>
        <v>0</v>
      </c>
      <c r="J101" s="129">
        <f t="shared" si="68"/>
        <v>0</v>
      </c>
      <c r="K101" s="129">
        <f t="shared" si="68"/>
        <v>0</v>
      </c>
      <c r="L101" s="129">
        <f>+L102</f>
        <v>0</v>
      </c>
      <c r="M101" s="1953">
        <f>+M102</f>
        <v>233892</v>
      </c>
      <c r="N101" s="4064"/>
    </row>
    <row r="102" spans="1:16" ht="15" customHeight="1">
      <c r="A102" s="168"/>
      <c r="B102" s="130" t="s">
        <v>10</v>
      </c>
      <c r="C102" s="4068" t="s">
        <v>52</v>
      </c>
      <c r="D102" s="451">
        <f>+D103+D104</f>
        <v>312355</v>
      </c>
      <c r="E102" s="451">
        <v>24302</v>
      </c>
      <c r="F102" s="451">
        <f t="shared" si="68"/>
        <v>164370</v>
      </c>
      <c r="G102" s="451">
        <f t="shared" si="68"/>
        <v>69522</v>
      </c>
      <c r="H102" s="451">
        <f t="shared" si="68"/>
        <v>0</v>
      </c>
      <c r="I102" s="451">
        <f t="shared" si="68"/>
        <v>0</v>
      </c>
      <c r="J102" s="451">
        <f t="shared" si="68"/>
        <v>0</v>
      </c>
      <c r="K102" s="451">
        <f t="shared" si="68"/>
        <v>0</v>
      </c>
      <c r="L102" s="451">
        <f>+L103</f>
        <v>0</v>
      </c>
      <c r="M102" s="2041">
        <f>+M103+M104</f>
        <v>233892</v>
      </c>
      <c r="N102" s="4064"/>
    </row>
    <row r="103" spans="1:16" ht="15" customHeight="1" thickBot="1">
      <c r="A103" s="564"/>
      <c r="B103" s="133" t="s">
        <v>11</v>
      </c>
      <c r="C103" s="3964"/>
      <c r="D103" s="452">
        <f>+D111+D115</f>
        <v>312355</v>
      </c>
      <c r="E103" s="452">
        <f t="shared" ref="E103:K103" si="69">+E111+E115</f>
        <v>78463</v>
      </c>
      <c r="F103" s="452">
        <f t="shared" si="69"/>
        <v>164370</v>
      </c>
      <c r="G103" s="452">
        <f t="shared" si="69"/>
        <v>69522</v>
      </c>
      <c r="H103" s="452">
        <f t="shared" si="69"/>
        <v>0</v>
      </c>
      <c r="I103" s="452">
        <f t="shared" si="69"/>
        <v>0</v>
      </c>
      <c r="J103" s="452">
        <f t="shared" si="69"/>
        <v>0</v>
      </c>
      <c r="K103" s="452">
        <f t="shared" si="69"/>
        <v>0</v>
      </c>
      <c r="L103" s="452">
        <f>+L111+L115</f>
        <v>0</v>
      </c>
      <c r="M103" s="2042">
        <f>SUM(F103:K103)</f>
        <v>233892</v>
      </c>
      <c r="N103" s="4064"/>
    </row>
    <row r="104" spans="1:16" ht="12.75" hidden="1" customHeight="1" thickBot="1">
      <c r="A104" s="564"/>
      <c r="B104" s="133" t="s">
        <v>13</v>
      </c>
      <c r="C104" s="4069"/>
      <c r="D104" s="452">
        <f>+D123</f>
        <v>0</v>
      </c>
      <c r="E104" s="953">
        <v>0</v>
      </c>
      <c r="F104" s="452">
        <f t="shared" ref="F104:H104" si="70">+F123</f>
        <v>0</v>
      </c>
      <c r="G104" s="452">
        <f t="shared" si="70"/>
        <v>0</v>
      </c>
      <c r="H104" s="452">
        <f t="shared" si="70"/>
        <v>0</v>
      </c>
      <c r="I104" s="452"/>
      <c r="J104" s="452"/>
      <c r="K104" s="452"/>
      <c r="L104" s="452" t="e">
        <f>+#REF!</f>
        <v>#REF!</v>
      </c>
      <c r="M104" s="2043">
        <f>SUM(F104:K104)</f>
        <v>0</v>
      </c>
      <c r="N104" s="4065"/>
    </row>
    <row r="105" spans="1:16" ht="12" hidden="1" customHeight="1">
      <c r="A105" s="304"/>
      <c r="B105" s="68" t="s">
        <v>20</v>
      </c>
      <c r="C105" s="75"/>
      <c r="D105" s="167">
        <f>+D106</f>
        <v>0</v>
      </c>
      <c r="E105" s="954">
        <v>0</v>
      </c>
      <c r="F105" s="167">
        <f t="shared" ref="F105:H106" si="71">+F106</f>
        <v>0</v>
      </c>
      <c r="G105" s="167">
        <f t="shared" si="71"/>
        <v>0</v>
      </c>
      <c r="H105" s="167">
        <f t="shared" si="71"/>
        <v>0</v>
      </c>
      <c r="I105" s="167"/>
      <c r="J105" s="167"/>
      <c r="K105" s="167"/>
      <c r="L105" s="167" t="e">
        <f>+L106</f>
        <v>#REF!</v>
      </c>
      <c r="M105" s="4070" t="s">
        <v>52</v>
      </c>
      <c r="N105" s="4066"/>
    </row>
    <row r="106" spans="1:16" ht="12" hidden="1" customHeight="1">
      <c r="A106" s="304"/>
      <c r="B106" s="130" t="s">
        <v>10</v>
      </c>
      <c r="C106" s="4068" t="s">
        <v>52</v>
      </c>
      <c r="D106" s="451">
        <f>+D107</f>
        <v>0</v>
      </c>
      <c r="E106" s="952">
        <v>0</v>
      </c>
      <c r="F106" s="451">
        <f t="shared" si="71"/>
        <v>0</v>
      </c>
      <c r="G106" s="451">
        <f t="shared" si="71"/>
        <v>0</v>
      </c>
      <c r="H106" s="451">
        <f t="shared" si="71"/>
        <v>0</v>
      </c>
      <c r="I106" s="451"/>
      <c r="J106" s="451"/>
      <c r="K106" s="451"/>
      <c r="L106" s="451" t="e">
        <f>+L107</f>
        <v>#REF!</v>
      </c>
      <c r="M106" s="4071"/>
      <c r="N106" s="4066"/>
    </row>
    <row r="107" spans="1:16" ht="12.75" hidden="1" customHeight="1" thickBot="1">
      <c r="A107" s="564"/>
      <c r="B107" s="2091" t="s">
        <v>13</v>
      </c>
      <c r="C107" s="3964"/>
      <c r="D107" s="2092">
        <f>+D126</f>
        <v>0</v>
      </c>
      <c r="E107" s="2093">
        <v>0</v>
      </c>
      <c r="F107" s="2092">
        <f t="shared" ref="F107:H107" si="72">+F126</f>
        <v>0</v>
      </c>
      <c r="G107" s="2092">
        <f t="shared" si="72"/>
        <v>0</v>
      </c>
      <c r="H107" s="2092">
        <f t="shared" si="72"/>
        <v>0</v>
      </c>
      <c r="I107" s="311"/>
      <c r="J107" s="311"/>
      <c r="K107" s="311"/>
      <c r="L107" s="2092" t="e">
        <f>+#REF!</f>
        <v>#REF!</v>
      </c>
      <c r="M107" s="4071"/>
      <c r="N107" s="4067"/>
    </row>
    <row r="108" spans="1:16" ht="18" customHeight="1" thickBot="1">
      <c r="A108" s="4058" t="s">
        <v>54</v>
      </c>
      <c r="B108" s="312" t="s">
        <v>407</v>
      </c>
      <c r="C108" s="447" t="s">
        <v>99</v>
      </c>
      <c r="D108" s="605"/>
      <c r="E108" s="955"/>
      <c r="F108" s="606"/>
      <c r="G108" s="606"/>
      <c r="H108" s="606"/>
      <c r="I108" s="606"/>
      <c r="J108" s="606"/>
      <c r="K108" s="606"/>
      <c r="L108" s="606"/>
      <c r="M108" s="286"/>
      <c r="N108" s="4059" t="s">
        <v>292</v>
      </c>
    </row>
    <row r="109" spans="1:16" ht="17.25" customHeight="1" thickBot="1">
      <c r="A109" s="4058"/>
      <c r="B109" s="68" t="s">
        <v>9</v>
      </c>
      <c r="C109" s="1994"/>
      <c r="D109" s="1146">
        <f>+D110</f>
        <v>103580</v>
      </c>
      <c r="E109" s="1146">
        <f t="shared" ref="E109:M110" si="73">+E110</f>
        <v>51157</v>
      </c>
      <c r="F109" s="1146">
        <f t="shared" si="73"/>
        <v>26856</v>
      </c>
      <c r="G109" s="1146">
        <f t="shared" si="73"/>
        <v>25567</v>
      </c>
      <c r="H109" s="1995">
        <v>0</v>
      </c>
      <c r="I109" s="1995">
        <v>0</v>
      </c>
      <c r="J109" s="1995">
        <v>0</v>
      </c>
      <c r="K109" s="1995">
        <v>0</v>
      </c>
      <c r="L109" s="1146">
        <f>+L110</f>
        <v>0</v>
      </c>
      <c r="M109" s="2034">
        <f t="shared" si="73"/>
        <v>25567</v>
      </c>
      <c r="N109" s="4059"/>
    </row>
    <row r="110" spans="1:16" ht="15.75" customHeight="1" thickBot="1">
      <c r="A110" s="4058"/>
      <c r="B110" s="1743" t="s">
        <v>22</v>
      </c>
      <c r="C110" s="4061" t="s">
        <v>245</v>
      </c>
      <c r="D110" s="1996">
        <f>+D111</f>
        <v>103580</v>
      </c>
      <c r="E110" s="1996">
        <f t="shared" si="73"/>
        <v>51157</v>
      </c>
      <c r="F110" s="1996">
        <f t="shared" si="73"/>
        <v>26856</v>
      </c>
      <c r="G110" s="1996">
        <f t="shared" si="73"/>
        <v>25567</v>
      </c>
      <c r="H110" s="1997">
        <v>0</v>
      </c>
      <c r="I110" s="1997">
        <v>0</v>
      </c>
      <c r="J110" s="1997">
        <v>0</v>
      </c>
      <c r="K110" s="1997">
        <v>0</v>
      </c>
      <c r="L110" s="1996">
        <f>+L111</f>
        <v>0</v>
      </c>
      <c r="M110" s="2094">
        <f t="shared" si="73"/>
        <v>25567</v>
      </c>
      <c r="N110" s="4059"/>
    </row>
    <row r="111" spans="1:16" ht="15" customHeight="1" thickBot="1">
      <c r="A111" s="4058"/>
      <c r="B111" s="454" t="s">
        <v>11</v>
      </c>
      <c r="C111" s="4062"/>
      <c r="D111" s="1410">
        <f>E111+L111+F111+G111+H111+I111+J111+K111</f>
        <v>103580</v>
      </c>
      <c r="E111" s="1636">
        <f>24302+26855</f>
        <v>51157</v>
      </c>
      <c r="F111" s="1263">
        <v>26856</v>
      </c>
      <c r="G111" s="1263">
        <v>25567</v>
      </c>
      <c r="H111" s="1439">
        <v>0</v>
      </c>
      <c r="I111" s="1439">
        <v>0</v>
      </c>
      <c r="J111" s="1439">
        <v>0</v>
      </c>
      <c r="K111" s="1439">
        <v>0</v>
      </c>
      <c r="L111" s="1263"/>
      <c r="M111" s="427">
        <f>SUM(G111:K111)</f>
        <v>25567</v>
      </c>
      <c r="N111" s="4060"/>
    </row>
    <row r="112" spans="1:16" ht="25.5" customHeight="1" thickBot="1">
      <c r="A112" s="4058" t="s">
        <v>55</v>
      </c>
      <c r="B112" s="312" t="s">
        <v>506</v>
      </c>
      <c r="C112" s="447" t="s">
        <v>99</v>
      </c>
      <c r="D112" s="2294"/>
      <c r="E112" s="2295"/>
      <c r="F112" s="2296"/>
      <c r="G112" s="2296"/>
      <c r="H112" s="2296"/>
      <c r="I112" s="2296"/>
      <c r="J112" s="2296"/>
      <c r="K112" s="2297"/>
      <c r="L112" s="2296"/>
      <c r="M112" s="2298"/>
      <c r="N112" s="4059" t="s">
        <v>286</v>
      </c>
      <c r="P112" s="442">
        <f>+M113+M109</f>
        <v>69522</v>
      </c>
    </row>
    <row r="113" spans="1:14" ht="17.25" customHeight="1">
      <c r="A113" s="3953"/>
      <c r="B113" s="68" t="s">
        <v>9</v>
      </c>
      <c r="C113" s="1994"/>
      <c r="D113" s="1146">
        <f>+D114</f>
        <v>208775</v>
      </c>
      <c r="E113" s="1146">
        <f t="shared" ref="E113:M114" si="74">+E114</f>
        <v>27306</v>
      </c>
      <c r="F113" s="1146">
        <f t="shared" si="74"/>
        <v>137514</v>
      </c>
      <c r="G113" s="1146">
        <f t="shared" si="74"/>
        <v>43955</v>
      </c>
      <c r="H113" s="1995">
        <v>0</v>
      </c>
      <c r="I113" s="1995">
        <v>0</v>
      </c>
      <c r="J113" s="1995">
        <v>0</v>
      </c>
      <c r="K113" s="1225">
        <v>0</v>
      </c>
      <c r="L113" s="1146">
        <f>+L114</f>
        <v>0</v>
      </c>
      <c r="M113" s="2299">
        <f t="shared" si="74"/>
        <v>43955</v>
      </c>
      <c r="N113" s="4072"/>
    </row>
    <row r="114" spans="1:14" ht="15.75" customHeight="1" thickBot="1">
      <c r="A114" s="3955"/>
      <c r="B114" s="1743" t="s">
        <v>22</v>
      </c>
      <c r="C114" s="4061" t="s">
        <v>343</v>
      </c>
      <c r="D114" s="1996">
        <f>+D115</f>
        <v>208775</v>
      </c>
      <c r="E114" s="1996">
        <f t="shared" si="74"/>
        <v>27306</v>
      </c>
      <c r="F114" s="1996">
        <f t="shared" si="74"/>
        <v>137514</v>
      </c>
      <c r="G114" s="1996">
        <f t="shared" si="74"/>
        <v>43955</v>
      </c>
      <c r="H114" s="1997">
        <v>0</v>
      </c>
      <c r="I114" s="1997">
        <v>0</v>
      </c>
      <c r="J114" s="1997">
        <v>0</v>
      </c>
      <c r="K114" s="2300">
        <v>0</v>
      </c>
      <c r="L114" s="1996">
        <f>+L115</f>
        <v>0</v>
      </c>
      <c r="M114" s="2301">
        <f t="shared" si="74"/>
        <v>43955</v>
      </c>
      <c r="N114" s="4073"/>
    </row>
    <row r="115" spans="1:14" ht="15" customHeight="1" thickBot="1">
      <c r="A115" s="4058"/>
      <c r="B115" s="454" t="s">
        <v>11</v>
      </c>
      <c r="C115" s="4062"/>
      <c r="D115" s="1410">
        <f>E115+L115+F115+G115+H115+I115+J115+K115</f>
        <v>208775</v>
      </c>
      <c r="E115" s="1263">
        <f>34000-6694</f>
        <v>27306</v>
      </c>
      <c r="F115" s="1263">
        <f>166000+15469-43955</f>
        <v>137514</v>
      </c>
      <c r="G115" s="1263">
        <v>43955</v>
      </c>
      <c r="H115" s="1439">
        <v>0</v>
      </c>
      <c r="I115" s="1439">
        <v>0</v>
      </c>
      <c r="J115" s="1439">
        <v>0</v>
      </c>
      <c r="K115" s="1439">
        <v>0</v>
      </c>
      <c r="L115" s="1263"/>
      <c r="M115" s="427">
        <f>SUM(G115:K115)</f>
        <v>43955</v>
      </c>
      <c r="N115" s="4060"/>
    </row>
    <row r="116" spans="1:14" ht="30" customHeight="1">
      <c r="A116" s="4052"/>
      <c r="B116" s="4052"/>
      <c r="C116" s="4052"/>
      <c r="D116" s="4052"/>
      <c r="E116" s="4052"/>
      <c r="F116" s="4052"/>
      <c r="G116" s="4052"/>
      <c r="H116" s="4052"/>
      <c r="I116" s="4052"/>
      <c r="J116" s="4052"/>
      <c r="K116" s="4052"/>
      <c r="L116" s="3055"/>
      <c r="M116" s="4052"/>
      <c r="N116" s="4053"/>
    </row>
    <row r="117" spans="1:14" ht="12" thickBot="1">
      <c r="N117" s="1955"/>
    </row>
    <row r="118" spans="1:14" ht="12.75" hidden="1">
      <c r="B118" s="1968" t="s">
        <v>347</v>
      </c>
      <c r="C118" s="1969"/>
      <c r="D118" s="1969"/>
      <c r="E118" s="1969"/>
      <c r="F118" s="1969"/>
      <c r="G118" s="1969"/>
      <c r="H118" s="1969"/>
      <c r="I118" s="1969"/>
      <c r="J118" s="1969"/>
      <c r="K118" s="1969"/>
      <c r="L118" s="1969"/>
    </row>
    <row r="119" spans="1:14" ht="12.75" hidden="1">
      <c r="B119" s="3056" t="s">
        <v>348</v>
      </c>
      <c r="C119" s="1969"/>
      <c r="D119" s="1970">
        <f t="shared" ref="D119:K119" si="75">D32+D41+D57</f>
        <v>1942109</v>
      </c>
      <c r="E119" s="1970">
        <f t="shared" si="75"/>
        <v>482232</v>
      </c>
      <c r="F119" s="1970">
        <f t="shared" si="75"/>
        <v>629383</v>
      </c>
      <c r="G119" s="1970">
        <f t="shared" si="75"/>
        <v>614538</v>
      </c>
      <c r="H119" s="1970">
        <f t="shared" si="75"/>
        <v>141872</v>
      </c>
      <c r="I119" s="1970">
        <f t="shared" si="75"/>
        <v>74084</v>
      </c>
      <c r="J119" s="1970">
        <f t="shared" si="75"/>
        <v>0</v>
      </c>
      <c r="K119" s="1970">
        <f t="shared" si="75"/>
        <v>0</v>
      </c>
      <c r="L119" s="1970">
        <f>L32+L41+L57</f>
        <v>0</v>
      </c>
    </row>
    <row r="120" spans="1:14" ht="12.75" hidden="1">
      <c r="B120" s="3056" t="s">
        <v>349</v>
      </c>
      <c r="C120" s="1969"/>
      <c r="D120" s="1970">
        <f>D68+D80</f>
        <v>49942320</v>
      </c>
      <c r="E120" s="1970">
        <f t="shared" ref="E120:K120" si="76">E68+E80</f>
        <v>0</v>
      </c>
      <c r="F120" s="1970">
        <f t="shared" si="76"/>
        <v>4335</v>
      </c>
      <c r="G120" s="1970">
        <f t="shared" si="76"/>
        <v>14874433</v>
      </c>
      <c r="H120" s="1970">
        <f t="shared" si="76"/>
        <v>28797938</v>
      </c>
      <c r="I120" s="1970">
        <f t="shared" si="76"/>
        <v>6265614</v>
      </c>
      <c r="J120" s="1970">
        <f t="shared" si="76"/>
        <v>0</v>
      </c>
      <c r="K120" s="1970">
        <f t="shared" si="76"/>
        <v>0</v>
      </c>
      <c r="L120" s="1970">
        <f>L68+L80</f>
        <v>0</v>
      </c>
    </row>
    <row r="121" spans="1:14" ht="13.5" hidden="1" thickBot="1">
      <c r="A121" s="1890"/>
      <c r="B121" s="1951" t="s">
        <v>350</v>
      </c>
      <c r="C121" s="1952"/>
      <c r="D121" s="2018">
        <f>D119+D120</f>
        <v>51884429</v>
      </c>
      <c r="E121" s="2018">
        <f>E119+E120</f>
        <v>482232</v>
      </c>
      <c r="F121" s="2018">
        <f t="shared" ref="F121:K121" si="77">F119+F120</f>
        <v>633718</v>
      </c>
      <c r="G121" s="2018">
        <f t="shared" si="77"/>
        <v>15488971</v>
      </c>
      <c r="H121" s="2018">
        <f t="shared" si="77"/>
        <v>28939810</v>
      </c>
      <c r="I121" s="2018">
        <f t="shared" si="77"/>
        <v>6339698</v>
      </c>
      <c r="J121" s="2018">
        <f t="shared" si="77"/>
        <v>0</v>
      </c>
      <c r="K121" s="2018">
        <f t="shared" si="77"/>
        <v>0</v>
      </c>
      <c r="L121" s="2018">
        <f>L119+L120</f>
        <v>0</v>
      </c>
      <c r="N121" s="1946"/>
    </row>
    <row r="122" spans="1:14" ht="13.5" hidden="1" thickBot="1">
      <c r="A122" s="1891"/>
      <c r="B122" s="963" t="s">
        <v>40</v>
      </c>
      <c r="C122" s="965"/>
      <c r="D122" s="967">
        <f t="shared" ref="D122:L122" si="78">D121-D19</f>
        <v>0</v>
      </c>
      <c r="E122" s="967">
        <f t="shared" si="78"/>
        <v>0</v>
      </c>
      <c r="F122" s="967">
        <f t="shared" si="78"/>
        <v>0</v>
      </c>
      <c r="G122" s="967">
        <f t="shared" si="78"/>
        <v>0</v>
      </c>
      <c r="H122" s="967">
        <f t="shared" si="78"/>
        <v>0</v>
      </c>
      <c r="I122" s="967">
        <f t="shared" si="78"/>
        <v>0</v>
      </c>
      <c r="J122" s="967">
        <f t="shared" si="78"/>
        <v>0</v>
      </c>
      <c r="K122" s="967">
        <f t="shared" si="78"/>
        <v>0</v>
      </c>
      <c r="L122" s="967">
        <f t="shared" si="78"/>
        <v>0</v>
      </c>
      <c r="N122" s="1936"/>
    </row>
    <row r="123" spans="1:14" ht="12" hidden="1" thickBot="1">
      <c r="A123" s="1891"/>
      <c r="N123" s="1936"/>
    </row>
    <row r="124" spans="1:14" ht="12" hidden="1" thickBot="1">
      <c r="A124" s="1891"/>
      <c r="N124" s="1936"/>
    </row>
    <row r="125" spans="1:14" ht="12" hidden="1" thickBot="1">
      <c r="A125" s="1891"/>
      <c r="N125" s="1936"/>
    </row>
    <row r="126" spans="1:14" ht="12" hidden="1" thickBot="1">
      <c r="A126" s="1891"/>
      <c r="N126" s="1936"/>
    </row>
    <row r="127" spans="1:14" ht="12" hidden="1" thickBot="1">
      <c r="A127" s="1891"/>
      <c r="N127" s="1936"/>
    </row>
    <row r="128" spans="1:14" ht="12" hidden="1" thickBot="1">
      <c r="A128" s="1891"/>
      <c r="N128" s="1936"/>
    </row>
    <row r="129" spans="1:14">
      <c r="A129" s="1892"/>
      <c r="N129" s="1937"/>
    </row>
    <row r="190" spans="1:1" ht="12" thickBot="1">
      <c r="A190" s="1890"/>
    </row>
    <row r="191" spans="1:1" ht="12" thickBot="1">
      <c r="A191" s="1891"/>
    </row>
    <row r="192" spans="1:1" ht="12" thickBot="1">
      <c r="A192" s="1891"/>
    </row>
    <row r="193" spans="1:2" ht="12" thickBot="1">
      <c r="A193" s="1891"/>
    </row>
    <row r="194" spans="1:2" ht="12" thickBot="1">
      <c r="A194" s="1891"/>
    </row>
    <row r="195" spans="1:2" ht="12" thickBot="1">
      <c r="A195" s="1891"/>
    </row>
    <row r="196" spans="1:2" ht="12" thickBot="1">
      <c r="A196" s="1891"/>
    </row>
    <row r="197" spans="1:2" ht="12" thickBot="1">
      <c r="A197" s="1891"/>
    </row>
    <row r="198" spans="1:2" ht="12" thickBot="1">
      <c r="A198" s="1891"/>
    </row>
    <row r="199" spans="1:2" ht="12" thickBot="1">
      <c r="A199" s="1891"/>
    </row>
    <row r="200" spans="1:2" ht="12" thickBot="1">
      <c r="A200" s="1891"/>
    </row>
    <row r="201" spans="1:2" ht="12" thickBot="1">
      <c r="A201" s="1891"/>
      <c r="B201" s="1878"/>
    </row>
    <row r="202" spans="1:2" ht="12" thickBot="1">
      <c r="A202" s="1891"/>
      <c r="B202" s="1880"/>
    </row>
    <row r="203" spans="1:2" ht="12" thickBot="1">
      <c r="A203" s="1891"/>
    </row>
    <row r="204" spans="1:2" ht="12" thickBot="1">
      <c r="A204" s="1891"/>
    </row>
    <row r="205" spans="1:2" ht="12" thickBot="1">
      <c r="A205" s="1891"/>
    </row>
    <row r="206" spans="1:2" ht="12" thickBot="1">
      <c r="A206" s="1891"/>
    </row>
    <row r="207" spans="1:2" ht="12" thickBot="1">
      <c r="A207" s="1891"/>
    </row>
    <row r="208" spans="1:2" ht="12" thickBot="1">
      <c r="A208" s="1891"/>
    </row>
    <row r="209" spans="1:14" ht="12" thickBot="1">
      <c r="A209" s="1891"/>
    </row>
    <row r="210" spans="1:14" ht="12" thickBot="1">
      <c r="A210" s="1891"/>
    </row>
    <row r="211" spans="1:14" ht="12" thickBot="1">
      <c r="A211" s="1891"/>
    </row>
    <row r="212" spans="1:14" ht="12" thickBot="1">
      <c r="A212" s="1891"/>
    </row>
    <row r="213" spans="1:14" ht="12" thickBot="1">
      <c r="A213" s="1891"/>
    </row>
    <row r="214" spans="1:14" ht="12" thickBot="1">
      <c r="A214" s="1891"/>
    </row>
    <row r="215" spans="1:14" ht="12" thickBot="1">
      <c r="A215" s="1891"/>
      <c r="M215" s="1878"/>
      <c r="N215" s="1865"/>
    </row>
    <row r="216" spans="1:14" ht="12" thickBot="1">
      <c r="A216" s="1891"/>
      <c r="C216" s="1878"/>
      <c r="M216" s="1879"/>
      <c r="N216" s="1866"/>
    </row>
    <row r="217" spans="1:14" ht="12" thickBot="1">
      <c r="A217" s="1891"/>
      <c r="C217" s="1879"/>
      <c r="M217" s="1879"/>
      <c r="N217" s="1866"/>
    </row>
    <row r="218" spans="1:14" ht="12" thickBot="1">
      <c r="A218" s="1891"/>
      <c r="C218" s="1879"/>
      <c r="M218" s="1879"/>
      <c r="N218" s="1866"/>
    </row>
    <row r="219" spans="1:14" ht="12" thickBot="1">
      <c r="A219" s="1892"/>
      <c r="C219" s="1879"/>
      <c r="D219" s="1878"/>
      <c r="E219" s="1878"/>
      <c r="F219" s="1878"/>
      <c r="G219" s="1878"/>
      <c r="H219" s="1878"/>
      <c r="I219" s="1878"/>
      <c r="J219" s="1878"/>
      <c r="K219" s="1878"/>
      <c r="L219" s="1878"/>
      <c r="M219" s="1879"/>
      <c r="N219" s="1866"/>
    </row>
    <row r="220" spans="1:14" ht="12" thickBot="1">
      <c r="C220" s="1880"/>
      <c r="D220" s="1880"/>
      <c r="E220" s="1880"/>
      <c r="F220" s="1880"/>
      <c r="G220" s="1880"/>
      <c r="H220" s="1880"/>
      <c r="I220" s="1880"/>
      <c r="J220" s="1880"/>
      <c r="K220" s="1880"/>
      <c r="L220" s="1880"/>
      <c r="M220" s="1880"/>
      <c r="N220" s="1866"/>
    </row>
    <row r="221" spans="1:14" ht="12" thickBot="1">
      <c r="N221" s="1866"/>
    </row>
    <row r="222" spans="1:14" ht="12" thickBot="1">
      <c r="N222" s="1866"/>
    </row>
    <row r="223" spans="1:14" ht="12" thickBot="1">
      <c r="N223" s="1866"/>
    </row>
    <row r="224" spans="1:14" ht="12" thickBot="1">
      <c r="N224" s="1866"/>
    </row>
    <row r="225" spans="14:14" ht="12" thickBot="1">
      <c r="N225" s="1866"/>
    </row>
    <row r="226" spans="14:14" ht="12" thickBot="1">
      <c r="N226" s="1866"/>
    </row>
    <row r="227" spans="14:14" ht="12" thickBot="1">
      <c r="N227" s="1866"/>
    </row>
    <row r="228" spans="14:14" ht="12" thickBot="1">
      <c r="N228" s="1866"/>
    </row>
    <row r="229" spans="14:14">
      <c r="N229" s="1867"/>
    </row>
    <row r="263" spans="14:14" ht="12" thickBot="1">
      <c r="N263" s="1865"/>
    </row>
    <row r="264" spans="14:14" ht="12" thickBot="1">
      <c r="N264" s="1866"/>
    </row>
    <row r="265" spans="14:14" ht="12" thickBot="1">
      <c r="N265" s="1866"/>
    </row>
    <row r="266" spans="14:14" ht="12" thickBot="1">
      <c r="N266" s="1866"/>
    </row>
    <row r="267" spans="14:14" ht="12" thickBot="1">
      <c r="N267" s="1866"/>
    </row>
    <row r="268" spans="14:14" ht="12" thickBot="1">
      <c r="N268" s="1866"/>
    </row>
    <row r="269" spans="14:14" ht="12" thickBot="1">
      <c r="N269" s="1866"/>
    </row>
    <row r="270" spans="14:14" ht="12" thickBot="1">
      <c r="N270" s="1866"/>
    </row>
    <row r="271" spans="14:14" ht="12" thickBot="1">
      <c r="N271" s="1866"/>
    </row>
    <row r="272" spans="14:14" ht="12" thickBot="1">
      <c r="N272" s="1866"/>
    </row>
    <row r="273" spans="14:14" ht="12" thickBot="1">
      <c r="N273" s="1866"/>
    </row>
    <row r="274" spans="14:14" ht="12" thickBot="1">
      <c r="N274" s="1866"/>
    </row>
    <row r="275" spans="14:14" ht="12" thickBot="1">
      <c r="N275" s="1866"/>
    </row>
    <row r="276" spans="14:14" ht="12" thickBot="1">
      <c r="N276" s="1866"/>
    </row>
    <row r="277" spans="14:14">
      <c r="N277" s="1867"/>
    </row>
    <row r="416" spans="1:1" ht="12" thickBot="1">
      <c r="A416" s="1890"/>
    </row>
    <row r="417" spans="1:14" ht="12" thickBot="1">
      <c r="A417" s="1891"/>
    </row>
    <row r="418" spans="1:14" ht="12" thickBot="1">
      <c r="A418" s="1891"/>
    </row>
    <row r="419" spans="1:14" ht="12" thickBot="1">
      <c r="A419" s="1891"/>
    </row>
    <row r="420" spans="1:14" ht="12" thickBot="1">
      <c r="A420" s="1891"/>
    </row>
    <row r="421" spans="1:14" ht="12" thickBot="1">
      <c r="A421" s="1891"/>
    </row>
    <row r="422" spans="1:14" ht="12" thickBot="1">
      <c r="A422" s="1891"/>
      <c r="M422" s="1878"/>
      <c r="N422" s="1865"/>
    </row>
    <row r="423" spans="1:14" ht="12" thickBot="1">
      <c r="A423" s="1891"/>
      <c r="C423" s="1878"/>
      <c r="M423" s="1879"/>
      <c r="N423" s="1866"/>
    </row>
    <row r="424" spans="1:14" ht="12" thickBot="1">
      <c r="A424" s="1891"/>
      <c r="C424" s="1879"/>
      <c r="D424" s="1878"/>
      <c r="E424" s="1878"/>
      <c r="F424" s="1878"/>
      <c r="G424" s="1878"/>
      <c r="H424" s="1878"/>
      <c r="I424" s="1878"/>
      <c r="J424" s="1878"/>
      <c r="K424" s="1878"/>
      <c r="L424" s="1878"/>
      <c r="M424" s="1879"/>
      <c r="N424" s="1866"/>
    </row>
    <row r="425" spans="1:14" ht="12" thickBot="1">
      <c r="A425" s="1891"/>
      <c r="C425" s="1880"/>
      <c r="D425" s="1880"/>
      <c r="E425" s="1880"/>
      <c r="F425" s="1880"/>
      <c r="G425" s="1880"/>
      <c r="H425" s="1880"/>
      <c r="I425" s="1880"/>
      <c r="J425" s="1880"/>
      <c r="K425" s="1880"/>
      <c r="L425" s="1880"/>
      <c r="M425" s="1880"/>
      <c r="N425" s="1866"/>
    </row>
    <row r="426" spans="1:14" ht="12" thickBot="1">
      <c r="A426" s="1891"/>
      <c r="N426" s="1866"/>
    </row>
    <row r="427" spans="1:14" ht="12" thickBot="1">
      <c r="A427" s="1891"/>
      <c r="N427" s="1866"/>
    </row>
    <row r="428" spans="1:14" ht="12" thickBot="1">
      <c r="A428" s="1891"/>
      <c r="N428" s="1866"/>
    </row>
    <row r="429" spans="1:14" ht="12" thickBot="1">
      <c r="A429" s="1891"/>
      <c r="N429" s="1866"/>
    </row>
    <row r="430" spans="1:14" ht="12" thickBot="1">
      <c r="A430" s="1891"/>
      <c r="N430" s="1867"/>
    </row>
    <row r="431" spans="1:14" ht="12" thickBot="1">
      <c r="A431" s="1891"/>
    </row>
    <row r="432" spans="1:14" ht="12" thickBot="1">
      <c r="A432" s="1891"/>
    </row>
    <row r="433" spans="1:1">
      <c r="A433" s="1892"/>
    </row>
    <row r="531" spans="1:14" ht="12" thickBot="1">
      <c r="N531" s="1865"/>
    </row>
    <row r="532" spans="1:14" ht="12" thickBot="1">
      <c r="N532" s="1866"/>
    </row>
    <row r="533" spans="1:14" ht="12" thickBot="1">
      <c r="N533" s="1866"/>
    </row>
    <row r="534" spans="1:14" ht="12" thickBot="1">
      <c r="N534" s="1866"/>
    </row>
    <row r="535" spans="1:14" ht="12" thickBot="1">
      <c r="M535" s="1878"/>
      <c r="N535" s="1866"/>
    </row>
    <row r="536" spans="1:14" ht="12" thickBot="1">
      <c r="M536" s="1879"/>
      <c r="N536" s="1866"/>
    </row>
    <row r="537" spans="1:14" ht="12" thickBot="1">
      <c r="M537" s="1879"/>
      <c r="N537" s="1866"/>
    </row>
    <row r="538" spans="1:14" ht="12" thickBot="1">
      <c r="M538" s="1879"/>
      <c r="N538" s="1866"/>
    </row>
    <row r="539" spans="1:14" ht="12" thickBot="1">
      <c r="M539" s="1879"/>
      <c r="N539" s="1866"/>
    </row>
    <row r="540" spans="1:14" ht="12" thickBot="1">
      <c r="A540" s="1890"/>
      <c r="B540" s="1878"/>
      <c r="C540" s="1878"/>
      <c r="D540" s="1878"/>
      <c r="E540" s="1878"/>
      <c r="F540" s="1878"/>
      <c r="G540" s="1878"/>
      <c r="H540" s="1878"/>
      <c r="I540" s="1878"/>
      <c r="J540" s="1878"/>
      <c r="K540" s="1878"/>
      <c r="L540" s="1878"/>
      <c r="M540" s="1879"/>
      <c r="N540" s="1866"/>
    </row>
    <row r="541" spans="1:14" ht="12" thickBot="1">
      <c r="A541" s="1891"/>
      <c r="B541" s="1880"/>
      <c r="C541" s="1880"/>
      <c r="D541" s="1880"/>
      <c r="E541" s="1880"/>
      <c r="F541" s="1880"/>
      <c r="G541" s="1880"/>
      <c r="H541" s="1880"/>
      <c r="I541" s="1880"/>
      <c r="J541" s="1880"/>
      <c r="K541" s="1880"/>
      <c r="L541" s="1880"/>
      <c r="M541" s="1880"/>
      <c r="N541" s="1866"/>
    </row>
    <row r="542" spans="1:14" ht="12" thickBot="1">
      <c r="A542" s="1891"/>
      <c r="N542" s="1866"/>
    </row>
    <row r="543" spans="1:14" ht="12" thickBot="1">
      <c r="A543" s="1891"/>
      <c r="N543" s="1866"/>
    </row>
    <row r="544" spans="1:14" ht="12" thickBot="1">
      <c r="A544" s="1891"/>
      <c r="N544" s="1866"/>
    </row>
    <row r="545" spans="1:14" ht="12" thickBot="1">
      <c r="A545" s="1891"/>
      <c r="N545" s="1866"/>
    </row>
    <row r="546" spans="1:14" ht="12" thickBot="1">
      <c r="A546" s="1891"/>
      <c r="N546" s="1866"/>
    </row>
    <row r="547" spans="1:14" ht="12" thickBot="1">
      <c r="A547" s="1891"/>
      <c r="N547" s="1866"/>
    </row>
    <row r="548" spans="1:14">
      <c r="A548" s="1892"/>
      <c r="N548" s="1867"/>
    </row>
  </sheetData>
  <mergeCells count="56">
    <mergeCell ref="N26:N34"/>
    <mergeCell ref="C28:C31"/>
    <mergeCell ref="C33:C34"/>
    <mergeCell ref="M32:M34"/>
    <mergeCell ref="A26:A34"/>
    <mergeCell ref="N80:N84"/>
    <mergeCell ref="A85:A96"/>
    <mergeCell ref="N85:N96"/>
    <mergeCell ref="C87:C91"/>
    <mergeCell ref="M92:M96"/>
    <mergeCell ref="C95:C96"/>
    <mergeCell ref="C81:C84"/>
    <mergeCell ref="N35:N43"/>
    <mergeCell ref="M41:M43"/>
    <mergeCell ref="N74:N79"/>
    <mergeCell ref="C37:C40"/>
    <mergeCell ref="C42:C43"/>
    <mergeCell ref="N63:N67"/>
    <mergeCell ref="N68:N72"/>
    <mergeCell ref="N45:N53"/>
    <mergeCell ref="N57:N61"/>
    <mergeCell ref="M19:M25"/>
    <mergeCell ref="A44:A61"/>
    <mergeCell ref="A73:A84"/>
    <mergeCell ref="C75:C79"/>
    <mergeCell ref="M80:M84"/>
    <mergeCell ref="M57:M61"/>
    <mergeCell ref="C46:C53"/>
    <mergeCell ref="C58:C61"/>
    <mergeCell ref="A35:A43"/>
    <mergeCell ref="A8:A25"/>
    <mergeCell ref="A116:K116"/>
    <mergeCell ref="M116:N116"/>
    <mergeCell ref="A62:A72"/>
    <mergeCell ref="M68:M72"/>
    <mergeCell ref="C64:C67"/>
    <mergeCell ref="C69:C72"/>
    <mergeCell ref="A108:A111"/>
    <mergeCell ref="N108:N111"/>
    <mergeCell ref="C110:C111"/>
    <mergeCell ref="N98:N107"/>
    <mergeCell ref="C102:C104"/>
    <mergeCell ref="M105:M107"/>
    <mergeCell ref="C106:C107"/>
    <mergeCell ref="A112:A115"/>
    <mergeCell ref="N112:N115"/>
    <mergeCell ref="C114:C115"/>
    <mergeCell ref="A4:N4"/>
    <mergeCell ref="B5:B6"/>
    <mergeCell ref="C5:C6"/>
    <mergeCell ref="D5:D6"/>
    <mergeCell ref="N5:N6"/>
    <mergeCell ref="M5:M6"/>
    <mergeCell ref="L5:L6"/>
    <mergeCell ref="G5:K5"/>
    <mergeCell ref="F5:F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7" firstPageNumber="36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43" max="13" man="1"/>
    <brk id="96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29"/>
  <sheetViews>
    <sheetView showGridLines="0" view="pageBreakPreview" topLeftCell="A85" zoomScaleSheetLayoutView="100" workbookViewId="0">
      <selection activeCell="H103" sqref="H103:H115"/>
    </sheetView>
  </sheetViews>
  <sheetFormatPr defaultColWidth="9.140625" defaultRowHeight="12.75"/>
  <cols>
    <col min="1" max="1" width="3.7109375" style="250" customWidth="1"/>
    <col min="2" max="2" width="54.7109375" style="251" customWidth="1"/>
    <col min="3" max="3" width="9.85546875" style="251" customWidth="1"/>
    <col min="4" max="4" width="13.7109375" style="251" customWidth="1"/>
    <col min="5" max="5" width="11.85546875" style="251" customWidth="1"/>
    <col min="6" max="6" width="12.7109375" style="251" customWidth="1"/>
    <col min="7" max="7" width="10.28515625" style="251" customWidth="1"/>
    <col min="8" max="8" width="10.85546875" style="251" customWidth="1"/>
    <col min="9" max="9" width="10.5703125" style="251" customWidth="1"/>
    <col min="10" max="10" width="10" style="251" customWidth="1"/>
    <col min="11" max="11" width="10.140625" style="251" customWidth="1"/>
    <col min="12" max="12" width="10.140625" style="251" hidden="1" customWidth="1"/>
    <col min="13" max="13" width="12.7109375" style="251" customWidth="1"/>
    <col min="14" max="14" width="14.28515625" style="315" customWidth="1"/>
    <col min="15" max="15" width="11.5703125" style="314" hidden="1" customWidth="1"/>
    <col min="16" max="16" width="10.140625" style="314" hidden="1" customWidth="1"/>
    <col min="17" max="17" width="10.7109375" style="314" hidden="1" customWidth="1"/>
    <col min="18" max="18" width="0" style="314" hidden="1" customWidth="1"/>
    <col min="19" max="19" width="10.140625" style="314" hidden="1" customWidth="1"/>
    <col min="20" max="20" width="9.140625" style="314"/>
    <col min="21" max="21" width="10.7109375" style="314" customWidth="1"/>
    <col min="22" max="22" width="10.140625" style="314" bestFit="1" customWidth="1"/>
    <col min="23" max="30" width="9.140625" style="314"/>
    <col min="31" max="31" width="8.5703125" style="314" customWidth="1"/>
    <col min="32" max="43" width="9.140625" style="314"/>
    <col min="44" max="44" width="8.7109375" style="314" customWidth="1"/>
    <col min="45" max="54" width="9.140625" style="314"/>
    <col min="55" max="55" width="4.28515625" style="314" customWidth="1"/>
    <col min="56" max="65" width="9.140625" style="314"/>
    <col min="66" max="66" width="5" style="314" customWidth="1"/>
    <col min="67" max="76" width="9.140625" style="314"/>
    <col min="77" max="77" width="3.85546875" style="314" customWidth="1"/>
    <col min="78" max="89" width="9.140625" style="314"/>
    <col min="90" max="90" width="5.28515625" style="314" customWidth="1"/>
    <col min="91" max="102" width="9.140625" style="314"/>
    <col min="103" max="103" width="1.5703125" style="314" customWidth="1"/>
    <col min="104" max="116" width="9.140625" style="314"/>
    <col min="117" max="117" width="0.7109375" style="314" customWidth="1"/>
    <col min="118" max="129" width="9.140625" style="314"/>
    <col min="130" max="130" width="8.28515625" style="314" customWidth="1"/>
    <col min="131" max="139" width="9.140625" style="314"/>
    <col min="140" max="140" width="0.28515625" style="314" customWidth="1"/>
    <col min="141" max="166" width="9.140625" style="314"/>
    <col min="167" max="167" width="0.7109375" style="314" customWidth="1"/>
    <col min="168" max="16384" width="9.140625" style="314"/>
  </cols>
  <sheetData>
    <row r="1" spans="1:18" ht="17.25" customHeight="1">
      <c r="D1" s="254"/>
      <c r="E1" s="254"/>
      <c r="H1" s="3"/>
      <c r="I1" s="3"/>
      <c r="J1" s="256" t="s">
        <v>584</v>
      </c>
      <c r="K1" s="3"/>
      <c r="L1" s="3"/>
      <c r="M1" s="3"/>
      <c r="N1" s="4"/>
    </row>
    <row r="2" spans="1:18" ht="36.75" customHeight="1" thickBot="1">
      <c r="A2" s="4137" t="s">
        <v>488</v>
      </c>
      <c r="B2" s="4138"/>
      <c r="C2" s="4138"/>
      <c r="D2" s="4138"/>
      <c r="E2" s="4138"/>
      <c r="F2" s="4138"/>
      <c r="G2" s="4138"/>
      <c r="H2" s="4138"/>
      <c r="I2" s="4138"/>
      <c r="J2" s="4138"/>
      <c r="K2" s="4138"/>
      <c r="L2" s="4138"/>
      <c r="M2" s="4138"/>
      <c r="N2" s="4139"/>
    </row>
    <row r="3" spans="1:18" s="196" customFormat="1" ht="63" customHeight="1">
      <c r="A3" s="3782" t="s">
        <v>65</v>
      </c>
      <c r="B3" s="3784" t="s">
        <v>66</v>
      </c>
      <c r="C3" s="3765" t="s">
        <v>62</v>
      </c>
      <c r="D3" s="3767" t="s">
        <v>63</v>
      </c>
      <c r="E3" s="2407" t="s">
        <v>240</v>
      </c>
      <c r="F3" s="3818" t="s">
        <v>572</v>
      </c>
      <c r="G3" s="3786" t="s">
        <v>540</v>
      </c>
      <c r="H3" s="3787"/>
      <c r="I3" s="3787"/>
      <c r="J3" s="3787"/>
      <c r="K3" s="3788"/>
      <c r="L3" s="3938">
        <v>2024</v>
      </c>
      <c r="M3" s="3774" t="s">
        <v>552</v>
      </c>
      <c r="N3" s="3769" t="s">
        <v>64</v>
      </c>
    </row>
    <row r="4" spans="1:18" s="196" customFormat="1" ht="18.75" customHeight="1" thickBot="1">
      <c r="A4" s="3783"/>
      <c r="B4" s="4149"/>
      <c r="C4" s="3766"/>
      <c r="D4" s="3768"/>
      <c r="E4" s="1107" t="s">
        <v>538</v>
      </c>
      <c r="F4" s="3819"/>
      <c r="G4" s="2379" t="s">
        <v>193</v>
      </c>
      <c r="H4" s="2379" t="s">
        <v>194</v>
      </c>
      <c r="I4" s="2379" t="s">
        <v>234</v>
      </c>
      <c r="J4" s="2379" t="s">
        <v>235</v>
      </c>
      <c r="K4" s="2379" t="s">
        <v>233</v>
      </c>
      <c r="L4" s="3939"/>
      <c r="M4" s="3775"/>
      <c r="N4" s="3770"/>
      <c r="O4" s="354"/>
      <c r="P4" s="354"/>
    </row>
    <row r="5" spans="1:18" s="213" customFormat="1" ht="12.75" customHeight="1" thickBot="1">
      <c r="A5" s="5">
        <v>1</v>
      </c>
      <c r="B5" s="6">
        <v>2</v>
      </c>
      <c r="C5" s="7">
        <v>3</v>
      </c>
      <c r="D5" s="3019">
        <v>4</v>
      </c>
      <c r="E5" s="8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3162"/>
      <c r="M5" s="10">
        <v>12</v>
      </c>
      <c r="N5" s="11">
        <v>13</v>
      </c>
      <c r="O5" s="212"/>
      <c r="P5" s="212"/>
    </row>
    <row r="6" spans="1:18" s="196" customFormat="1" ht="16.5" customHeight="1">
      <c r="A6" s="317"/>
      <c r="B6" s="199" t="s">
        <v>67</v>
      </c>
      <c r="C6" s="179"/>
      <c r="D6" s="180">
        <f>+D7+D8</f>
        <v>38992820</v>
      </c>
      <c r="E6" s="2988">
        <f>+E7+E8</f>
        <v>0</v>
      </c>
      <c r="F6" s="180">
        <f t="shared" ref="F6:K6" si="0">+F7+F8</f>
        <v>1886007</v>
      </c>
      <c r="G6" s="180">
        <f t="shared" si="0"/>
        <v>19940391</v>
      </c>
      <c r="H6" s="180">
        <f t="shared" si="0"/>
        <v>14900991</v>
      </c>
      <c r="I6" s="180">
        <f t="shared" si="0"/>
        <v>2265431</v>
      </c>
      <c r="J6" s="180">
        <f t="shared" si="0"/>
        <v>0</v>
      </c>
      <c r="K6" s="180">
        <f t="shared" si="0"/>
        <v>0</v>
      </c>
      <c r="L6" s="180">
        <f t="shared" ref="L6" si="1">+L7+L8</f>
        <v>0</v>
      </c>
      <c r="M6" s="12">
        <f>+M7+M8</f>
        <v>37106813</v>
      </c>
      <c r="N6" s="609"/>
      <c r="O6" s="354"/>
    </row>
    <row r="7" spans="1:18" s="196" customFormat="1" ht="16.5" customHeight="1">
      <c r="A7" s="319"/>
      <c r="B7" s="192" t="s">
        <v>68</v>
      </c>
      <c r="C7" s="182"/>
      <c r="D7" s="183">
        <f>+D35</f>
        <v>1266343</v>
      </c>
      <c r="E7" s="2989">
        <f>+E434+E452+E370+E385</f>
        <v>0</v>
      </c>
      <c r="F7" s="183">
        <f>+F35</f>
        <v>62758</v>
      </c>
      <c r="G7" s="183">
        <f t="shared" ref="G7:I7" si="2">+G35</f>
        <v>660257</v>
      </c>
      <c r="H7" s="183">
        <f t="shared" si="2"/>
        <v>471595</v>
      </c>
      <c r="I7" s="183">
        <f t="shared" si="2"/>
        <v>71733</v>
      </c>
      <c r="J7" s="183">
        <f t="shared" ref="J7:K7" si="3">+J434+J452+J370</f>
        <v>0</v>
      </c>
      <c r="K7" s="183">
        <f t="shared" si="3"/>
        <v>0</v>
      </c>
      <c r="L7" s="183">
        <f t="shared" ref="L7" si="4">+L434+L452+L370</f>
        <v>0</v>
      </c>
      <c r="M7" s="733">
        <f>SUM(G7:K7)</f>
        <v>1203585</v>
      </c>
      <c r="N7" s="610"/>
    </row>
    <row r="8" spans="1:18" s="196" customFormat="1" ht="16.5" customHeight="1" thickBot="1">
      <c r="A8" s="319"/>
      <c r="B8" s="1834" t="s">
        <v>8</v>
      </c>
      <c r="C8" s="612"/>
      <c r="D8" s="613">
        <f>+D24+D26+D28</f>
        <v>37726477</v>
      </c>
      <c r="E8" s="3013">
        <f t="shared" ref="E8:K8" si="5">+E24+E26+E28</f>
        <v>0</v>
      </c>
      <c r="F8" s="613">
        <f t="shared" si="5"/>
        <v>1823249</v>
      </c>
      <c r="G8" s="613">
        <f t="shared" si="5"/>
        <v>19280134</v>
      </c>
      <c r="H8" s="613">
        <f t="shared" si="5"/>
        <v>14429396</v>
      </c>
      <c r="I8" s="613">
        <f t="shared" si="5"/>
        <v>2193698</v>
      </c>
      <c r="J8" s="613">
        <f t="shared" si="5"/>
        <v>0</v>
      </c>
      <c r="K8" s="613">
        <f t="shared" si="5"/>
        <v>0</v>
      </c>
      <c r="L8" s="613">
        <f>+L24+L26+L28</f>
        <v>0</v>
      </c>
      <c r="M8" s="125">
        <f>+I8+H8+G8+J8+K8</f>
        <v>35903228</v>
      </c>
      <c r="N8" s="610"/>
    </row>
    <row r="9" spans="1:18" s="196" customFormat="1" ht="14.25" customHeight="1">
      <c r="A9" s="319"/>
      <c r="B9" s="154" t="s">
        <v>9</v>
      </c>
      <c r="C9" s="16"/>
      <c r="D9" s="614">
        <f t="shared" ref="D9:M9" si="6">+D10+D14</f>
        <v>39992442</v>
      </c>
      <c r="E9" s="3014">
        <f t="shared" si="6"/>
        <v>0</v>
      </c>
      <c r="F9" s="614">
        <f t="shared" si="6"/>
        <v>1982568</v>
      </c>
      <c r="G9" s="614">
        <f t="shared" si="6"/>
        <v>20843452</v>
      </c>
      <c r="H9" s="614">
        <f t="shared" si="6"/>
        <v>14900991</v>
      </c>
      <c r="I9" s="614">
        <f t="shared" si="6"/>
        <v>2265431</v>
      </c>
      <c r="J9" s="614">
        <f t="shared" si="6"/>
        <v>0</v>
      </c>
      <c r="K9" s="614">
        <f t="shared" si="6"/>
        <v>0</v>
      </c>
      <c r="L9" s="614">
        <f>+L10+L14</f>
        <v>0</v>
      </c>
      <c r="M9" s="615">
        <f t="shared" si="6"/>
        <v>37106813</v>
      </c>
      <c r="N9" s="548"/>
      <c r="O9" s="616"/>
      <c r="P9" s="354"/>
      <c r="R9" s="354"/>
    </row>
    <row r="10" spans="1:18" s="619" customFormat="1" ht="14.25" customHeight="1">
      <c r="A10" s="319"/>
      <c r="B10" s="1835" t="s">
        <v>10</v>
      </c>
      <c r="C10" s="1716"/>
      <c r="D10" s="734">
        <f>+D11+D12+D13</f>
        <v>5998866</v>
      </c>
      <c r="E10" s="3015">
        <f t="shared" ref="E10:K10" si="7">+E11+E12+E13</f>
        <v>0</v>
      </c>
      <c r="F10" s="734">
        <f t="shared" si="7"/>
        <v>297896</v>
      </c>
      <c r="G10" s="734">
        <f t="shared" si="7"/>
        <v>3119747</v>
      </c>
      <c r="H10" s="734">
        <f t="shared" si="7"/>
        <v>2241409</v>
      </c>
      <c r="I10" s="734">
        <f t="shared" si="7"/>
        <v>339814</v>
      </c>
      <c r="J10" s="734">
        <f t="shared" si="7"/>
        <v>0</v>
      </c>
      <c r="K10" s="734">
        <f t="shared" si="7"/>
        <v>0</v>
      </c>
      <c r="L10" s="734">
        <f>+L11+L12+L13</f>
        <v>0</v>
      </c>
      <c r="M10" s="1717">
        <f>SUM(M11:M13)</f>
        <v>4797909</v>
      </c>
      <c r="N10" s="617"/>
      <c r="O10" s="618"/>
      <c r="P10" s="616"/>
    </row>
    <row r="11" spans="1:18" s="196" customFormat="1" ht="14.25" customHeight="1">
      <c r="A11" s="319"/>
      <c r="B11" s="1721" t="s">
        <v>117</v>
      </c>
      <c r="C11" s="620"/>
      <c r="D11" s="735">
        <f>+D24+D37</f>
        <v>1000000</v>
      </c>
      <c r="E11" s="3016">
        <f t="shared" ref="E11:K11" si="8">+E24</f>
        <v>0</v>
      </c>
      <c r="F11" s="735">
        <f>+F24+F37</f>
        <v>3138</v>
      </c>
      <c r="G11" s="735">
        <f>+G24+G37</f>
        <v>131545</v>
      </c>
      <c r="H11" s="735">
        <f>+H24+H37</f>
        <v>752046</v>
      </c>
      <c r="I11" s="735">
        <f>+I24+I37</f>
        <v>113271</v>
      </c>
      <c r="J11" s="735">
        <f t="shared" si="8"/>
        <v>0</v>
      </c>
      <c r="K11" s="735">
        <f t="shared" si="8"/>
        <v>0</v>
      </c>
      <c r="L11" s="735">
        <f>+L24</f>
        <v>0</v>
      </c>
      <c r="M11" s="3163">
        <f>SUM(G11:K11)</f>
        <v>996862</v>
      </c>
      <c r="N11" s="548"/>
      <c r="O11" s="354"/>
      <c r="P11" s="354"/>
      <c r="R11" s="354"/>
    </row>
    <row r="12" spans="1:18" s="196" customFormat="1" ht="14.25" customHeight="1">
      <c r="A12" s="319"/>
      <c r="B12" s="1721" t="s">
        <v>30</v>
      </c>
      <c r="C12" s="1718"/>
      <c r="D12" s="735">
        <f>+D25</f>
        <v>999622</v>
      </c>
      <c r="E12" s="3016">
        <f t="shared" ref="E12:K12" si="9">+E25</f>
        <v>0</v>
      </c>
      <c r="F12" s="735">
        <f t="shared" si="9"/>
        <v>96561</v>
      </c>
      <c r="G12" s="735">
        <f t="shared" si="9"/>
        <v>903061</v>
      </c>
      <c r="H12" s="735">
        <f t="shared" si="9"/>
        <v>0</v>
      </c>
      <c r="I12" s="735">
        <f t="shared" si="9"/>
        <v>0</v>
      </c>
      <c r="J12" s="735">
        <f t="shared" si="9"/>
        <v>0</v>
      </c>
      <c r="K12" s="735">
        <f t="shared" si="9"/>
        <v>0</v>
      </c>
      <c r="L12" s="735">
        <f>+L25</f>
        <v>0</v>
      </c>
      <c r="M12" s="3164">
        <v>0</v>
      </c>
      <c r="N12" s="621"/>
      <c r="O12" s="354"/>
    </row>
    <row r="13" spans="1:18" s="196" customFormat="1" ht="15.75" customHeight="1">
      <c r="A13" s="319"/>
      <c r="B13" s="1721" t="s">
        <v>485</v>
      </c>
      <c r="C13" s="620"/>
      <c r="D13" s="735">
        <f>+D26+D38</f>
        <v>3999244</v>
      </c>
      <c r="E13" s="3016">
        <f t="shared" ref="E13:K13" si="10">+E26</f>
        <v>0</v>
      </c>
      <c r="F13" s="735">
        <f>+F26+F38</f>
        <v>198197</v>
      </c>
      <c r="G13" s="735">
        <f t="shared" ref="G13:I13" si="11">+G26+G38</f>
        <v>2085141</v>
      </c>
      <c r="H13" s="735">
        <f t="shared" si="11"/>
        <v>1489363</v>
      </c>
      <c r="I13" s="735">
        <f t="shared" si="11"/>
        <v>226543</v>
      </c>
      <c r="J13" s="735">
        <f t="shared" si="10"/>
        <v>0</v>
      </c>
      <c r="K13" s="735">
        <f t="shared" si="10"/>
        <v>0</v>
      </c>
      <c r="L13" s="735">
        <f>+L26</f>
        <v>0</v>
      </c>
      <c r="M13" s="3163">
        <f>SUM(G13:K13)</f>
        <v>3801047</v>
      </c>
      <c r="N13" s="621"/>
      <c r="O13" s="354"/>
    </row>
    <row r="14" spans="1:18" s="619" customFormat="1" ht="14.25" customHeight="1">
      <c r="A14" s="319"/>
      <c r="B14" s="1835" t="s">
        <v>17</v>
      </c>
      <c r="C14" s="622"/>
      <c r="D14" s="734">
        <f>+D15</f>
        <v>33993576</v>
      </c>
      <c r="E14" s="3015">
        <f t="shared" ref="E14:J14" si="12">+E15</f>
        <v>0</v>
      </c>
      <c r="F14" s="734">
        <f t="shared" si="12"/>
        <v>1684672</v>
      </c>
      <c r="G14" s="734">
        <f t="shared" si="12"/>
        <v>17723705</v>
      </c>
      <c r="H14" s="734">
        <f t="shared" si="12"/>
        <v>12659582</v>
      </c>
      <c r="I14" s="734">
        <f t="shared" si="12"/>
        <v>1925617</v>
      </c>
      <c r="J14" s="734">
        <f t="shared" si="12"/>
        <v>0</v>
      </c>
      <c r="K14" s="734">
        <f>+K15</f>
        <v>0</v>
      </c>
      <c r="L14" s="734">
        <f>+L15</f>
        <v>0</v>
      </c>
      <c r="M14" s="1719">
        <f>+M15</f>
        <v>32308904</v>
      </c>
      <c r="N14" s="623"/>
      <c r="O14" s="618"/>
      <c r="P14" s="616"/>
    </row>
    <row r="15" spans="1:18" s="196" customFormat="1" ht="14.25" customHeight="1">
      <c r="A15" s="319"/>
      <c r="B15" s="1721" t="s">
        <v>19</v>
      </c>
      <c r="C15" s="1720"/>
      <c r="D15" s="735">
        <f>+D28+D40</f>
        <v>33993576</v>
      </c>
      <c r="E15" s="3016">
        <f t="shared" ref="E15:K15" si="13">+E28</f>
        <v>0</v>
      </c>
      <c r="F15" s="735">
        <f>+F28+F40</f>
        <v>1684672</v>
      </c>
      <c r="G15" s="735">
        <f t="shared" ref="G15:I15" si="14">+G28+G40</f>
        <v>17723705</v>
      </c>
      <c r="H15" s="735">
        <f t="shared" si="14"/>
        <v>12659582</v>
      </c>
      <c r="I15" s="735">
        <f t="shared" si="14"/>
        <v>1925617</v>
      </c>
      <c r="J15" s="735">
        <f t="shared" si="13"/>
        <v>0</v>
      </c>
      <c r="K15" s="735">
        <f t="shared" si="13"/>
        <v>0</v>
      </c>
      <c r="L15" s="735">
        <f>+L28</f>
        <v>0</v>
      </c>
      <c r="M15" s="3163">
        <f>SUM(G15:K15)</f>
        <v>32308904</v>
      </c>
      <c r="N15" s="548"/>
      <c r="O15" s="354"/>
      <c r="P15" s="354"/>
    </row>
    <row r="16" spans="1:18" s="196" customFormat="1" ht="14.25" customHeight="1">
      <c r="A16" s="319"/>
      <c r="B16" s="1722" t="s">
        <v>20</v>
      </c>
      <c r="C16" s="1177"/>
      <c r="D16" s="531">
        <f>+D17+D19</f>
        <v>37992820</v>
      </c>
      <c r="E16" s="1799">
        <f t="shared" ref="E16:K16" si="15">+E17+E19</f>
        <v>0</v>
      </c>
      <c r="F16" s="531">
        <f t="shared" si="15"/>
        <v>1882869</v>
      </c>
      <c r="G16" s="531">
        <f t="shared" si="15"/>
        <v>19808846</v>
      </c>
      <c r="H16" s="531">
        <f t="shared" si="15"/>
        <v>14148945</v>
      </c>
      <c r="I16" s="531">
        <f t="shared" si="15"/>
        <v>2152160</v>
      </c>
      <c r="J16" s="531">
        <f t="shared" si="15"/>
        <v>0</v>
      </c>
      <c r="K16" s="531">
        <f t="shared" si="15"/>
        <v>0</v>
      </c>
      <c r="L16" s="531">
        <f>+L17+L19</f>
        <v>0</v>
      </c>
      <c r="M16" s="4140" t="s">
        <v>52</v>
      </c>
      <c r="N16" s="548"/>
      <c r="O16" s="354"/>
      <c r="R16" s="616"/>
    </row>
    <row r="17" spans="1:16" s="196" customFormat="1" ht="14.25" customHeight="1">
      <c r="A17" s="319"/>
      <c r="B17" s="1723" t="s">
        <v>22</v>
      </c>
      <c r="C17" s="1724"/>
      <c r="D17" s="737">
        <f>+D18</f>
        <v>3999244</v>
      </c>
      <c r="E17" s="3017">
        <f t="shared" ref="E17:K17" si="16">+E18</f>
        <v>0</v>
      </c>
      <c r="F17" s="737">
        <f t="shared" si="16"/>
        <v>198197</v>
      </c>
      <c r="G17" s="737">
        <f t="shared" si="16"/>
        <v>2085141</v>
      </c>
      <c r="H17" s="737">
        <f t="shared" si="16"/>
        <v>1489363</v>
      </c>
      <c r="I17" s="737">
        <f t="shared" si="16"/>
        <v>226543</v>
      </c>
      <c r="J17" s="737">
        <f t="shared" si="16"/>
        <v>0</v>
      </c>
      <c r="K17" s="737">
        <f t="shared" si="16"/>
        <v>0</v>
      </c>
      <c r="L17" s="737">
        <f>+L18</f>
        <v>0</v>
      </c>
      <c r="M17" s="4141"/>
      <c r="N17" s="548"/>
    </row>
    <row r="18" spans="1:16" s="196" customFormat="1" ht="14.25" customHeight="1">
      <c r="A18" s="319"/>
      <c r="B18" s="1836" t="s">
        <v>16</v>
      </c>
      <c r="C18" s="21"/>
      <c r="D18" s="735">
        <f>+D43+D31</f>
        <v>3999244</v>
      </c>
      <c r="E18" s="3016">
        <f t="shared" ref="E18:K18" si="17">+E31</f>
        <v>0</v>
      </c>
      <c r="F18" s="735">
        <f>+F31+F43</f>
        <v>198197</v>
      </c>
      <c r="G18" s="735">
        <f t="shared" ref="G18:I18" si="18">+G31+G43</f>
        <v>2085141</v>
      </c>
      <c r="H18" s="735">
        <f t="shared" si="18"/>
        <v>1489363</v>
      </c>
      <c r="I18" s="735">
        <f t="shared" si="18"/>
        <v>226543</v>
      </c>
      <c r="J18" s="735">
        <f t="shared" si="17"/>
        <v>0</v>
      </c>
      <c r="K18" s="735">
        <f t="shared" si="17"/>
        <v>0</v>
      </c>
      <c r="L18" s="735">
        <f>+L31</f>
        <v>0</v>
      </c>
      <c r="M18" s="4141"/>
      <c r="N18" s="621"/>
      <c r="O18" s="354"/>
    </row>
    <row r="19" spans="1:16" s="196" customFormat="1" ht="14.25" customHeight="1">
      <c r="A19" s="319"/>
      <c r="B19" s="1725" t="s">
        <v>17</v>
      </c>
      <c r="C19" s="1726"/>
      <c r="D19" s="737">
        <f>+D20</f>
        <v>33993576</v>
      </c>
      <c r="E19" s="3017">
        <f t="shared" ref="E19:K19" si="19">+E20</f>
        <v>0</v>
      </c>
      <c r="F19" s="737">
        <f t="shared" si="19"/>
        <v>1684672</v>
      </c>
      <c r="G19" s="737">
        <f t="shared" si="19"/>
        <v>17723705</v>
      </c>
      <c r="H19" s="737">
        <f t="shared" si="19"/>
        <v>12659582</v>
      </c>
      <c r="I19" s="737">
        <f t="shared" si="19"/>
        <v>1925617</v>
      </c>
      <c r="J19" s="737">
        <f t="shared" si="19"/>
        <v>0</v>
      </c>
      <c r="K19" s="737">
        <f t="shared" si="19"/>
        <v>0</v>
      </c>
      <c r="L19" s="737">
        <f>+L20</f>
        <v>0</v>
      </c>
      <c r="M19" s="4141"/>
      <c r="N19" s="621"/>
      <c r="O19" s="354"/>
    </row>
    <row r="20" spans="1:16" s="196" customFormat="1" ht="15" customHeight="1" thickBot="1">
      <c r="A20" s="320"/>
      <c r="B20" s="1837" t="s">
        <v>19</v>
      </c>
      <c r="C20" s="1838"/>
      <c r="D20" s="1839">
        <f>+D33+D45</f>
        <v>33993576</v>
      </c>
      <c r="E20" s="3018">
        <f t="shared" ref="E20:K20" si="20">+E33</f>
        <v>0</v>
      </c>
      <c r="F20" s="1839">
        <f>+F33+F45</f>
        <v>1684672</v>
      </c>
      <c r="G20" s="1839">
        <f t="shared" ref="G20:I20" si="21">+G33+G45</f>
        <v>17723705</v>
      </c>
      <c r="H20" s="1839">
        <f t="shared" si="21"/>
        <v>12659582</v>
      </c>
      <c r="I20" s="1839">
        <f t="shared" si="21"/>
        <v>1925617</v>
      </c>
      <c r="J20" s="1839">
        <f t="shared" si="20"/>
        <v>0</v>
      </c>
      <c r="K20" s="1839">
        <f t="shared" si="20"/>
        <v>0</v>
      </c>
      <c r="L20" s="1839">
        <f>+L33</f>
        <v>0</v>
      </c>
      <c r="M20" s="4142"/>
      <c r="N20" s="1727"/>
    </row>
    <row r="21" spans="1:16" ht="27.75" customHeight="1">
      <c r="A21" s="4143" t="s">
        <v>54</v>
      </c>
      <c r="B21" s="157" t="s">
        <v>585</v>
      </c>
      <c r="C21" s="478" t="s">
        <v>72</v>
      </c>
      <c r="D21" s="2148"/>
      <c r="E21" s="2109"/>
      <c r="F21" s="2109"/>
      <c r="G21" s="2149"/>
      <c r="H21" s="2149"/>
      <c r="I21" s="2149"/>
      <c r="J21" s="2109"/>
      <c r="K21" s="2150"/>
      <c r="L21" s="2109"/>
      <c r="M21" s="2291"/>
      <c r="N21" s="3709" t="s">
        <v>486</v>
      </c>
    </row>
    <row r="22" spans="1:16" ht="12" customHeight="1">
      <c r="A22" s="4144"/>
      <c r="B22" s="1705" t="s">
        <v>9</v>
      </c>
      <c r="C22" s="2151"/>
      <c r="D22" s="2152">
        <f>+D23+D27</f>
        <v>38726099</v>
      </c>
      <c r="E22" s="2153">
        <v>0</v>
      </c>
      <c r="F22" s="480">
        <f>+F23+F27</f>
        <v>1919810</v>
      </c>
      <c r="G22" s="480">
        <f>+G23+G27</f>
        <v>20183195</v>
      </c>
      <c r="H22" s="480">
        <f>+H23+H27</f>
        <v>14429396</v>
      </c>
      <c r="I22" s="480">
        <f>+I23+I27</f>
        <v>2193698</v>
      </c>
      <c r="J22" s="2153">
        <v>0</v>
      </c>
      <c r="K22" s="2153">
        <v>0</v>
      </c>
      <c r="L22" s="2153">
        <v>0</v>
      </c>
      <c r="M22" s="2198">
        <f>+M23+M27</f>
        <v>35903228</v>
      </c>
      <c r="N22" s="3710"/>
      <c r="O22" s="1840"/>
    </row>
    <row r="23" spans="1:16" ht="12" customHeight="1">
      <c r="A23" s="4144"/>
      <c r="B23" s="3165" t="s">
        <v>22</v>
      </c>
      <c r="C23" s="4146" t="s">
        <v>484</v>
      </c>
      <c r="D23" s="3166">
        <f>+D24+D25+D26</f>
        <v>5808915</v>
      </c>
      <c r="E23" s="2154">
        <v>0</v>
      </c>
      <c r="F23" s="3167">
        <f>+F24+F25+F26</f>
        <v>288482</v>
      </c>
      <c r="G23" s="3167">
        <f>+G24+G25+G26</f>
        <v>3020709</v>
      </c>
      <c r="H23" s="3167">
        <f>+H24+H25+H26</f>
        <v>2170669</v>
      </c>
      <c r="I23" s="3167">
        <f>+I24+I25+I26</f>
        <v>329055</v>
      </c>
      <c r="J23" s="2154">
        <v>0</v>
      </c>
      <c r="K23" s="2154">
        <v>0</v>
      </c>
      <c r="L23" s="2154">
        <v>0</v>
      </c>
      <c r="M23" s="3168">
        <f>+M24+M26</f>
        <v>4617372</v>
      </c>
      <c r="N23" s="3710"/>
    </row>
    <row r="24" spans="1:16" ht="12" customHeight="1">
      <c r="A24" s="4144"/>
      <c r="B24" s="3169" t="s">
        <v>117</v>
      </c>
      <c r="C24" s="4147"/>
      <c r="D24" s="1160">
        <f>+F24+G24+H24+I24</f>
        <v>936682</v>
      </c>
      <c r="E24" s="2154">
        <v>0</v>
      </c>
      <c r="F24" s="1259">
        <v>0</v>
      </c>
      <c r="G24" s="1259">
        <f>76399+22132</f>
        <v>98531</v>
      </c>
      <c r="H24" s="1259">
        <f>750598-22132</f>
        <v>728466</v>
      </c>
      <c r="I24" s="1259">
        <v>109685</v>
      </c>
      <c r="J24" s="2154">
        <v>0</v>
      </c>
      <c r="K24" s="2154">
        <v>0</v>
      </c>
      <c r="L24" s="2154">
        <v>0</v>
      </c>
      <c r="M24" s="3170">
        <f>SUM(G24:K24)</f>
        <v>936682</v>
      </c>
      <c r="N24" s="3710"/>
    </row>
    <row r="25" spans="1:16" ht="12" customHeight="1">
      <c r="A25" s="4144"/>
      <c r="B25" s="3171" t="s">
        <v>30</v>
      </c>
      <c r="C25" s="4147"/>
      <c r="D25" s="1160">
        <f>+F25+G25+H25+I25</f>
        <v>999622</v>
      </c>
      <c r="E25" s="3172">
        <v>0</v>
      </c>
      <c r="F25" s="1259">
        <f>289899-193338</f>
        <v>96561</v>
      </c>
      <c r="G25" s="1259">
        <f>709723+193338</f>
        <v>903061</v>
      </c>
      <c r="H25" s="1259">
        <v>0</v>
      </c>
      <c r="I25" s="1259">
        <v>0</v>
      </c>
      <c r="J25" s="1601">
        <v>0</v>
      </c>
      <c r="K25" s="1601">
        <v>0</v>
      </c>
      <c r="L25" s="1601">
        <v>0</v>
      </c>
      <c r="M25" s="3173" t="s">
        <v>52</v>
      </c>
      <c r="N25" s="3710"/>
      <c r="P25" s="1840"/>
    </row>
    <row r="26" spans="1:16" ht="12" customHeight="1">
      <c r="A26" s="4144"/>
      <c r="B26" s="3174" t="s">
        <v>485</v>
      </c>
      <c r="C26" s="4147"/>
      <c r="D26" s="1160">
        <f>E26+L26+F26+G26+H26+I26+J26+K26</f>
        <v>3872611</v>
      </c>
      <c r="E26" s="3172">
        <v>0</v>
      </c>
      <c r="F26" s="1259">
        <f>579799-387878</f>
        <v>191921</v>
      </c>
      <c r="G26" s="1259">
        <f>1572244+446873</f>
        <v>2019117</v>
      </c>
      <c r="H26" s="1259">
        <f>1501198-58995</f>
        <v>1442203</v>
      </c>
      <c r="I26" s="1259">
        <v>219370</v>
      </c>
      <c r="J26" s="1601">
        <v>0</v>
      </c>
      <c r="K26" s="1601">
        <v>0</v>
      </c>
      <c r="L26" s="1601">
        <v>0</v>
      </c>
      <c r="M26" s="3170">
        <f>SUM(G26:K26)</f>
        <v>3680690</v>
      </c>
      <c r="N26" s="3710"/>
      <c r="O26" s="1840">
        <f>D26-D31</f>
        <v>0</v>
      </c>
    </row>
    <row r="27" spans="1:16" ht="12" customHeight="1">
      <c r="A27" s="4144"/>
      <c r="B27" s="3165" t="s">
        <v>17</v>
      </c>
      <c r="C27" s="4147"/>
      <c r="D27" s="3167">
        <f>+D28</f>
        <v>32917184</v>
      </c>
      <c r="E27" s="3172">
        <v>0</v>
      </c>
      <c r="F27" s="3167">
        <f>+F28</f>
        <v>1631328</v>
      </c>
      <c r="G27" s="3167">
        <f t="shared" ref="G27:I27" si="22">+G28</f>
        <v>17162486</v>
      </c>
      <c r="H27" s="3167">
        <f t="shared" si="22"/>
        <v>12258727</v>
      </c>
      <c r="I27" s="3167">
        <f t="shared" si="22"/>
        <v>1864643</v>
      </c>
      <c r="J27" s="2155">
        <v>0</v>
      </c>
      <c r="K27" s="2155">
        <v>0</v>
      </c>
      <c r="L27" s="1601">
        <v>0</v>
      </c>
      <c r="M27" s="2200">
        <f>+M28</f>
        <v>31285856</v>
      </c>
      <c r="N27" s="3710"/>
    </row>
    <row r="28" spans="1:16" ht="12" customHeight="1">
      <c r="A28" s="4144"/>
      <c r="B28" s="3174" t="s">
        <v>487</v>
      </c>
      <c r="C28" s="4148"/>
      <c r="D28" s="1160">
        <f>+E28+L28+F28+G28+H28+I28</f>
        <v>32917184</v>
      </c>
      <c r="E28" s="3172">
        <v>0</v>
      </c>
      <c r="F28" s="1259">
        <f>4928287-3296959</f>
        <v>1631328</v>
      </c>
      <c r="G28" s="1259">
        <f>13364073+3798413</f>
        <v>17162486</v>
      </c>
      <c r="H28" s="1259">
        <f>12760181-501454</f>
        <v>12258727</v>
      </c>
      <c r="I28" s="1259">
        <v>1864643</v>
      </c>
      <c r="J28" s="2155">
        <v>0</v>
      </c>
      <c r="K28" s="2155">
        <v>0</v>
      </c>
      <c r="L28" s="1601">
        <v>0</v>
      </c>
      <c r="M28" s="3170">
        <f>SUM(G28:K28)</f>
        <v>31285856</v>
      </c>
      <c r="N28" s="3967"/>
      <c r="O28" s="1840">
        <f>D28-D33</f>
        <v>0</v>
      </c>
    </row>
    <row r="29" spans="1:16" ht="12" customHeight="1">
      <c r="A29" s="4144"/>
      <c r="B29" s="1705" t="s">
        <v>20</v>
      </c>
      <c r="C29" s="2151"/>
      <c r="D29" s="480">
        <f>+D30+D32</f>
        <v>36789795</v>
      </c>
      <c r="E29" s="2153">
        <f>+E30+E32</f>
        <v>0</v>
      </c>
      <c r="F29" s="1066">
        <f>+F30+F32</f>
        <v>1823249</v>
      </c>
      <c r="G29" s="1066">
        <f t="shared" ref="G29:I29" si="23">+G30+G32</f>
        <v>19181603</v>
      </c>
      <c r="H29" s="1066">
        <f t="shared" si="23"/>
        <v>13700930</v>
      </c>
      <c r="I29" s="1066">
        <f t="shared" si="23"/>
        <v>2084013</v>
      </c>
      <c r="J29" s="2153">
        <v>0</v>
      </c>
      <c r="K29" s="2153">
        <v>0</v>
      </c>
      <c r="L29" s="2153">
        <f>+L30+L32</f>
        <v>0</v>
      </c>
      <c r="M29" s="4094" t="s">
        <v>52</v>
      </c>
      <c r="N29" s="3710" t="s">
        <v>489</v>
      </c>
    </row>
    <row r="30" spans="1:16" ht="12" customHeight="1">
      <c r="A30" s="4144"/>
      <c r="B30" s="2159" t="s">
        <v>22</v>
      </c>
      <c r="C30" s="4101" t="s">
        <v>204</v>
      </c>
      <c r="D30" s="1249">
        <f>+D31</f>
        <v>3872611</v>
      </c>
      <c r="E30" s="1654">
        <f>+E31</f>
        <v>0</v>
      </c>
      <c r="F30" s="3167">
        <f>+F31</f>
        <v>191921</v>
      </c>
      <c r="G30" s="3167">
        <f t="shared" ref="G30:I30" si="24">+G31</f>
        <v>2019117</v>
      </c>
      <c r="H30" s="3167">
        <f t="shared" si="24"/>
        <v>1442203</v>
      </c>
      <c r="I30" s="3167">
        <f t="shared" si="24"/>
        <v>219370</v>
      </c>
      <c r="J30" s="1654">
        <v>0</v>
      </c>
      <c r="K30" s="1654">
        <v>0</v>
      </c>
      <c r="L30" s="1654">
        <f>+L31</f>
        <v>0</v>
      </c>
      <c r="M30" s="4095"/>
      <c r="N30" s="3710"/>
    </row>
    <row r="31" spans="1:16" ht="12" customHeight="1">
      <c r="A31" s="4144"/>
      <c r="B31" s="3174" t="s">
        <v>485</v>
      </c>
      <c r="C31" s="4102"/>
      <c r="D31" s="1160">
        <f>+F31+G31+H31+I31</f>
        <v>3872611</v>
      </c>
      <c r="E31" s="3172">
        <v>0</v>
      </c>
      <c r="F31" s="1259">
        <f>579799-387878</f>
        <v>191921</v>
      </c>
      <c r="G31" s="1259">
        <f>1572244+446873</f>
        <v>2019117</v>
      </c>
      <c r="H31" s="1259">
        <f>1501198-58995</f>
        <v>1442203</v>
      </c>
      <c r="I31" s="1259">
        <v>219370</v>
      </c>
      <c r="J31" s="1601">
        <v>0</v>
      </c>
      <c r="K31" s="1601">
        <v>0</v>
      </c>
      <c r="L31" s="3172">
        <v>0</v>
      </c>
      <c r="M31" s="4095"/>
      <c r="N31" s="3710"/>
      <c r="P31" s="1840">
        <f>+D26+D38</f>
        <v>3999244</v>
      </c>
    </row>
    <row r="32" spans="1:16" ht="12" customHeight="1">
      <c r="A32" s="4144"/>
      <c r="B32" s="2352" t="s">
        <v>17</v>
      </c>
      <c r="C32" s="4102"/>
      <c r="D32" s="3167">
        <f t="shared" ref="D32:I32" si="25">+D33</f>
        <v>32917184</v>
      </c>
      <c r="E32" s="3172">
        <f t="shared" si="25"/>
        <v>0</v>
      </c>
      <c r="F32" s="3167">
        <f t="shared" si="25"/>
        <v>1631328</v>
      </c>
      <c r="G32" s="3167">
        <f t="shared" si="25"/>
        <v>17162486</v>
      </c>
      <c r="H32" s="3167">
        <f t="shared" si="25"/>
        <v>12258727</v>
      </c>
      <c r="I32" s="3167">
        <f t="shared" si="25"/>
        <v>1864643</v>
      </c>
      <c r="J32" s="1093">
        <v>0</v>
      </c>
      <c r="K32" s="1093">
        <v>0</v>
      </c>
      <c r="L32" s="1438">
        <f>+L33</f>
        <v>0</v>
      </c>
      <c r="M32" s="4095"/>
      <c r="N32" s="3710"/>
      <c r="P32" s="1840">
        <f>+D33+D45</f>
        <v>33993576</v>
      </c>
    </row>
    <row r="33" spans="1:17" ht="12" customHeight="1" thickBot="1">
      <c r="A33" s="4145"/>
      <c r="B33" s="63" t="s">
        <v>19</v>
      </c>
      <c r="C33" s="4103"/>
      <c r="D33" s="1410">
        <f>+E33+L33+F33+G33+H33+I33</f>
        <v>32917184</v>
      </c>
      <c r="E33" s="3175"/>
      <c r="F33" s="1263">
        <f>4928287-3296959</f>
        <v>1631328</v>
      </c>
      <c r="G33" s="1263">
        <f>13364073+3798413</f>
        <v>17162486</v>
      </c>
      <c r="H33" s="1263">
        <f>12760181-501454</f>
        <v>12258727</v>
      </c>
      <c r="I33" s="1263">
        <v>1864643</v>
      </c>
      <c r="J33" s="1439">
        <v>0</v>
      </c>
      <c r="K33" s="1439">
        <v>0</v>
      </c>
      <c r="L33" s="1439"/>
      <c r="M33" s="4096"/>
      <c r="N33" s="3711"/>
      <c r="P33" s="1840">
        <f>+P31+P32</f>
        <v>37992820</v>
      </c>
    </row>
    <row r="34" spans="1:17" ht="27" customHeight="1">
      <c r="A34" s="4143" t="s">
        <v>55</v>
      </c>
      <c r="B34" s="157" t="s">
        <v>586</v>
      </c>
      <c r="C34" s="478" t="s">
        <v>99</v>
      </c>
      <c r="D34" s="2148"/>
      <c r="E34" s="2109"/>
      <c r="F34" s="2109"/>
      <c r="G34" s="2109"/>
      <c r="H34" s="2109"/>
      <c r="I34" s="2109"/>
      <c r="J34" s="2109"/>
      <c r="K34" s="2150"/>
      <c r="L34" s="2109"/>
      <c r="M34" s="2291"/>
      <c r="N34" s="3709" t="s">
        <v>490</v>
      </c>
    </row>
    <row r="35" spans="1:17" ht="12" customHeight="1">
      <c r="A35" s="4144"/>
      <c r="B35" s="1705" t="s">
        <v>9</v>
      </c>
      <c r="C35" s="2151"/>
      <c r="D35" s="2152">
        <f>+D36+D39</f>
        <v>1266343</v>
      </c>
      <c r="E35" s="2153">
        <v>0</v>
      </c>
      <c r="F35" s="480">
        <f>+F36+F39</f>
        <v>62758</v>
      </c>
      <c r="G35" s="480">
        <f>+G36+G39</f>
        <v>660257</v>
      </c>
      <c r="H35" s="480">
        <f>+H36+H39</f>
        <v>471595</v>
      </c>
      <c r="I35" s="480">
        <f>+I36+I39</f>
        <v>71733</v>
      </c>
      <c r="J35" s="2153">
        <v>0</v>
      </c>
      <c r="K35" s="2153">
        <v>0</v>
      </c>
      <c r="L35" s="2153">
        <v>0</v>
      </c>
      <c r="M35" s="2198">
        <f>+M36+M39</f>
        <v>1203585</v>
      </c>
      <c r="N35" s="3710"/>
    </row>
    <row r="36" spans="1:17" ht="12" customHeight="1">
      <c r="A36" s="4144"/>
      <c r="B36" s="3165" t="s">
        <v>22</v>
      </c>
      <c r="C36" s="4146" t="s">
        <v>138</v>
      </c>
      <c r="D36" s="3166">
        <f>+D37+D38</f>
        <v>189951</v>
      </c>
      <c r="E36" s="2154">
        <v>0</v>
      </c>
      <c r="F36" s="3167">
        <f>+F37+F38</f>
        <v>9414</v>
      </c>
      <c r="G36" s="3167">
        <f t="shared" ref="G36:I36" si="26">+G37+G38</f>
        <v>99038</v>
      </c>
      <c r="H36" s="3167">
        <f t="shared" si="26"/>
        <v>70740</v>
      </c>
      <c r="I36" s="3167">
        <f t="shared" si="26"/>
        <v>10759</v>
      </c>
      <c r="J36" s="2154">
        <v>0</v>
      </c>
      <c r="K36" s="2154">
        <v>0</v>
      </c>
      <c r="L36" s="2154">
        <v>0</v>
      </c>
      <c r="M36" s="3168">
        <f>+M37+M38</f>
        <v>180537</v>
      </c>
      <c r="N36" s="3710"/>
    </row>
    <row r="37" spans="1:17" ht="12" customHeight="1">
      <c r="A37" s="4144"/>
      <c r="B37" s="3169" t="s">
        <v>117</v>
      </c>
      <c r="C37" s="4147"/>
      <c r="D37" s="1160">
        <f>+F37+G37+H37+I37</f>
        <v>63318</v>
      </c>
      <c r="E37" s="2154">
        <v>0</v>
      </c>
      <c r="F37" s="1259">
        <f>9480-6342</f>
        <v>3138</v>
      </c>
      <c r="G37" s="1259">
        <f>25707+7307</f>
        <v>33014</v>
      </c>
      <c r="H37" s="1259">
        <f>24545-965</f>
        <v>23580</v>
      </c>
      <c r="I37" s="1259">
        <v>3586</v>
      </c>
      <c r="J37" s="2154">
        <v>0</v>
      </c>
      <c r="K37" s="2154">
        <v>0</v>
      </c>
      <c r="L37" s="2154">
        <v>0</v>
      </c>
      <c r="M37" s="3170">
        <f>SUM(G37:K37)</f>
        <v>60180</v>
      </c>
      <c r="N37" s="3710"/>
      <c r="P37" s="1840"/>
    </row>
    <row r="38" spans="1:17" ht="12" customHeight="1">
      <c r="A38" s="4144"/>
      <c r="B38" s="3174" t="s">
        <v>485</v>
      </c>
      <c r="C38" s="4147"/>
      <c r="D38" s="1160">
        <f>E38+L38+F38+G38+H38+I38+J38+K38</f>
        <v>126633</v>
      </c>
      <c r="E38" s="3172">
        <v>0</v>
      </c>
      <c r="F38" s="1259">
        <f>18959-12683</f>
        <v>6276</v>
      </c>
      <c r="G38" s="1259">
        <f>51412+14612</f>
        <v>66024</v>
      </c>
      <c r="H38" s="1259">
        <f>49089-1929</f>
        <v>47160</v>
      </c>
      <c r="I38" s="1259">
        <v>7173</v>
      </c>
      <c r="J38" s="1601">
        <v>0</v>
      </c>
      <c r="K38" s="1601">
        <v>0</v>
      </c>
      <c r="L38" s="1601">
        <v>0</v>
      </c>
      <c r="M38" s="3170">
        <f>SUM(G38:K38)</f>
        <v>120357</v>
      </c>
      <c r="N38" s="3710"/>
      <c r="O38" s="1840">
        <f>D38-D43</f>
        <v>0</v>
      </c>
    </row>
    <row r="39" spans="1:17" ht="12" customHeight="1">
      <c r="A39" s="4144"/>
      <c r="B39" s="3165" t="s">
        <v>17</v>
      </c>
      <c r="C39" s="4147"/>
      <c r="D39" s="3167">
        <f>+D40</f>
        <v>1076392</v>
      </c>
      <c r="E39" s="3172">
        <v>0</v>
      </c>
      <c r="F39" s="3167">
        <f>+F40</f>
        <v>53344</v>
      </c>
      <c r="G39" s="3167">
        <f t="shared" ref="G39:I39" si="27">+G40</f>
        <v>561219</v>
      </c>
      <c r="H39" s="3167">
        <f t="shared" si="27"/>
        <v>400855</v>
      </c>
      <c r="I39" s="3167">
        <f t="shared" si="27"/>
        <v>60974</v>
      </c>
      <c r="J39" s="2155">
        <v>0</v>
      </c>
      <c r="K39" s="2155">
        <v>0</v>
      </c>
      <c r="L39" s="1601">
        <v>0</v>
      </c>
      <c r="M39" s="2200">
        <f>+M40</f>
        <v>1023048</v>
      </c>
      <c r="N39" s="3710"/>
    </row>
    <row r="40" spans="1:17" ht="12" customHeight="1">
      <c r="A40" s="4144"/>
      <c r="B40" s="3174" t="s">
        <v>487</v>
      </c>
      <c r="C40" s="4148"/>
      <c r="D40" s="1160">
        <f>+E40+L40+F40+G40+H40+I40</f>
        <v>1076392</v>
      </c>
      <c r="E40" s="3172">
        <v>0</v>
      </c>
      <c r="F40" s="1259">
        <f>161155-107811</f>
        <v>53344</v>
      </c>
      <c r="G40" s="1259">
        <f>437005+124214</f>
        <v>561219</v>
      </c>
      <c r="H40" s="1259">
        <f>417258-16403</f>
        <v>400855</v>
      </c>
      <c r="I40" s="1259">
        <v>60974</v>
      </c>
      <c r="J40" s="2155">
        <v>0</v>
      </c>
      <c r="K40" s="2155">
        <v>0</v>
      </c>
      <c r="L40" s="1601">
        <v>0</v>
      </c>
      <c r="M40" s="3170">
        <f>SUM(G40:K40)</f>
        <v>1023048</v>
      </c>
      <c r="N40" s="3967"/>
      <c r="O40" s="1840">
        <f>D40-D45</f>
        <v>0</v>
      </c>
    </row>
    <row r="41" spans="1:17" ht="12" customHeight="1">
      <c r="A41" s="4144"/>
      <c r="B41" s="1705" t="s">
        <v>20</v>
      </c>
      <c r="C41" s="2151"/>
      <c r="D41" s="480">
        <f>+D42+D44</f>
        <v>1203025</v>
      </c>
      <c r="E41" s="2153">
        <f>+E42+E44</f>
        <v>0</v>
      </c>
      <c r="F41" s="2152">
        <f>+F42+F44</f>
        <v>59620</v>
      </c>
      <c r="G41" s="2152">
        <f t="shared" ref="G41:I41" si="28">+G42+G44</f>
        <v>627243</v>
      </c>
      <c r="H41" s="2152">
        <f t="shared" si="28"/>
        <v>448015</v>
      </c>
      <c r="I41" s="2152">
        <f t="shared" si="28"/>
        <v>68147</v>
      </c>
      <c r="J41" s="2153">
        <v>0</v>
      </c>
      <c r="K41" s="2153">
        <v>0</v>
      </c>
      <c r="L41" s="2153">
        <f>+L42+L44</f>
        <v>0</v>
      </c>
      <c r="M41" s="4094" t="s">
        <v>52</v>
      </c>
      <c r="N41" s="3710" t="s">
        <v>489</v>
      </c>
    </row>
    <row r="42" spans="1:17" ht="12" customHeight="1">
      <c r="A42" s="4144"/>
      <c r="B42" s="1743" t="s">
        <v>22</v>
      </c>
      <c r="C42" s="4101" t="s">
        <v>204</v>
      </c>
      <c r="D42" s="1249">
        <f>+D43</f>
        <v>126633</v>
      </c>
      <c r="E42" s="1654">
        <f>+E43</f>
        <v>0</v>
      </c>
      <c r="F42" s="3167">
        <f>+F43</f>
        <v>6276</v>
      </c>
      <c r="G42" s="3167">
        <f t="shared" ref="G42:I42" si="29">+G43</f>
        <v>66024</v>
      </c>
      <c r="H42" s="3167">
        <f t="shared" si="29"/>
        <v>47160</v>
      </c>
      <c r="I42" s="3167">
        <f t="shared" si="29"/>
        <v>7173</v>
      </c>
      <c r="J42" s="1654">
        <v>0</v>
      </c>
      <c r="K42" s="1654">
        <v>0</v>
      </c>
      <c r="L42" s="1654">
        <f>+L43</f>
        <v>0</v>
      </c>
      <c r="M42" s="4095"/>
      <c r="N42" s="3710"/>
    </row>
    <row r="43" spans="1:17" ht="12" customHeight="1">
      <c r="A43" s="4144"/>
      <c r="B43" s="3174" t="s">
        <v>485</v>
      </c>
      <c r="C43" s="4102"/>
      <c r="D43" s="1160">
        <f>+F43+G43+H43+I43</f>
        <v>126633</v>
      </c>
      <c r="E43" s="3172">
        <v>0</v>
      </c>
      <c r="F43" s="1259">
        <f>18959-12683</f>
        <v>6276</v>
      </c>
      <c r="G43" s="1259">
        <f>51412+14612</f>
        <v>66024</v>
      </c>
      <c r="H43" s="1259">
        <f>49089-1929</f>
        <v>47160</v>
      </c>
      <c r="I43" s="1259">
        <v>7173</v>
      </c>
      <c r="J43" s="1601">
        <v>0</v>
      </c>
      <c r="K43" s="1601">
        <v>0</v>
      </c>
      <c r="L43" s="3172">
        <v>0</v>
      </c>
      <c r="M43" s="4095"/>
      <c r="N43" s="3710"/>
    </row>
    <row r="44" spans="1:17" ht="12" customHeight="1">
      <c r="A44" s="4144"/>
      <c r="B44" s="1745" t="s">
        <v>17</v>
      </c>
      <c r="C44" s="4102"/>
      <c r="D44" s="3167">
        <f t="shared" ref="D44:I44" si="30">+D45</f>
        <v>1076392</v>
      </c>
      <c r="E44" s="3172">
        <f t="shared" si="30"/>
        <v>0</v>
      </c>
      <c r="F44" s="3167">
        <f t="shared" si="30"/>
        <v>53344</v>
      </c>
      <c r="G44" s="3167">
        <f t="shared" si="30"/>
        <v>561219</v>
      </c>
      <c r="H44" s="3167">
        <f t="shared" si="30"/>
        <v>400855</v>
      </c>
      <c r="I44" s="3167">
        <f t="shared" si="30"/>
        <v>60974</v>
      </c>
      <c r="J44" s="1093">
        <v>0</v>
      </c>
      <c r="K44" s="1093">
        <v>0</v>
      </c>
      <c r="L44" s="1438">
        <f>+L45</f>
        <v>0</v>
      </c>
      <c r="M44" s="4095"/>
      <c r="N44" s="3710"/>
    </row>
    <row r="45" spans="1:17" ht="12" customHeight="1" thickBot="1">
      <c r="A45" s="4145"/>
      <c r="B45" s="292" t="s">
        <v>19</v>
      </c>
      <c r="C45" s="4103"/>
      <c r="D45" s="1410">
        <f>+E45+L45+F45+G45+H45+I45</f>
        <v>1076392</v>
      </c>
      <c r="E45" s="3175">
        <v>0</v>
      </c>
      <c r="F45" s="1263">
        <f>161155-107811</f>
        <v>53344</v>
      </c>
      <c r="G45" s="1263">
        <f>437005+124214</f>
        <v>561219</v>
      </c>
      <c r="H45" s="1263">
        <f>417258-16403</f>
        <v>400855</v>
      </c>
      <c r="I45" s="1263">
        <v>60974</v>
      </c>
      <c r="J45" s="1439">
        <v>0</v>
      </c>
      <c r="K45" s="1439">
        <v>0</v>
      </c>
      <c r="L45" s="3172">
        <v>0</v>
      </c>
      <c r="M45" s="4096"/>
      <c r="N45" s="3711"/>
    </row>
    <row r="46" spans="1:17" s="2357" customFormat="1" ht="25.5" customHeight="1" thickBot="1">
      <c r="A46" s="4100" t="s">
        <v>211</v>
      </c>
      <c r="B46" s="4100"/>
      <c r="C46" s="4100"/>
      <c r="D46" s="4100"/>
      <c r="E46" s="4100"/>
      <c r="F46" s="2355"/>
      <c r="G46" s="2356"/>
      <c r="H46" s="2356"/>
      <c r="I46" s="2356"/>
      <c r="J46" s="2356"/>
      <c r="K46" s="2356"/>
      <c r="L46" s="2355"/>
      <c r="M46" s="2356"/>
      <c r="N46" s="2356"/>
    </row>
    <row r="47" spans="1:17" s="1208" customFormat="1" ht="15.75" customHeight="1">
      <c r="A47" s="1062"/>
      <c r="B47" s="199" t="s">
        <v>67</v>
      </c>
      <c r="C47" s="179"/>
      <c r="D47" s="180">
        <f>+D48+D49</f>
        <v>73651410</v>
      </c>
      <c r="E47" s="180">
        <f t="shared" ref="E47" si="31">+E48+E49</f>
        <v>0</v>
      </c>
      <c r="F47" s="180">
        <f t="shared" ref="F47:M47" si="32">+F48+F49</f>
        <v>0</v>
      </c>
      <c r="G47" s="180">
        <f t="shared" si="32"/>
        <v>10241017</v>
      </c>
      <c r="H47" s="180">
        <f t="shared" si="32"/>
        <v>11053017</v>
      </c>
      <c r="I47" s="180">
        <f t="shared" si="32"/>
        <v>9647017</v>
      </c>
      <c r="J47" s="180">
        <f t="shared" si="32"/>
        <v>5007017</v>
      </c>
      <c r="K47" s="1063">
        <f t="shared" si="32"/>
        <v>4067017</v>
      </c>
      <c r="L47" s="180">
        <f t="shared" ref="L47" si="33">+L48+L49</f>
        <v>0</v>
      </c>
      <c r="M47" s="2190">
        <f t="shared" si="32"/>
        <v>73651410</v>
      </c>
      <c r="N47" s="2290"/>
      <c r="P47" s="261"/>
      <c r="Q47" s="261"/>
    </row>
    <row r="48" spans="1:17" s="1208" customFormat="1" ht="15.75" customHeight="1">
      <c r="A48" s="162"/>
      <c r="B48" s="192" t="s">
        <v>68</v>
      </c>
      <c r="C48" s="182"/>
      <c r="D48" s="183">
        <f>+D83+D88+D93</f>
        <v>58151410</v>
      </c>
      <c r="E48" s="1412">
        <f t="shared" ref="E48:K48" si="34">+E83+E88+E93</f>
        <v>0</v>
      </c>
      <c r="F48" s="1413">
        <f t="shared" si="34"/>
        <v>0</v>
      </c>
      <c r="G48" s="1413">
        <f t="shared" si="34"/>
        <v>5147017</v>
      </c>
      <c r="H48" s="1413">
        <f t="shared" si="34"/>
        <v>5147017</v>
      </c>
      <c r="I48" s="1413">
        <f t="shared" si="34"/>
        <v>5147017</v>
      </c>
      <c r="J48" s="1413">
        <f t="shared" si="34"/>
        <v>5007017</v>
      </c>
      <c r="K48" s="1413">
        <f t="shared" si="34"/>
        <v>4067017</v>
      </c>
      <c r="L48" s="1413">
        <f>+L83+L88+L93</f>
        <v>0</v>
      </c>
      <c r="M48" s="1505">
        <f>+M83+M88+M93</f>
        <v>58151410</v>
      </c>
      <c r="N48" s="13"/>
    </row>
    <row r="49" spans="1:18" s="1208" customFormat="1" ht="15.75" customHeight="1" thickBot="1">
      <c r="A49" s="162"/>
      <c r="B49" s="193" t="s">
        <v>8</v>
      </c>
      <c r="C49" s="472"/>
      <c r="D49" s="191">
        <f>+D97+D70</f>
        <v>15500000</v>
      </c>
      <c r="E49" s="191">
        <f t="shared" ref="E49:M49" si="35">+E97+E70</f>
        <v>0</v>
      </c>
      <c r="F49" s="191">
        <f t="shared" si="35"/>
        <v>0</v>
      </c>
      <c r="G49" s="191">
        <f t="shared" si="35"/>
        <v>5094000</v>
      </c>
      <c r="H49" s="191">
        <f t="shared" si="35"/>
        <v>5906000</v>
      </c>
      <c r="I49" s="191">
        <f t="shared" si="35"/>
        <v>4500000</v>
      </c>
      <c r="J49" s="191">
        <f t="shared" si="35"/>
        <v>0</v>
      </c>
      <c r="K49" s="191">
        <f t="shared" si="35"/>
        <v>0</v>
      </c>
      <c r="L49" s="191">
        <f t="shared" si="35"/>
        <v>0</v>
      </c>
      <c r="M49" s="2986">
        <f t="shared" si="35"/>
        <v>15500000</v>
      </c>
      <c r="N49" s="13"/>
    </row>
    <row r="50" spans="1:18" s="259" customFormat="1" ht="15" customHeight="1">
      <c r="A50" s="162"/>
      <c r="B50" s="3176" t="s">
        <v>9</v>
      </c>
      <c r="C50" s="1064"/>
      <c r="D50" s="1065">
        <f>+D51+D58</f>
        <v>80853668.640000001</v>
      </c>
      <c r="E50" s="1066">
        <f t="shared" ref="E50:K50" si="36">+E51+E58</f>
        <v>3089999.64</v>
      </c>
      <c r="F50" s="1066">
        <f t="shared" si="36"/>
        <v>4092259</v>
      </c>
      <c r="G50" s="1066">
        <f t="shared" si="36"/>
        <v>10247017</v>
      </c>
      <c r="H50" s="1066">
        <f t="shared" si="36"/>
        <v>11067017</v>
      </c>
      <c r="I50" s="1066">
        <f t="shared" si="36"/>
        <v>9647017</v>
      </c>
      <c r="J50" s="1066">
        <f t="shared" si="36"/>
        <v>5007017</v>
      </c>
      <c r="K50" s="1066">
        <f t="shared" si="36"/>
        <v>4067017</v>
      </c>
      <c r="L50" s="1066">
        <f>+L51+L58</f>
        <v>0</v>
      </c>
      <c r="M50" s="2218">
        <f>SUM(M51,M58)</f>
        <v>38015085</v>
      </c>
      <c r="N50" s="279"/>
      <c r="Q50" s="152"/>
    </row>
    <row r="51" spans="1:18" s="308" customFormat="1" ht="14.25" customHeight="1">
      <c r="A51" s="162"/>
      <c r="B51" s="3177" t="s">
        <v>10</v>
      </c>
      <c r="C51" s="1067"/>
      <c r="D51" s="1068">
        <f>SUM(D52:D57)</f>
        <v>80853668.640000001</v>
      </c>
      <c r="E51" s="1068">
        <f t="shared" ref="E51:K51" si="37">SUM(E52:E57)</f>
        <v>3089999.64</v>
      </c>
      <c r="F51" s="1068">
        <f t="shared" si="37"/>
        <v>4092259</v>
      </c>
      <c r="G51" s="1068">
        <f t="shared" si="37"/>
        <v>10247017</v>
      </c>
      <c r="H51" s="1068">
        <f t="shared" si="37"/>
        <v>11067017</v>
      </c>
      <c r="I51" s="1068">
        <f t="shared" si="37"/>
        <v>9647017</v>
      </c>
      <c r="J51" s="1068">
        <f t="shared" si="37"/>
        <v>5007017</v>
      </c>
      <c r="K51" s="1068">
        <f t="shared" si="37"/>
        <v>4067017</v>
      </c>
      <c r="L51" s="1068">
        <f>SUM(L52:L57)</f>
        <v>0</v>
      </c>
      <c r="M51" s="2289">
        <f>SUM(M52:M57)</f>
        <v>38015085</v>
      </c>
      <c r="N51" s="267"/>
      <c r="P51" s="309"/>
    </row>
    <row r="52" spans="1:18" s="308" customFormat="1" ht="14.25" customHeight="1">
      <c r="A52" s="162"/>
      <c r="B52" s="1069" t="s">
        <v>11</v>
      </c>
      <c r="C52" s="1067"/>
      <c r="D52" s="1070">
        <f>+D83+D88+D93+D97</f>
        <v>71651410</v>
      </c>
      <c r="E52" s="1070">
        <f t="shared" ref="E52:J52" si="38">+E83+E88+E93</f>
        <v>0</v>
      </c>
      <c r="F52" s="1070">
        <f t="shared" si="38"/>
        <v>0</v>
      </c>
      <c r="G52" s="1070">
        <f>+G83+G88+G93+G97</f>
        <v>9647017</v>
      </c>
      <c r="H52" s="1070">
        <f t="shared" ref="H52:I52" si="39">+H83+H88+H93+H97</f>
        <v>9647017</v>
      </c>
      <c r="I52" s="1070">
        <f t="shared" si="39"/>
        <v>9647017</v>
      </c>
      <c r="J52" s="1070">
        <f t="shared" si="38"/>
        <v>5007017</v>
      </c>
      <c r="K52" s="1070">
        <f>+K83+K88+K93</f>
        <v>4067017</v>
      </c>
      <c r="L52" s="1070">
        <f>+L83+L88+L93</f>
        <v>0</v>
      </c>
      <c r="M52" s="3170">
        <f>SUM(G52:K52)</f>
        <v>38015085</v>
      </c>
      <c r="N52" s="267"/>
      <c r="P52" s="309"/>
      <c r="Q52" s="309"/>
    </row>
    <row r="53" spans="1:18" s="2987" customFormat="1" ht="14.25" customHeight="1">
      <c r="A53" s="162"/>
      <c r="B53" s="3178" t="s">
        <v>30</v>
      </c>
      <c r="C53" s="2690"/>
      <c r="D53" s="3179">
        <f t="shared" ref="D53:K53" si="40">+D69+D82+D87+D92</f>
        <v>7202258.6399999997</v>
      </c>
      <c r="E53" s="3179">
        <f>+E69+E82+E87+E92</f>
        <v>3089999.64</v>
      </c>
      <c r="F53" s="3179">
        <f t="shared" si="40"/>
        <v>4092259</v>
      </c>
      <c r="G53" s="3179">
        <f t="shared" si="40"/>
        <v>6000</v>
      </c>
      <c r="H53" s="3179">
        <f t="shared" si="40"/>
        <v>14000</v>
      </c>
      <c r="I53" s="3179">
        <f t="shared" si="40"/>
        <v>0</v>
      </c>
      <c r="J53" s="3179">
        <f t="shared" si="40"/>
        <v>0</v>
      </c>
      <c r="K53" s="3179">
        <f t="shared" si="40"/>
        <v>0</v>
      </c>
      <c r="L53" s="3179">
        <f>+L69+L82+L87+L92</f>
        <v>0</v>
      </c>
      <c r="M53" s="3180" t="s">
        <v>52</v>
      </c>
      <c r="N53" s="279"/>
      <c r="O53" s="280"/>
      <c r="P53" s="285"/>
      <c r="Q53" s="285"/>
      <c r="R53" s="280"/>
    </row>
    <row r="54" spans="1:18" s="259" customFormat="1" ht="14.25" customHeight="1" thickBot="1">
      <c r="A54" s="162"/>
      <c r="B54" s="1069" t="s">
        <v>111</v>
      </c>
      <c r="C54" s="1074"/>
      <c r="D54" s="1072">
        <f>+D70</f>
        <v>2000000</v>
      </c>
      <c r="E54" s="1072">
        <f t="shared" ref="E54:K54" si="41">+E70</f>
        <v>0</v>
      </c>
      <c r="F54" s="1072">
        <f t="shared" si="41"/>
        <v>0</v>
      </c>
      <c r="G54" s="1072">
        <f t="shared" si="41"/>
        <v>594000</v>
      </c>
      <c r="H54" s="1072">
        <f t="shared" si="41"/>
        <v>1406000</v>
      </c>
      <c r="I54" s="1072">
        <f t="shared" si="41"/>
        <v>0</v>
      </c>
      <c r="J54" s="1072">
        <f t="shared" si="41"/>
        <v>0</v>
      </c>
      <c r="K54" s="1072">
        <f t="shared" si="41"/>
        <v>0</v>
      </c>
      <c r="L54" s="1072">
        <f>+L70</f>
        <v>0</v>
      </c>
      <c r="M54" s="1075"/>
      <c r="N54" s="1076"/>
      <c r="P54" s="152"/>
      <c r="Q54" s="152"/>
    </row>
    <row r="55" spans="1:18" s="308" customFormat="1" ht="14.25" hidden="1" customHeight="1">
      <c r="A55" s="474"/>
      <c r="B55" s="1077" t="s">
        <v>12</v>
      </c>
      <c r="C55" s="1071"/>
      <c r="D55" s="1074">
        <f>D71</f>
        <v>0</v>
      </c>
      <c r="E55" s="1074">
        <f t="shared" ref="E55:N55" si="42">E71</f>
        <v>0</v>
      </c>
      <c r="F55" s="1074">
        <f t="shared" si="42"/>
        <v>0</v>
      </c>
      <c r="G55" s="1074">
        <f t="shared" si="42"/>
        <v>0</v>
      </c>
      <c r="H55" s="1074">
        <f t="shared" si="42"/>
        <v>0</v>
      </c>
      <c r="I55" s="1074">
        <f t="shared" si="42"/>
        <v>0</v>
      </c>
      <c r="J55" s="1074">
        <f t="shared" si="42"/>
        <v>0</v>
      </c>
      <c r="K55" s="1074">
        <f t="shared" si="42"/>
        <v>0</v>
      </c>
      <c r="L55" s="1074">
        <f>L71</f>
        <v>0</v>
      </c>
      <c r="M55" s="1075">
        <f t="shared" si="42"/>
        <v>0</v>
      </c>
      <c r="N55" s="1074">
        <f t="shared" si="42"/>
        <v>0</v>
      </c>
      <c r="P55" s="309"/>
    </row>
    <row r="56" spans="1:18" s="268" customFormat="1" ht="14.25" hidden="1" customHeight="1">
      <c r="A56" s="474"/>
      <c r="B56" s="1077" t="s">
        <v>32</v>
      </c>
      <c r="C56" s="1071"/>
      <c r="D56" s="1074"/>
      <c r="E56" s="1074"/>
      <c r="F56" s="1074"/>
      <c r="G56" s="1074"/>
      <c r="H56" s="1074"/>
      <c r="I56" s="1074"/>
      <c r="J56" s="1074"/>
      <c r="K56" s="1074"/>
      <c r="L56" s="1074"/>
      <c r="M56" s="1079"/>
      <c r="N56" s="1078"/>
      <c r="P56" s="1080"/>
    </row>
    <row r="57" spans="1:18" s="259" customFormat="1" ht="14.25" hidden="1" customHeight="1">
      <c r="A57" s="162"/>
      <c r="B57" s="1077" t="s">
        <v>112</v>
      </c>
      <c r="C57" s="1071"/>
      <c r="D57" s="1074">
        <f t="shared" ref="D57" si="43">D72</f>
        <v>0</v>
      </c>
      <c r="E57" s="1074">
        <f t="shared" ref="E57:K57" si="44">E72</f>
        <v>0</v>
      </c>
      <c r="F57" s="1074">
        <f t="shared" si="44"/>
        <v>0</v>
      </c>
      <c r="G57" s="1074">
        <f t="shared" si="44"/>
        <v>0</v>
      </c>
      <c r="H57" s="1074">
        <f t="shared" si="44"/>
        <v>0</v>
      </c>
      <c r="I57" s="1074">
        <f t="shared" si="44"/>
        <v>0</v>
      </c>
      <c r="J57" s="1074">
        <f t="shared" si="44"/>
        <v>0</v>
      </c>
      <c r="K57" s="1074">
        <f t="shared" si="44"/>
        <v>0</v>
      </c>
      <c r="L57" s="1074">
        <f>L72</f>
        <v>0</v>
      </c>
      <c r="M57" s="1075">
        <f>M72</f>
        <v>0</v>
      </c>
      <c r="N57" s="1076"/>
      <c r="P57" s="152"/>
    </row>
    <row r="58" spans="1:18" s="308" customFormat="1" ht="14.25" hidden="1" customHeight="1">
      <c r="A58" s="122"/>
      <c r="B58" s="156" t="s">
        <v>17</v>
      </c>
      <c r="C58" s="1081"/>
      <c r="D58" s="1082">
        <f t="shared" ref="D58:K58" si="45">SUM(D59:D59)</f>
        <v>0</v>
      </c>
      <c r="E58" s="1082">
        <f t="shared" si="45"/>
        <v>0</v>
      </c>
      <c r="F58" s="1082">
        <f t="shared" si="45"/>
        <v>0</v>
      </c>
      <c r="G58" s="1082">
        <f t="shared" si="45"/>
        <v>0</v>
      </c>
      <c r="H58" s="1082">
        <f t="shared" si="45"/>
        <v>0</v>
      </c>
      <c r="I58" s="1082">
        <f t="shared" si="45"/>
        <v>0</v>
      </c>
      <c r="J58" s="1082">
        <f t="shared" si="45"/>
        <v>0</v>
      </c>
      <c r="K58" s="1082">
        <f t="shared" si="45"/>
        <v>0</v>
      </c>
      <c r="L58" s="1082">
        <f>SUM(L59:L59)</f>
        <v>0</v>
      </c>
      <c r="M58" s="1073" t="s">
        <v>52</v>
      </c>
      <c r="N58" s="473"/>
    </row>
    <row r="59" spans="1:18" s="259" customFormat="1" ht="14.25" hidden="1" customHeight="1">
      <c r="A59" s="138"/>
      <c r="B59" s="1083" t="s">
        <v>33</v>
      </c>
      <c r="C59" s="1084"/>
      <c r="D59" s="1085"/>
      <c r="E59" s="1085"/>
      <c r="F59" s="1085"/>
      <c r="G59" s="1085"/>
      <c r="H59" s="1085"/>
      <c r="I59" s="1085"/>
      <c r="J59" s="1085"/>
      <c r="K59" s="1085"/>
      <c r="L59" s="1085"/>
      <c r="M59" s="1073" t="s">
        <v>52</v>
      </c>
      <c r="N59" s="1086"/>
    </row>
    <row r="60" spans="1:18" s="308" customFormat="1" ht="14.25" hidden="1" customHeight="1">
      <c r="A60" s="122"/>
      <c r="B60" s="475" t="s">
        <v>20</v>
      </c>
      <c r="C60" s="161"/>
      <c r="D60" s="491">
        <f>+D61+D64</f>
        <v>0</v>
      </c>
      <c r="E60" s="491">
        <f t="shared" ref="E60:K60" si="46">+E61+E64</f>
        <v>0</v>
      </c>
      <c r="F60" s="491">
        <f t="shared" si="46"/>
        <v>0</v>
      </c>
      <c r="G60" s="491">
        <f t="shared" si="46"/>
        <v>0</v>
      </c>
      <c r="H60" s="491">
        <f t="shared" si="46"/>
        <v>0</v>
      </c>
      <c r="I60" s="491">
        <f t="shared" si="46"/>
        <v>0</v>
      </c>
      <c r="J60" s="491">
        <f t="shared" si="46"/>
        <v>0</v>
      </c>
      <c r="K60" s="491">
        <f t="shared" si="46"/>
        <v>0</v>
      </c>
      <c r="L60" s="491">
        <f>+L61+L64</f>
        <v>0</v>
      </c>
      <c r="M60" s="4111" t="s">
        <v>21</v>
      </c>
      <c r="N60" s="1087"/>
    </row>
    <row r="61" spans="1:18" s="259" customFormat="1" ht="14.25" hidden="1" customHeight="1">
      <c r="A61" s="138"/>
      <c r="B61" s="156" t="s">
        <v>10</v>
      </c>
      <c r="C61" s="1081"/>
      <c r="D61" s="1082">
        <f>+D62+D63</f>
        <v>0</v>
      </c>
      <c r="E61" s="1082">
        <f t="shared" ref="E61:K61" si="47">+E62+E63</f>
        <v>0</v>
      </c>
      <c r="F61" s="1082">
        <f t="shared" si="47"/>
        <v>0</v>
      </c>
      <c r="G61" s="1082">
        <f t="shared" si="47"/>
        <v>0</v>
      </c>
      <c r="H61" s="1082">
        <f t="shared" si="47"/>
        <v>0</v>
      </c>
      <c r="I61" s="1082">
        <f t="shared" si="47"/>
        <v>0</v>
      </c>
      <c r="J61" s="1082">
        <f t="shared" si="47"/>
        <v>0</v>
      </c>
      <c r="K61" s="1082">
        <f t="shared" si="47"/>
        <v>0</v>
      </c>
      <c r="L61" s="1082">
        <f>+L62+L63</f>
        <v>0</v>
      </c>
      <c r="M61" s="4112"/>
      <c r="N61" s="1086"/>
    </row>
    <row r="62" spans="1:18" s="259" customFormat="1" ht="14.25" hidden="1" customHeight="1">
      <c r="A62" s="138"/>
      <c r="B62" s="1077" t="s">
        <v>12</v>
      </c>
      <c r="C62" s="1071"/>
      <c r="D62" s="1074">
        <f>D77</f>
        <v>0</v>
      </c>
      <c r="E62" s="1074">
        <f t="shared" ref="E62:K62" si="48">E77</f>
        <v>0</v>
      </c>
      <c r="F62" s="1074">
        <f t="shared" si="48"/>
        <v>0</v>
      </c>
      <c r="G62" s="1074">
        <f t="shared" si="48"/>
        <v>0</v>
      </c>
      <c r="H62" s="1074">
        <f t="shared" si="48"/>
        <v>0</v>
      </c>
      <c r="I62" s="1074">
        <f t="shared" si="48"/>
        <v>0</v>
      </c>
      <c r="J62" s="1074">
        <f t="shared" si="48"/>
        <v>0</v>
      </c>
      <c r="K62" s="1074">
        <f t="shared" si="48"/>
        <v>0</v>
      </c>
      <c r="L62" s="1074">
        <f>L77</f>
        <v>0</v>
      </c>
      <c r="M62" s="4112"/>
      <c r="N62" s="1086"/>
      <c r="P62" s="152"/>
    </row>
    <row r="63" spans="1:18" s="259" customFormat="1" ht="14.25" hidden="1" customHeight="1">
      <c r="A63" s="138"/>
      <c r="B63" s="1077" t="s">
        <v>370</v>
      </c>
      <c r="C63" s="1071"/>
      <c r="D63" s="1074">
        <f t="shared" ref="D63" si="49">D78</f>
        <v>0</v>
      </c>
      <c r="E63" s="1074">
        <f t="shared" ref="E63:K63" si="50">E78</f>
        <v>0</v>
      </c>
      <c r="F63" s="1074">
        <f t="shared" si="50"/>
        <v>0</v>
      </c>
      <c r="G63" s="1074">
        <f t="shared" si="50"/>
        <v>0</v>
      </c>
      <c r="H63" s="1074">
        <f t="shared" si="50"/>
        <v>0</v>
      </c>
      <c r="I63" s="1074">
        <f t="shared" si="50"/>
        <v>0</v>
      </c>
      <c r="J63" s="1074">
        <f t="shared" si="50"/>
        <v>0</v>
      </c>
      <c r="K63" s="1074">
        <f t="shared" si="50"/>
        <v>0</v>
      </c>
      <c r="L63" s="1074">
        <f>L78</f>
        <v>0</v>
      </c>
      <c r="M63" s="4112"/>
      <c r="N63" s="1086"/>
      <c r="P63" s="152"/>
    </row>
    <row r="64" spans="1:18" s="259" customFormat="1" ht="14.25" hidden="1" customHeight="1">
      <c r="A64" s="138"/>
      <c r="B64" s="156" t="s">
        <v>17</v>
      </c>
      <c r="C64" s="1081"/>
      <c r="D64" s="1082">
        <f t="shared" ref="D64:K64" si="51">SUM(D65:D65)</f>
        <v>0</v>
      </c>
      <c r="E64" s="1082">
        <f t="shared" si="51"/>
        <v>0</v>
      </c>
      <c r="F64" s="1082">
        <f t="shared" si="51"/>
        <v>0</v>
      </c>
      <c r="G64" s="1082">
        <f t="shared" si="51"/>
        <v>0</v>
      </c>
      <c r="H64" s="1082">
        <f t="shared" si="51"/>
        <v>0</v>
      </c>
      <c r="I64" s="1082">
        <f t="shared" si="51"/>
        <v>0</v>
      </c>
      <c r="J64" s="1082">
        <f t="shared" si="51"/>
        <v>0</v>
      </c>
      <c r="K64" s="1082">
        <f t="shared" si="51"/>
        <v>0</v>
      </c>
      <c r="L64" s="1082">
        <f>SUM(L65:L65)</f>
        <v>0</v>
      </c>
      <c r="M64" s="4112"/>
      <c r="N64" s="1086"/>
      <c r="P64" s="152"/>
    </row>
    <row r="65" spans="1:18" s="259" customFormat="1" ht="14.25" hidden="1" customHeight="1" thickBot="1">
      <c r="A65" s="138"/>
      <c r="B65" s="1083" t="s">
        <v>33</v>
      </c>
      <c r="C65" s="1088"/>
      <c r="D65" s="1055"/>
      <c r="E65" s="1055"/>
      <c r="F65" s="1055"/>
      <c r="G65" s="1055"/>
      <c r="H65" s="1055"/>
      <c r="I65" s="1055"/>
      <c r="J65" s="1055"/>
      <c r="K65" s="1055"/>
      <c r="L65" s="1055"/>
      <c r="M65" s="4113"/>
      <c r="N65" s="1086"/>
      <c r="P65" s="152"/>
    </row>
    <row r="66" spans="1:18" s="280" customFormat="1" ht="37.5" customHeight="1">
      <c r="A66" s="4104" t="s">
        <v>54</v>
      </c>
      <c r="B66" s="1052" t="s">
        <v>561</v>
      </c>
      <c r="C66" s="478" t="s">
        <v>72</v>
      </c>
      <c r="D66" s="3181"/>
      <c r="E66" s="3182"/>
      <c r="F66" s="3182"/>
      <c r="G66" s="3182"/>
      <c r="H66" s="3182"/>
      <c r="I66" s="3183"/>
      <c r="J66" s="3182"/>
      <c r="K66" s="3181"/>
      <c r="L66" s="3182"/>
      <c r="M66" s="3184"/>
      <c r="N66" s="4009"/>
      <c r="P66" s="4114"/>
      <c r="Q66" s="4114"/>
      <c r="R66" s="4114"/>
    </row>
    <row r="67" spans="1:18" s="280" customFormat="1" ht="15" customHeight="1">
      <c r="A67" s="4105"/>
      <c r="B67" s="367" t="s">
        <v>9</v>
      </c>
      <c r="C67" s="3185"/>
      <c r="D67" s="480">
        <f>+D68+D73</f>
        <v>2020000</v>
      </c>
      <c r="E67" s="1089">
        <f t="shared" ref="E67" si="52">+E68+E73</f>
        <v>0</v>
      </c>
      <c r="F67" s="1089">
        <f t="shared" ref="F67:K67" si="53">+F68</f>
        <v>0</v>
      </c>
      <c r="G67" s="480">
        <f t="shared" si="53"/>
        <v>600000</v>
      </c>
      <c r="H67" s="480">
        <f t="shared" si="53"/>
        <v>1420000</v>
      </c>
      <c r="I67" s="1089">
        <f t="shared" si="53"/>
        <v>0</v>
      </c>
      <c r="J67" s="1089">
        <f t="shared" si="53"/>
        <v>0</v>
      </c>
      <c r="K67" s="3186">
        <f t="shared" si="53"/>
        <v>0</v>
      </c>
      <c r="L67" s="480">
        <f>+L68</f>
        <v>0</v>
      </c>
      <c r="M67" s="3187">
        <f>+M68+M73</f>
        <v>2000000</v>
      </c>
      <c r="N67" s="4010"/>
      <c r="O67" s="285"/>
      <c r="P67" s="4114"/>
      <c r="Q67" s="4114"/>
      <c r="R67" s="4114"/>
    </row>
    <row r="68" spans="1:18" s="280" customFormat="1" ht="15" customHeight="1">
      <c r="A68" s="4105"/>
      <c r="B68" s="3188" t="s">
        <v>22</v>
      </c>
      <c r="C68" s="4115" t="s">
        <v>113</v>
      </c>
      <c r="D68" s="3189">
        <f>SUM(D69:D72)</f>
        <v>2020000</v>
      </c>
      <c r="E68" s="3190">
        <f>+E69+E70+E71+E72</f>
        <v>0</v>
      </c>
      <c r="F68" s="3190">
        <f t="shared" ref="F68:K68" si="54">+F69+F70+F71+F72</f>
        <v>0</v>
      </c>
      <c r="G68" s="3189">
        <f t="shared" si="54"/>
        <v>600000</v>
      </c>
      <c r="H68" s="3189">
        <f t="shared" si="54"/>
        <v>1420000</v>
      </c>
      <c r="I68" s="3190">
        <f t="shared" si="54"/>
        <v>0</v>
      </c>
      <c r="J68" s="3190">
        <f t="shared" si="54"/>
        <v>0</v>
      </c>
      <c r="K68" s="3191">
        <f t="shared" si="54"/>
        <v>0</v>
      </c>
      <c r="L68" s="3189">
        <f>+L69+L70+L71+L72</f>
        <v>0</v>
      </c>
      <c r="M68" s="3192">
        <f>+M70+M71+M72</f>
        <v>2000000</v>
      </c>
      <c r="N68" s="4010"/>
      <c r="P68" s="4114"/>
      <c r="Q68" s="4114"/>
      <c r="R68" s="4114"/>
    </row>
    <row r="69" spans="1:18" s="280" customFormat="1" ht="15" customHeight="1">
      <c r="A69" s="4105"/>
      <c r="B69" s="3193" t="s">
        <v>30</v>
      </c>
      <c r="C69" s="4116"/>
      <c r="D69" s="206">
        <f>E69+L69+F69+G69+H69+I69+J69+K69</f>
        <v>20000</v>
      </c>
      <c r="E69" s="2213">
        <v>0</v>
      </c>
      <c r="F69" s="2213">
        <v>0</v>
      </c>
      <c r="G69" s="1090">
        <v>6000</v>
      </c>
      <c r="H69" s="1090">
        <v>14000</v>
      </c>
      <c r="I69" s="2213">
        <v>0</v>
      </c>
      <c r="J69" s="2213">
        <v>0</v>
      </c>
      <c r="K69" s="3194">
        <v>0</v>
      </c>
      <c r="L69" s="482">
        <v>0</v>
      </c>
      <c r="M69" s="1073" t="s">
        <v>52</v>
      </c>
      <c r="N69" s="4122"/>
      <c r="P69" s="4114"/>
      <c r="Q69" s="4114"/>
      <c r="R69" s="4114"/>
    </row>
    <row r="70" spans="1:18" s="280" customFormat="1" ht="13.5" customHeight="1" thickBot="1">
      <c r="A70" s="4105"/>
      <c r="B70" s="3195" t="s">
        <v>115</v>
      </c>
      <c r="C70" s="4116"/>
      <c r="D70" s="206">
        <f>E70+L70+F70+G70+H70+I70+J70+K70</f>
        <v>2000000</v>
      </c>
      <c r="E70" s="2213">
        <v>0</v>
      </c>
      <c r="F70" s="2213">
        <v>0</v>
      </c>
      <c r="G70" s="1090">
        <v>594000</v>
      </c>
      <c r="H70" s="1090">
        <v>1406000</v>
      </c>
      <c r="I70" s="2213">
        <v>0</v>
      </c>
      <c r="J70" s="2213">
        <v>0</v>
      </c>
      <c r="K70" s="3194">
        <v>0</v>
      </c>
      <c r="L70" s="3196">
        <v>0</v>
      </c>
      <c r="M70" s="3197">
        <f>SUM(G70:K70)</f>
        <v>2000000</v>
      </c>
      <c r="N70" s="4122"/>
      <c r="P70" s="4114"/>
      <c r="Q70" s="4114"/>
      <c r="R70" s="4114"/>
    </row>
    <row r="71" spans="1:18" s="280" customFormat="1" ht="12" hidden="1" customHeight="1">
      <c r="A71" s="4105"/>
      <c r="B71" s="109" t="s">
        <v>12</v>
      </c>
      <c r="C71" s="4116"/>
      <c r="D71" s="206">
        <f>E71+L71+F71+G71+H71+I71+J71+K71</f>
        <v>0</v>
      </c>
      <c r="E71" s="1090">
        <v>0</v>
      </c>
      <c r="F71" s="1090">
        <v>0</v>
      </c>
      <c r="G71" s="1090">
        <v>0</v>
      </c>
      <c r="H71" s="1090">
        <v>0</v>
      </c>
      <c r="I71" s="1090">
        <v>0</v>
      </c>
      <c r="J71" s="1090">
        <v>0</v>
      </c>
      <c r="K71" s="3198">
        <v>0</v>
      </c>
      <c r="L71" s="482">
        <v>0</v>
      </c>
      <c r="M71" s="3197">
        <f>SUM(F71:K71)</f>
        <v>0</v>
      </c>
      <c r="N71" s="4122"/>
      <c r="P71" s="4114"/>
      <c r="Q71" s="4114"/>
      <c r="R71" s="4114"/>
    </row>
    <row r="72" spans="1:18" s="280" customFormat="1" ht="13.5" hidden="1" customHeight="1">
      <c r="A72" s="4105"/>
      <c r="B72" s="109" t="s">
        <v>112</v>
      </c>
      <c r="C72" s="4116"/>
      <c r="D72" s="206">
        <f>E72+L72+F72+G72+H72+I72+J72+K72</f>
        <v>0</v>
      </c>
      <c r="E72" s="1090">
        <v>0</v>
      </c>
      <c r="F72" s="1090">
        <v>0</v>
      </c>
      <c r="G72" s="1090">
        <v>0</v>
      </c>
      <c r="H72" s="1090">
        <v>0</v>
      </c>
      <c r="I72" s="1090">
        <v>0</v>
      </c>
      <c r="J72" s="1090">
        <v>0</v>
      </c>
      <c r="K72" s="3199">
        <v>0</v>
      </c>
      <c r="L72" s="3196">
        <v>0</v>
      </c>
      <c r="M72" s="3197">
        <f>SUM(F72:K72)</f>
        <v>0</v>
      </c>
      <c r="N72" s="4122"/>
      <c r="P72" s="4114"/>
      <c r="Q72" s="4114"/>
      <c r="R72" s="4114"/>
    </row>
    <row r="73" spans="1:18" s="280" customFormat="1" ht="15" hidden="1" customHeight="1">
      <c r="A73" s="4105"/>
      <c r="B73" s="3200" t="s">
        <v>17</v>
      </c>
      <c r="C73" s="4117"/>
      <c r="D73" s="206">
        <f>+D74</f>
        <v>0</v>
      </c>
      <c r="E73" s="1090"/>
      <c r="F73" s="1090"/>
      <c r="G73" s="1090"/>
      <c r="H73" s="1090"/>
      <c r="I73" s="1090"/>
      <c r="J73" s="1090"/>
      <c r="K73" s="3201"/>
      <c r="L73" s="482"/>
      <c r="M73" s="3202"/>
      <c r="N73" s="4122"/>
      <c r="P73" s="4114"/>
      <c r="Q73" s="4114"/>
      <c r="R73" s="4114"/>
    </row>
    <row r="74" spans="1:18" s="280" customFormat="1" ht="16.5" hidden="1" customHeight="1">
      <c r="A74" s="4105"/>
      <c r="B74" s="109" t="s">
        <v>33</v>
      </c>
      <c r="C74" s="3203"/>
      <c r="D74" s="206">
        <v>0</v>
      </c>
      <c r="E74" s="1090"/>
      <c r="F74" s="1090"/>
      <c r="G74" s="1090"/>
      <c r="H74" s="1090"/>
      <c r="I74" s="1090"/>
      <c r="J74" s="1090"/>
      <c r="K74" s="3204"/>
      <c r="L74" s="3196"/>
      <c r="M74" s="3205"/>
      <c r="N74" s="4122"/>
      <c r="P74" s="4114"/>
      <c r="Q74" s="4114"/>
      <c r="R74" s="4114"/>
    </row>
    <row r="75" spans="1:18" s="280" customFormat="1" ht="13.5" hidden="1" customHeight="1">
      <c r="A75" s="4105"/>
      <c r="B75" s="367" t="s">
        <v>20</v>
      </c>
      <c r="C75" s="3185"/>
      <c r="D75" s="480">
        <f>D77+D78</f>
        <v>0</v>
      </c>
      <c r="E75" s="480">
        <f t="shared" ref="E75" si="55">E77+E78</f>
        <v>0</v>
      </c>
      <c r="F75" s="480">
        <f t="shared" ref="F75:K75" si="56">+F76</f>
        <v>0</v>
      </c>
      <c r="G75" s="480">
        <f t="shared" si="56"/>
        <v>0</v>
      </c>
      <c r="H75" s="480">
        <f t="shared" si="56"/>
        <v>0</v>
      </c>
      <c r="I75" s="480">
        <f t="shared" si="56"/>
        <v>0</v>
      </c>
      <c r="J75" s="480">
        <f t="shared" si="56"/>
        <v>0</v>
      </c>
      <c r="K75" s="3186">
        <f t="shared" si="56"/>
        <v>0</v>
      </c>
      <c r="L75" s="480">
        <f>+L76</f>
        <v>0</v>
      </c>
      <c r="M75" s="4119" t="s">
        <v>52</v>
      </c>
      <c r="N75" s="4122"/>
      <c r="P75" s="4114"/>
      <c r="Q75" s="4114"/>
      <c r="R75" s="4114"/>
    </row>
    <row r="76" spans="1:18" s="268" customFormat="1" ht="13.5" hidden="1" customHeight="1">
      <c r="A76" s="4105"/>
      <c r="B76" s="453" t="s">
        <v>22</v>
      </c>
      <c r="C76" s="4118" t="s">
        <v>113</v>
      </c>
      <c r="D76" s="1091">
        <f>+D77+D78</f>
        <v>0</v>
      </c>
      <c r="E76" s="1091">
        <f t="shared" ref="E76" si="57">+E77+E78</f>
        <v>0</v>
      </c>
      <c r="F76" s="1091">
        <f t="shared" ref="F76:K76" si="58">+F77+F78</f>
        <v>0</v>
      </c>
      <c r="G76" s="1091">
        <f t="shared" si="58"/>
        <v>0</v>
      </c>
      <c r="H76" s="1091">
        <f t="shared" si="58"/>
        <v>0</v>
      </c>
      <c r="I76" s="1091">
        <f t="shared" si="58"/>
        <v>0</v>
      </c>
      <c r="J76" s="1091">
        <f t="shared" si="58"/>
        <v>0</v>
      </c>
      <c r="K76" s="3206">
        <f t="shared" si="58"/>
        <v>0</v>
      </c>
      <c r="L76" s="1091">
        <f>+L77+L78</f>
        <v>0</v>
      </c>
      <c r="M76" s="4120"/>
      <c r="N76" s="4122"/>
      <c r="P76" s="4114"/>
      <c r="Q76" s="4114"/>
      <c r="R76" s="4114"/>
    </row>
    <row r="77" spans="1:18" s="280" customFormat="1" ht="13.5" hidden="1" customHeight="1">
      <c r="A77" s="4105"/>
      <c r="B77" s="109" t="s">
        <v>12</v>
      </c>
      <c r="C77" s="4102"/>
      <c r="D77" s="206">
        <v>0</v>
      </c>
      <c r="E77" s="1090">
        <v>0</v>
      </c>
      <c r="F77" s="1090">
        <v>0</v>
      </c>
      <c r="G77" s="1090">
        <v>0</v>
      </c>
      <c r="H77" s="1090">
        <v>0</v>
      </c>
      <c r="I77" s="1090">
        <v>0</v>
      </c>
      <c r="J77" s="1090">
        <v>0</v>
      </c>
      <c r="K77" s="3198">
        <v>0</v>
      </c>
      <c r="L77" s="1090">
        <v>0</v>
      </c>
      <c r="M77" s="4120"/>
      <c r="N77" s="4122"/>
    </row>
    <row r="78" spans="1:18" s="280" customFormat="1" ht="15" hidden="1" customHeight="1" thickBot="1">
      <c r="A78" s="4106"/>
      <c r="B78" s="243" t="s">
        <v>112</v>
      </c>
      <c r="C78" s="4103"/>
      <c r="D78" s="1410">
        <v>0</v>
      </c>
      <c r="E78" s="1411">
        <v>0</v>
      </c>
      <c r="F78" s="1411">
        <v>0</v>
      </c>
      <c r="G78" s="1411">
        <v>0</v>
      </c>
      <c r="H78" s="1411">
        <v>0</v>
      </c>
      <c r="I78" s="1411">
        <v>0</v>
      </c>
      <c r="J78" s="1411">
        <v>0</v>
      </c>
      <c r="K78" s="3207">
        <v>0</v>
      </c>
      <c r="L78" s="492">
        <v>0</v>
      </c>
      <c r="M78" s="4121"/>
      <c r="N78" s="4122"/>
    </row>
    <row r="79" spans="1:18" s="280" customFormat="1" ht="28.5" customHeight="1">
      <c r="A79" s="4097" t="s">
        <v>55</v>
      </c>
      <c r="B79" s="1052" t="s">
        <v>376</v>
      </c>
      <c r="C79" s="478" t="s">
        <v>99</v>
      </c>
      <c r="D79" s="2148"/>
      <c r="E79" s="2109"/>
      <c r="F79" s="2109"/>
      <c r="G79" s="2109"/>
      <c r="H79" s="2109"/>
      <c r="I79" s="2109"/>
      <c r="J79" s="2109"/>
      <c r="K79" s="2150"/>
      <c r="L79" s="2109"/>
      <c r="M79" s="2195"/>
      <c r="N79" s="4107" t="s">
        <v>384</v>
      </c>
    </row>
    <row r="80" spans="1:18" s="280" customFormat="1" ht="13.5" customHeight="1">
      <c r="A80" s="4098"/>
      <c r="B80" s="367" t="s">
        <v>9</v>
      </c>
      <c r="C80" s="2196"/>
      <c r="D80" s="2152">
        <f>+D81</f>
        <v>8000000</v>
      </c>
      <c r="E80" s="2152">
        <f t="shared" ref="E80:M80" si="59">+E81</f>
        <v>2740000</v>
      </c>
      <c r="F80" s="2152">
        <f t="shared" si="59"/>
        <v>1080000</v>
      </c>
      <c r="G80" s="2152">
        <f t="shared" si="59"/>
        <v>1080000</v>
      </c>
      <c r="H80" s="2152">
        <f t="shared" si="59"/>
        <v>1080000</v>
      </c>
      <c r="I80" s="2152">
        <f t="shared" si="59"/>
        <v>1080000</v>
      </c>
      <c r="J80" s="2152">
        <f t="shared" si="59"/>
        <v>940000</v>
      </c>
      <c r="K80" s="2197">
        <f t="shared" si="59"/>
        <v>0</v>
      </c>
      <c r="L80" s="2152">
        <f>+L81</f>
        <v>0</v>
      </c>
      <c r="M80" s="2198">
        <f t="shared" si="59"/>
        <v>4180000</v>
      </c>
      <c r="N80" s="4108"/>
    </row>
    <row r="81" spans="1:16" s="268" customFormat="1" ht="16.5" customHeight="1">
      <c r="A81" s="4098"/>
      <c r="B81" s="481" t="s">
        <v>22</v>
      </c>
      <c r="C81" s="3948" t="s">
        <v>116</v>
      </c>
      <c r="D81" s="1249">
        <f>+D82+D83</f>
        <v>8000000</v>
      </c>
      <c r="E81" s="1249">
        <f t="shared" ref="E81" si="60">+E82+E83</f>
        <v>2740000</v>
      </c>
      <c r="F81" s="1249">
        <f t="shared" ref="F81:K81" si="61">+F82+F83</f>
        <v>1080000</v>
      </c>
      <c r="G81" s="1249">
        <f t="shared" si="61"/>
        <v>1080000</v>
      </c>
      <c r="H81" s="1249">
        <f t="shared" si="61"/>
        <v>1080000</v>
      </c>
      <c r="I81" s="1249">
        <f t="shared" si="61"/>
        <v>1080000</v>
      </c>
      <c r="J81" s="1249">
        <f t="shared" si="61"/>
        <v>940000</v>
      </c>
      <c r="K81" s="2199">
        <f t="shared" si="61"/>
        <v>0</v>
      </c>
      <c r="L81" s="1249">
        <f>+L82+L83</f>
        <v>0</v>
      </c>
      <c r="M81" s="2200">
        <f>+M83</f>
        <v>4180000</v>
      </c>
      <c r="N81" s="4108"/>
    </row>
    <row r="82" spans="1:16" s="268" customFormat="1" ht="13.5" customHeight="1">
      <c r="A82" s="4098"/>
      <c r="B82" s="3193" t="s">
        <v>114</v>
      </c>
      <c r="C82" s="4110"/>
      <c r="D82" s="698">
        <f>E82+L82+F82+G82+H82+I82+J82+K82</f>
        <v>3820000</v>
      </c>
      <c r="E82" s="1383">
        <f>1660000+1080000</f>
        <v>2740000</v>
      </c>
      <c r="F82" s="1259">
        <f>720000+360000</f>
        <v>1080000</v>
      </c>
      <c r="G82" s="1259">
        <v>0</v>
      </c>
      <c r="H82" s="1259">
        <v>0</v>
      </c>
      <c r="I82" s="1259">
        <v>0</v>
      </c>
      <c r="J82" s="1259">
        <v>0</v>
      </c>
      <c r="K82" s="2201">
        <v>0</v>
      </c>
      <c r="L82" s="1259">
        <v>0</v>
      </c>
      <c r="M82" s="2242">
        <v>0</v>
      </c>
      <c r="N82" s="4108"/>
    </row>
    <row r="83" spans="1:16" s="268" customFormat="1" ht="13.5" customHeight="1" thickBot="1">
      <c r="A83" s="4099"/>
      <c r="B83" s="2202" t="s">
        <v>117</v>
      </c>
      <c r="C83" s="3949"/>
      <c r="D83" s="1262">
        <f>E83+L83+F83+G83+H83+I83+J83+K83</f>
        <v>4180000</v>
      </c>
      <c r="E83" s="1411">
        <v>0</v>
      </c>
      <c r="F83" s="1263">
        <f>1080000-720000-360000</f>
        <v>0</v>
      </c>
      <c r="G83" s="1263">
        <v>1080000</v>
      </c>
      <c r="H83" s="1263">
        <v>1080000</v>
      </c>
      <c r="I83" s="1263">
        <v>1080000</v>
      </c>
      <c r="J83" s="1263">
        <v>940000</v>
      </c>
      <c r="K83" s="2204">
        <v>0</v>
      </c>
      <c r="L83" s="2203">
        <v>0</v>
      </c>
      <c r="M83" s="2205">
        <f>SUM(G83:K83)</f>
        <v>4180000</v>
      </c>
      <c r="N83" s="4109"/>
    </row>
    <row r="84" spans="1:16" s="268" customFormat="1" ht="48.75" customHeight="1">
      <c r="A84" s="4097" t="s">
        <v>56</v>
      </c>
      <c r="B84" s="3208" t="s">
        <v>371</v>
      </c>
      <c r="C84" s="478" t="s">
        <v>99</v>
      </c>
      <c r="D84" s="2148"/>
      <c r="E84" s="2109"/>
      <c r="F84" s="2109"/>
      <c r="G84" s="2109"/>
      <c r="H84" s="2109"/>
      <c r="I84" s="2109"/>
      <c r="J84" s="2109"/>
      <c r="K84" s="2150"/>
      <c r="L84" s="2109"/>
      <c r="M84" s="2206"/>
      <c r="N84" s="4129" t="s">
        <v>285</v>
      </c>
      <c r="O84" s="1080">
        <f>+G93+H93+I93+J93+K93+G93+H93+I93+1916851-59217</f>
        <v>32527106</v>
      </c>
    </row>
    <row r="85" spans="1:16" s="268" customFormat="1" ht="13.5" customHeight="1" thickBot="1">
      <c r="A85" s="4098"/>
      <c r="B85" s="367" t="s">
        <v>9</v>
      </c>
      <c r="C85" s="2207"/>
      <c r="D85" s="2208">
        <f>+D86</f>
        <v>2644445.64</v>
      </c>
      <c r="E85" s="2208">
        <f t="shared" ref="E85" si="62">+E86</f>
        <v>349999.64</v>
      </c>
      <c r="F85" s="2208">
        <f t="shared" ref="F85:K85" si="63">+F86</f>
        <v>77779</v>
      </c>
      <c r="G85" s="2208">
        <f t="shared" si="63"/>
        <v>233333</v>
      </c>
      <c r="H85" s="2208">
        <f t="shared" si="63"/>
        <v>233333</v>
      </c>
      <c r="I85" s="2208">
        <f t="shared" si="63"/>
        <v>233333</v>
      </c>
      <c r="J85" s="2208">
        <f t="shared" si="63"/>
        <v>233333</v>
      </c>
      <c r="K85" s="2208">
        <f t="shared" si="63"/>
        <v>233333</v>
      </c>
      <c r="L85" s="2208">
        <f>+L86</f>
        <v>0</v>
      </c>
      <c r="M85" s="2209">
        <f>+M86</f>
        <v>2216667</v>
      </c>
      <c r="N85" s="4130"/>
    </row>
    <row r="86" spans="1:16" s="268" customFormat="1" ht="13.5" customHeight="1" thickBot="1">
      <c r="A86" s="4098"/>
      <c r="B86" s="481" t="s">
        <v>22</v>
      </c>
      <c r="C86" s="4126" t="s">
        <v>116</v>
      </c>
      <c r="D86" s="1094">
        <f>+D88+D87</f>
        <v>2644445.64</v>
      </c>
      <c r="E86" s="1094">
        <f>+E87</f>
        <v>349999.64</v>
      </c>
      <c r="F86" s="1094">
        <f t="shared" ref="F86:K86" si="64">+F87+F88</f>
        <v>77779</v>
      </c>
      <c r="G86" s="1094">
        <f t="shared" si="64"/>
        <v>233333</v>
      </c>
      <c r="H86" s="1094">
        <f t="shared" si="64"/>
        <v>233333</v>
      </c>
      <c r="I86" s="1094">
        <f t="shared" si="64"/>
        <v>233333</v>
      </c>
      <c r="J86" s="1094">
        <f t="shared" si="64"/>
        <v>233333</v>
      </c>
      <c r="K86" s="1094">
        <f t="shared" si="64"/>
        <v>233333</v>
      </c>
      <c r="L86" s="1094">
        <f>+L87+L88</f>
        <v>0</v>
      </c>
      <c r="M86" s="2200">
        <f>+M88</f>
        <v>2216667</v>
      </c>
      <c r="N86" s="4136"/>
    </row>
    <row r="87" spans="1:16" s="268" customFormat="1" ht="12.75" customHeight="1" thickBot="1">
      <c r="A87" s="4098"/>
      <c r="B87" s="3193" t="s">
        <v>114</v>
      </c>
      <c r="C87" s="4110"/>
      <c r="D87" s="206">
        <f>E87+L87+F87+G87+H87+I87+J87+K87</f>
        <v>427778.64</v>
      </c>
      <c r="E87" s="1090">
        <f>116666.64+233333</f>
        <v>349999.64</v>
      </c>
      <c r="F87" s="1095">
        <f>155556-77777</f>
        <v>77779</v>
      </c>
      <c r="G87" s="1095">
        <v>0</v>
      </c>
      <c r="H87" s="1095">
        <v>0</v>
      </c>
      <c r="I87" s="1095"/>
      <c r="J87" s="1095"/>
      <c r="K87" s="1095"/>
      <c r="L87" s="1095">
        <v>0</v>
      </c>
      <c r="M87" s="2242">
        <v>0</v>
      </c>
      <c r="N87" s="4136"/>
    </row>
    <row r="88" spans="1:16" s="268" customFormat="1" ht="13.5" customHeight="1" thickBot="1">
      <c r="A88" s="4099"/>
      <c r="B88" s="2202" t="s">
        <v>117</v>
      </c>
      <c r="C88" s="3949"/>
      <c r="D88" s="692">
        <f>E88+L88+F88+G88+H88+I88+J88+K88+O88</f>
        <v>2216667</v>
      </c>
      <c r="E88" s="2210">
        <v>0</v>
      </c>
      <c r="F88" s="410">
        <f>233333-155556-77777</f>
        <v>0</v>
      </c>
      <c r="G88" s="410">
        <v>233333</v>
      </c>
      <c r="H88" s="410">
        <v>233333</v>
      </c>
      <c r="I88" s="410">
        <v>233333</v>
      </c>
      <c r="J88" s="410">
        <v>233333</v>
      </c>
      <c r="K88" s="410">
        <v>233333</v>
      </c>
      <c r="L88" s="410">
        <v>0</v>
      </c>
      <c r="M88" s="2047">
        <f>SUM(G88:K88)+1050002</f>
        <v>2216667</v>
      </c>
      <c r="N88" s="4131"/>
      <c r="O88" s="1092">
        <v>1050002</v>
      </c>
      <c r="P88" s="1080">
        <f>+O88+O93</f>
        <v>33636325</v>
      </c>
    </row>
    <row r="89" spans="1:16" s="280" customFormat="1" ht="42" customHeight="1" thickBot="1">
      <c r="A89" s="4127" t="s">
        <v>57</v>
      </c>
      <c r="B89" s="1052" t="s">
        <v>373</v>
      </c>
      <c r="C89" s="478" t="s">
        <v>99</v>
      </c>
      <c r="D89" s="2148"/>
      <c r="E89" s="2109"/>
      <c r="F89" s="2109"/>
      <c r="G89" s="2109"/>
      <c r="H89" s="2109"/>
      <c r="I89" s="2109"/>
      <c r="J89" s="2109"/>
      <c r="K89" s="2150"/>
      <c r="L89" s="2109"/>
      <c r="M89" s="2195"/>
      <c r="N89" s="4135" t="s">
        <v>331</v>
      </c>
    </row>
    <row r="90" spans="1:16" s="280" customFormat="1" ht="13.5" customHeight="1" thickBot="1">
      <c r="A90" s="4128"/>
      <c r="B90" s="367" t="s">
        <v>9</v>
      </c>
      <c r="C90" s="2207"/>
      <c r="D90" s="480">
        <f>+D91</f>
        <v>54689223</v>
      </c>
      <c r="E90" s="1089">
        <f t="shared" ref="E90:K90" si="65">+E91</f>
        <v>0</v>
      </c>
      <c r="F90" s="480">
        <f t="shared" si="65"/>
        <v>2934480</v>
      </c>
      <c r="G90" s="480">
        <f t="shared" si="65"/>
        <v>3833684</v>
      </c>
      <c r="H90" s="480">
        <f t="shared" si="65"/>
        <v>3833684</v>
      </c>
      <c r="I90" s="480">
        <f t="shared" si="65"/>
        <v>3833684</v>
      </c>
      <c r="J90" s="480">
        <f t="shared" si="65"/>
        <v>3833684</v>
      </c>
      <c r="K90" s="480">
        <f t="shared" si="65"/>
        <v>3833684</v>
      </c>
      <c r="L90" s="1089">
        <f>+L91</f>
        <v>0</v>
      </c>
      <c r="M90" s="2211">
        <f>+M91</f>
        <v>51754743</v>
      </c>
      <c r="N90" s="4136"/>
    </row>
    <row r="91" spans="1:16" s="268" customFormat="1" ht="13.5" customHeight="1" thickBot="1">
      <c r="A91" s="4128"/>
      <c r="B91" s="481" t="s">
        <v>22</v>
      </c>
      <c r="C91" s="4126" t="s">
        <v>116</v>
      </c>
      <c r="D91" s="1091">
        <f>+D92+D93</f>
        <v>54689223</v>
      </c>
      <c r="E91" s="1093">
        <f t="shared" ref="E91" si="66">+E92+E93</f>
        <v>0</v>
      </c>
      <c r="F91" s="1091">
        <f t="shared" ref="F91:K91" si="67">+F92+F93</f>
        <v>2934480</v>
      </c>
      <c r="G91" s="1091">
        <f t="shared" si="67"/>
        <v>3833684</v>
      </c>
      <c r="H91" s="1091">
        <f t="shared" si="67"/>
        <v>3833684</v>
      </c>
      <c r="I91" s="1091">
        <f t="shared" si="67"/>
        <v>3833684</v>
      </c>
      <c r="J91" s="1091">
        <f t="shared" si="67"/>
        <v>3833684</v>
      </c>
      <c r="K91" s="1091">
        <f t="shared" si="67"/>
        <v>3833684</v>
      </c>
      <c r="L91" s="1093">
        <f>+L92+L93</f>
        <v>0</v>
      </c>
      <c r="M91" s="2212">
        <f>+M92+M93</f>
        <v>51754743</v>
      </c>
      <c r="N91" s="4136"/>
      <c r="P91" s="1080"/>
    </row>
    <row r="92" spans="1:16" s="268" customFormat="1" ht="13.5" customHeight="1" thickBot="1">
      <c r="A92" s="4128"/>
      <c r="B92" s="3193" t="s">
        <v>114</v>
      </c>
      <c r="C92" s="4110"/>
      <c r="D92" s="206">
        <f>E92+L92+F92+G92+H92+I92+J92+K92</f>
        <v>2934480</v>
      </c>
      <c r="E92" s="2213">
        <v>0</v>
      </c>
      <c r="F92" s="1259">
        <f>1017638+1916842</f>
        <v>2934480</v>
      </c>
      <c r="G92" s="486">
        <v>0</v>
      </c>
      <c r="H92" s="486">
        <v>0</v>
      </c>
      <c r="I92" s="486">
        <v>0</v>
      </c>
      <c r="J92" s="487">
        <v>0</v>
      </c>
      <c r="K92" s="487">
        <v>0</v>
      </c>
      <c r="L92" s="486">
        <v>0</v>
      </c>
      <c r="M92" s="2241">
        <v>0</v>
      </c>
      <c r="N92" s="4131"/>
    </row>
    <row r="93" spans="1:16" s="268" customFormat="1" ht="13.5" customHeight="1" thickBot="1">
      <c r="A93" s="4128"/>
      <c r="B93" s="2202" t="s">
        <v>117</v>
      </c>
      <c r="C93" s="3949"/>
      <c r="D93" s="692">
        <f>+F93+G93+H93+I93+J93+K93+O93</f>
        <v>51754743</v>
      </c>
      <c r="E93" s="2214">
        <v>0</v>
      </c>
      <c r="F93" s="1263">
        <f>2934480-1017638-1916842</f>
        <v>0</v>
      </c>
      <c r="G93" s="410">
        <f>3912640-78956</f>
        <v>3833684</v>
      </c>
      <c r="H93" s="410">
        <f>3912640-78956</f>
        <v>3833684</v>
      </c>
      <c r="I93" s="410">
        <f>3912640-78956</f>
        <v>3833684</v>
      </c>
      <c r="J93" s="410">
        <f>3912640-78956</f>
        <v>3833684</v>
      </c>
      <c r="K93" s="410">
        <f>3912640-78956</f>
        <v>3833684</v>
      </c>
      <c r="L93" s="455">
        <v>0</v>
      </c>
      <c r="M93" s="2381">
        <f>+K93+J93+I93+H93+G93+3833684+3833684+3833684+3833684+3833684+3833684+3833684+3833684+1916851</f>
        <v>51754743</v>
      </c>
      <c r="N93" s="4135"/>
      <c r="O93" s="2053">
        <v>32586323</v>
      </c>
    </row>
    <row r="94" spans="1:16" s="268" customFormat="1" ht="27.75" customHeight="1">
      <c r="A94" s="4097" t="s">
        <v>58</v>
      </c>
      <c r="B94" s="1052" t="s">
        <v>483</v>
      </c>
      <c r="C94" s="478" t="s">
        <v>72</v>
      </c>
      <c r="D94" s="2148"/>
      <c r="E94" s="2109"/>
      <c r="F94" s="2109"/>
      <c r="G94" s="2109"/>
      <c r="H94" s="2109"/>
      <c r="I94" s="2109"/>
      <c r="J94" s="2109"/>
      <c r="K94" s="2150"/>
      <c r="L94" s="2109"/>
      <c r="M94" s="3020"/>
      <c r="N94" s="4129" t="s">
        <v>482</v>
      </c>
      <c r="O94" s="1833"/>
    </row>
    <row r="95" spans="1:16" s="268" customFormat="1" ht="13.5" customHeight="1" thickBot="1">
      <c r="A95" s="4099"/>
      <c r="B95" s="1705" t="s">
        <v>9</v>
      </c>
      <c r="C95" s="2215"/>
      <c r="D95" s="2216">
        <f>+D96</f>
        <v>13500000</v>
      </c>
      <c r="E95" s="2217">
        <v>0</v>
      </c>
      <c r="F95" s="2217">
        <v>0</v>
      </c>
      <c r="G95" s="2216">
        <f>+G96</f>
        <v>4500000</v>
      </c>
      <c r="H95" s="2216">
        <f t="shared" ref="H95:I95" si="68">+H96</f>
        <v>4500000</v>
      </c>
      <c r="I95" s="2216">
        <f t="shared" si="68"/>
        <v>4500000</v>
      </c>
      <c r="J95" s="2217">
        <v>0</v>
      </c>
      <c r="K95" s="2217">
        <v>0</v>
      </c>
      <c r="L95" s="2217">
        <v>0</v>
      </c>
      <c r="M95" s="2218">
        <f>+M96</f>
        <v>13500000</v>
      </c>
      <c r="N95" s="4130"/>
      <c r="O95" s="1833"/>
    </row>
    <row r="96" spans="1:16" s="268" customFormat="1" ht="13.5" customHeight="1" thickBot="1">
      <c r="A96" s="4128"/>
      <c r="B96" s="2159" t="s">
        <v>22</v>
      </c>
      <c r="C96" s="4133" t="s">
        <v>481</v>
      </c>
      <c r="D96" s="2219">
        <f>+D97</f>
        <v>13500000</v>
      </c>
      <c r="E96" s="2220">
        <v>0</v>
      </c>
      <c r="F96" s="2220">
        <v>0</v>
      </c>
      <c r="G96" s="2219">
        <f>+G97</f>
        <v>4500000</v>
      </c>
      <c r="H96" s="2219">
        <f t="shared" ref="H96:I96" si="69">+H97</f>
        <v>4500000</v>
      </c>
      <c r="I96" s="2219">
        <f t="shared" si="69"/>
        <v>4500000</v>
      </c>
      <c r="J96" s="2220">
        <v>0</v>
      </c>
      <c r="K96" s="2220">
        <v>0</v>
      </c>
      <c r="L96" s="2220">
        <v>0</v>
      </c>
      <c r="M96" s="2221">
        <f>+M97</f>
        <v>13500000</v>
      </c>
      <c r="N96" s="4131"/>
      <c r="O96" s="1833"/>
    </row>
    <row r="97" spans="1:22" s="268" customFormat="1" ht="13.5" customHeight="1" thickBot="1">
      <c r="A97" s="4128"/>
      <c r="B97" s="2202" t="s">
        <v>117</v>
      </c>
      <c r="C97" s="4134"/>
      <c r="D97" s="1845">
        <f>+E97+L97+F97+G97+H97+I97</f>
        <v>13500000</v>
      </c>
      <c r="E97" s="2222">
        <v>0</v>
      </c>
      <c r="F97" s="2985">
        <v>0</v>
      </c>
      <c r="G97" s="2203">
        <v>4500000</v>
      </c>
      <c r="H97" s="2203">
        <v>4500000</v>
      </c>
      <c r="I97" s="2203">
        <v>4500000</v>
      </c>
      <c r="J97" s="2223">
        <v>0</v>
      </c>
      <c r="K97" s="2223">
        <v>0</v>
      </c>
      <c r="L97" s="2985">
        <v>0</v>
      </c>
      <c r="M97" s="2224">
        <f>+I97+H97+G97+J97+K97</f>
        <v>13500000</v>
      </c>
      <c r="N97" s="4132"/>
      <c r="O97" s="1833"/>
    </row>
    <row r="98" spans="1:22" s="1096" customFormat="1" ht="13.5" customHeight="1">
      <c r="A98" s="4123"/>
      <c r="B98" s="4123"/>
      <c r="C98" s="4123"/>
      <c r="D98" s="4123"/>
      <c r="E98" s="4123"/>
      <c r="F98" s="4123"/>
      <c r="G98" s="4123"/>
      <c r="H98" s="4123"/>
      <c r="I98" s="4123"/>
      <c r="J98" s="4123"/>
      <c r="K98" s="4123"/>
      <c r="L98" s="4123"/>
      <c r="M98" s="4123"/>
      <c r="N98" s="4124"/>
    </row>
    <row r="99" spans="1:22" s="259" customFormat="1" ht="12.75" customHeight="1">
      <c r="A99" s="4125" t="s">
        <v>372</v>
      </c>
      <c r="B99" s="4125"/>
      <c r="C99" s="4125"/>
      <c r="D99" s="4125"/>
      <c r="E99" s="4125"/>
      <c r="F99" s="4125"/>
      <c r="G99" s="4125"/>
      <c r="H99" s="4125"/>
      <c r="I99" s="4125"/>
      <c r="J99" s="4125"/>
      <c r="K99" s="4125"/>
      <c r="L99" s="2409"/>
      <c r="N99" s="152"/>
    </row>
    <row r="100" spans="1:22" s="259" customFormat="1" ht="12.75" customHeight="1">
      <c r="A100" s="4125" t="s">
        <v>491</v>
      </c>
      <c r="B100" s="4125"/>
      <c r="C100" s="4125"/>
      <c r="D100" s="4125"/>
      <c r="E100" s="4125"/>
      <c r="F100" s="4125"/>
      <c r="G100" s="4125"/>
      <c r="H100" s="4125"/>
      <c r="I100" s="2054"/>
      <c r="J100" s="2054"/>
      <c r="K100" s="2054"/>
      <c r="L100" s="2409"/>
    </row>
    <row r="101" spans="1:22" s="1096" customFormat="1" ht="13.5" customHeight="1">
      <c r="A101" s="4123"/>
      <c r="B101" s="4123"/>
      <c r="C101" s="4123"/>
      <c r="D101" s="4123"/>
      <c r="E101" s="4123"/>
      <c r="F101" s="4123"/>
      <c r="G101" s="4123"/>
      <c r="H101" s="4123"/>
      <c r="I101" s="4123"/>
      <c r="J101" s="4123"/>
      <c r="K101" s="4123"/>
      <c r="L101" s="4123"/>
      <c r="M101" s="4123"/>
      <c r="N101" s="4123"/>
    </row>
    <row r="102" spans="1:22" s="1097" customFormat="1" ht="12.75" customHeight="1" thickBot="1">
      <c r="A102" s="2017"/>
      <c r="E102" s="1098"/>
      <c r="F102" s="2180"/>
      <c r="G102" s="2180"/>
      <c r="H102" s="2180"/>
      <c r="I102" s="2180"/>
      <c r="J102" s="2180"/>
      <c r="K102" s="2180"/>
      <c r="L102" s="2180"/>
      <c r="M102" s="2180"/>
      <c r="N102" s="2225"/>
    </row>
    <row r="103" spans="1:22" s="280" customFormat="1" ht="10.5" hidden="1" customHeight="1" thickBot="1">
      <c r="A103" s="1901"/>
      <c r="B103" s="2180"/>
      <c r="C103" s="2182"/>
      <c r="D103" s="2182"/>
      <c r="E103" s="2180"/>
      <c r="F103" s="2180"/>
      <c r="G103" s="2180"/>
      <c r="H103" s="2180"/>
      <c r="I103" s="2180"/>
      <c r="J103" s="2180"/>
      <c r="K103" s="2180"/>
      <c r="L103" s="2180"/>
      <c r="M103" s="2180"/>
      <c r="N103" s="2226"/>
    </row>
    <row r="104" spans="1:22" s="1096" customFormat="1" ht="15.75" hidden="1" customHeight="1" thickBot="1">
      <c r="A104" s="1919"/>
      <c r="B104" s="2180"/>
      <c r="C104" s="2180"/>
      <c r="D104" s="2180"/>
      <c r="E104" s="2180"/>
      <c r="F104" s="2227">
        <v>2018</v>
      </c>
      <c r="G104" s="2227">
        <v>2019</v>
      </c>
      <c r="H104" s="2227">
        <v>2020</v>
      </c>
      <c r="I104" s="2227">
        <v>2021</v>
      </c>
      <c r="J104" s="2227">
        <v>2022</v>
      </c>
      <c r="K104" s="2227">
        <v>2023</v>
      </c>
      <c r="L104" s="2385"/>
      <c r="M104" s="2228">
        <v>2024</v>
      </c>
      <c r="N104" s="2229">
        <v>2025</v>
      </c>
      <c r="O104" s="2227">
        <v>2026</v>
      </c>
      <c r="P104" s="2227">
        <v>2027</v>
      </c>
      <c r="Q104" s="1099">
        <v>2028</v>
      </c>
      <c r="R104" s="1099">
        <v>2029</v>
      </c>
      <c r="S104" s="1099">
        <v>2030</v>
      </c>
      <c r="T104" s="1099">
        <v>2031</v>
      </c>
      <c r="U104" s="1099">
        <v>2032</v>
      </c>
    </row>
    <row r="105" spans="1:22" s="1096" customFormat="1" ht="15.75" hidden="1" customHeight="1" thickBot="1">
      <c r="A105" s="1901"/>
      <c r="B105" s="1100" t="s">
        <v>222</v>
      </c>
      <c r="C105" s="1100"/>
      <c r="D105" s="1101"/>
      <c r="E105" s="1100"/>
      <c r="F105" s="1102">
        <f>+F83+F88+F93</f>
        <v>0</v>
      </c>
      <c r="G105" s="1102">
        <f>+G83+G88+G93</f>
        <v>5147017</v>
      </c>
      <c r="H105" s="1102">
        <f>+H83+H88+H93</f>
        <v>5147017</v>
      </c>
      <c r="I105" s="1102">
        <f>+I83+I88+I93</f>
        <v>5147017</v>
      </c>
      <c r="J105" s="1102">
        <f t="shared" ref="J105" si="70">+J83+J88+J93</f>
        <v>5007017</v>
      </c>
      <c r="K105" s="1102">
        <f>+K83+K88+K93</f>
        <v>4067017</v>
      </c>
      <c r="L105" s="2386">
        <f>+L83+L88+L93</f>
        <v>0</v>
      </c>
      <c r="M105" s="1934">
        <f>4145973-78956</f>
        <v>4067017</v>
      </c>
      <c r="N105" s="1943">
        <f>4145973-78956</f>
        <v>4067017</v>
      </c>
      <c r="O105" s="1102">
        <f>4145973-78956</f>
        <v>4067017</v>
      </c>
      <c r="P105" s="1102">
        <f>4145973-78956</f>
        <v>4067017</v>
      </c>
      <c r="Q105" s="1102">
        <f>4029310-78956</f>
        <v>3950354</v>
      </c>
      <c r="R105" s="1102">
        <f>3912640-78956</f>
        <v>3833684</v>
      </c>
      <c r="S105" s="1102">
        <f>3912640-78956</f>
        <v>3833684</v>
      </c>
      <c r="T105" s="1102">
        <f>3912640-78956</f>
        <v>3833684</v>
      </c>
      <c r="U105" s="1102">
        <v>1916851</v>
      </c>
      <c r="V105" s="1102">
        <f>+M83+M88+M93</f>
        <v>58151410</v>
      </c>
    </row>
    <row r="106" spans="1:22" s="1096" customFormat="1" ht="15.75" hidden="1" customHeight="1" thickBot="1">
      <c r="A106" s="1901"/>
      <c r="B106" s="2180"/>
      <c r="C106" s="2180"/>
      <c r="D106" s="2182"/>
      <c r="E106" s="2180"/>
      <c r="F106" s="2180"/>
      <c r="G106" s="2180"/>
      <c r="H106" s="2180"/>
      <c r="I106" s="2180"/>
      <c r="J106" s="2180"/>
      <c r="K106" s="2180"/>
      <c r="L106" s="2384"/>
      <c r="M106" s="2180"/>
      <c r="N106" s="2226"/>
      <c r="U106" s="1103">
        <f>SUM(F105:U105)</f>
        <v>58151410</v>
      </c>
    </row>
    <row r="107" spans="1:22" s="1096" customFormat="1" ht="12" hidden="1" customHeight="1" thickBot="1">
      <c r="A107" s="1901"/>
      <c r="B107" s="2180"/>
      <c r="C107" s="2180"/>
      <c r="D107" s="2182"/>
      <c r="E107" s="2180"/>
      <c r="F107" s="2180"/>
      <c r="G107" s="2180"/>
      <c r="H107" s="2180"/>
      <c r="I107" s="2180"/>
      <c r="J107" s="2180"/>
      <c r="K107" s="2180"/>
      <c r="L107" s="2384"/>
      <c r="M107" s="2180"/>
      <c r="N107" s="2226"/>
      <c r="Q107" s="1103"/>
      <c r="U107" s="1103"/>
    </row>
    <row r="108" spans="1:22" s="1104" customFormat="1" ht="22.5" hidden="1" customHeight="1" thickBot="1">
      <c r="A108" s="1901"/>
      <c r="B108" s="2193" t="s">
        <v>347</v>
      </c>
      <c r="C108" s="2192"/>
      <c r="D108" s="2192"/>
      <c r="E108" s="2192"/>
      <c r="F108" s="2192"/>
      <c r="G108" s="2192"/>
      <c r="H108" s="2192"/>
      <c r="I108" s="2192"/>
      <c r="J108" s="2192"/>
      <c r="K108" s="2192"/>
      <c r="L108" s="2387"/>
      <c r="M108" s="2180"/>
      <c r="N108" s="2226"/>
      <c r="U108" s="1105">
        <f>+U106-V105</f>
        <v>0</v>
      </c>
    </row>
    <row r="109" spans="1:22" s="280" customFormat="1" ht="12.75" hidden="1" customHeight="1" thickBot="1">
      <c r="A109" s="1901"/>
      <c r="B109" s="2193" t="s">
        <v>348</v>
      </c>
      <c r="C109" s="2192"/>
      <c r="D109" s="2168">
        <f>D41</f>
        <v>1203025</v>
      </c>
      <c r="E109" s="2168">
        <f t="shared" ref="E109:K109" si="71">E41</f>
        <v>0</v>
      </c>
      <c r="F109" s="2168">
        <f t="shared" si="71"/>
        <v>59620</v>
      </c>
      <c r="G109" s="2168">
        <f t="shared" si="71"/>
        <v>627243</v>
      </c>
      <c r="H109" s="2168">
        <f t="shared" si="71"/>
        <v>448015</v>
      </c>
      <c r="I109" s="2168">
        <f t="shared" si="71"/>
        <v>68147</v>
      </c>
      <c r="J109" s="2168">
        <f t="shared" si="71"/>
        <v>0</v>
      </c>
      <c r="K109" s="2168">
        <f t="shared" si="71"/>
        <v>0</v>
      </c>
      <c r="L109" s="2388">
        <f>L41</f>
        <v>0</v>
      </c>
      <c r="M109" s="2180"/>
      <c r="N109" s="2226"/>
    </row>
    <row r="110" spans="1:22" s="280" customFormat="1" ht="12.75" hidden="1" customHeight="1">
      <c r="A110" s="1920"/>
      <c r="B110" s="2193" t="s">
        <v>349</v>
      </c>
      <c r="C110" s="2192"/>
      <c r="D110" s="2168">
        <f>D29</f>
        <v>36789795</v>
      </c>
      <c r="E110" s="2168">
        <f t="shared" ref="E110:K110" si="72">E29</f>
        <v>0</v>
      </c>
      <c r="F110" s="2168">
        <f t="shared" si="72"/>
        <v>1823249</v>
      </c>
      <c r="G110" s="2168">
        <f>G29</f>
        <v>19181603</v>
      </c>
      <c r="H110" s="2168">
        <f t="shared" si="72"/>
        <v>13700930</v>
      </c>
      <c r="I110" s="2168">
        <f t="shared" si="72"/>
        <v>2084013</v>
      </c>
      <c r="J110" s="2168">
        <f t="shared" si="72"/>
        <v>0</v>
      </c>
      <c r="K110" s="2168">
        <f t="shared" si="72"/>
        <v>0</v>
      </c>
      <c r="L110" s="2388">
        <f>L29</f>
        <v>0</v>
      </c>
      <c r="M110" s="2180"/>
      <c r="N110" s="2230"/>
    </row>
    <row r="111" spans="1:22" s="280" customFormat="1" hidden="1">
      <c r="A111" s="250"/>
      <c r="B111" s="2193" t="s">
        <v>350</v>
      </c>
      <c r="C111" s="2192"/>
      <c r="D111" s="1565">
        <f>D109+D110</f>
        <v>37992820</v>
      </c>
      <c r="E111" s="1565">
        <f t="shared" ref="E111:K111" si="73">E109+E110</f>
        <v>0</v>
      </c>
      <c r="F111" s="1565">
        <f t="shared" si="73"/>
        <v>1882869</v>
      </c>
      <c r="G111" s="1565">
        <f t="shared" si="73"/>
        <v>19808846</v>
      </c>
      <c r="H111" s="1565">
        <f t="shared" si="73"/>
        <v>14148945</v>
      </c>
      <c r="I111" s="1565">
        <f t="shared" si="73"/>
        <v>2152160</v>
      </c>
      <c r="J111" s="1565">
        <f t="shared" si="73"/>
        <v>0</v>
      </c>
      <c r="K111" s="1565">
        <f t="shared" si="73"/>
        <v>0</v>
      </c>
      <c r="L111" s="2389">
        <f>L109+L110</f>
        <v>0</v>
      </c>
      <c r="M111" s="2180"/>
      <c r="N111" s="2181"/>
    </row>
    <row r="112" spans="1:22" s="1104" customFormat="1" ht="14.25" hidden="1" customHeight="1">
      <c r="A112" s="250"/>
      <c r="B112" s="1370" t="s">
        <v>40</v>
      </c>
      <c r="C112" s="1371"/>
      <c r="D112" s="1566">
        <f t="shared" ref="D112:L112" si="74">D111-D16</f>
        <v>0</v>
      </c>
      <c r="E112" s="1566">
        <f t="shared" si="74"/>
        <v>0</v>
      </c>
      <c r="F112" s="1566">
        <f t="shared" si="74"/>
        <v>0</v>
      </c>
      <c r="G112" s="1566">
        <f t="shared" si="74"/>
        <v>0</v>
      </c>
      <c r="H112" s="1566">
        <f t="shared" si="74"/>
        <v>0</v>
      </c>
      <c r="I112" s="1566">
        <f t="shared" si="74"/>
        <v>0</v>
      </c>
      <c r="J112" s="1566">
        <f t="shared" si="74"/>
        <v>0</v>
      </c>
      <c r="K112" s="1566">
        <f t="shared" si="74"/>
        <v>0</v>
      </c>
      <c r="L112" s="2390">
        <f t="shared" si="74"/>
        <v>0</v>
      </c>
      <c r="M112" s="2180"/>
      <c r="N112" s="2181"/>
    </row>
    <row r="113" spans="1:14" s="280" customFormat="1" ht="12.75" hidden="1" customHeight="1">
      <c r="A113" s="250"/>
      <c r="B113" s="2180"/>
      <c r="C113" s="2180"/>
      <c r="D113" s="2180"/>
      <c r="E113" s="2180"/>
      <c r="F113" s="2180"/>
      <c r="G113" s="2180"/>
      <c r="H113" s="2180"/>
      <c r="I113" s="2180"/>
      <c r="J113" s="2180"/>
      <c r="K113" s="2180"/>
      <c r="L113" s="2180"/>
      <c r="M113" s="2180"/>
      <c r="N113" s="2181"/>
    </row>
    <row r="114" spans="1:14" s="280" customFormat="1" ht="12.75" hidden="1" customHeight="1">
      <c r="A114" s="250"/>
      <c r="B114" s="2180"/>
      <c r="C114" s="2180"/>
      <c r="D114" s="2180"/>
      <c r="E114" s="2180"/>
      <c r="F114" s="2180"/>
      <c r="G114" s="2180"/>
      <c r="H114" s="2180"/>
      <c r="I114" s="2180"/>
      <c r="J114" s="2180"/>
      <c r="K114" s="2180"/>
      <c r="L114" s="2180"/>
      <c r="M114" s="2180"/>
      <c r="N114" s="2181"/>
    </row>
    <row r="115" spans="1:14" s="280" customFormat="1" hidden="1">
      <c r="A115" s="250"/>
      <c r="B115" s="2180"/>
      <c r="C115" s="2180"/>
      <c r="D115" s="2180"/>
      <c r="E115" s="2180"/>
      <c r="F115" s="2180"/>
      <c r="G115" s="2180"/>
      <c r="H115" s="2180"/>
      <c r="I115" s="2180"/>
      <c r="J115" s="2180"/>
      <c r="K115" s="2180"/>
      <c r="L115" s="2180"/>
      <c r="M115" s="2180"/>
      <c r="N115" s="2181"/>
    </row>
    <row r="116" spans="1:14" s="280" customFormat="1">
      <c r="A116" s="250"/>
      <c r="B116" s="2180"/>
      <c r="C116" s="2180"/>
      <c r="D116" s="2180"/>
      <c r="E116" s="2180"/>
      <c r="F116" s="2180"/>
      <c r="G116" s="2180"/>
      <c r="H116" s="2180"/>
      <c r="I116" s="2180"/>
      <c r="J116" s="2180"/>
      <c r="K116" s="2180"/>
      <c r="L116" s="2180"/>
      <c r="M116" s="2180"/>
      <c r="N116" s="2181"/>
    </row>
    <row r="117" spans="1:14" s="1104" customFormat="1" ht="33.75" customHeight="1">
      <c r="A117" s="250"/>
      <c r="B117" s="2180"/>
      <c r="C117" s="2180"/>
      <c r="D117" s="2180"/>
      <c r="E117" s="2180"/>
      <c r="F117" s="2180"/>
      <c r="G117" s="2180"/>
      <c r="H117" s="2180"/>
      <c r="I117" s="2180"/>
      <c r="J117" s="2180"/>
      <c r="K117" s="2180"/>
      <c r="L117" s="2180"/>
      <c r="M117" s="2180"/>
      <c r="N117" s="2181"/>
    </row>
    <row r="118" spans="1:14" s="280" customFormat="1" ht="12.75" customHeight="1">
      <c r="A118" s="250"/>
      <c r="B118" s="2180"/>
      <c r="C118" s="2180"/>
      <c r="D118" s="2180"/>
      <c r="E118" s="2180"/>
      <c r="F118" s="2180"/>
      <c r="G118" s="2180"/>
      <c r="H118" s="2180"/>
      <c r="I118" s="2180"/>
      <c r="J118" s="2180"/>
      <c r="K118" s="2180"/>
      <c r="L118" s="2180"/>
      <c r="M118" s="2180"/>
      <c r="N118" s="2181"/>
    </row>
    <row r="119" spans="1:14" s="280" customFormat="1" ht="12.75" customHeight="1">
      <c r="A119" s="250"/>
      <c r="B119" s="2180"/>
      <c r="C119" s="2180"/>
      <c r="D119" s="2180"/>
      <c r="E119" s="2180"/>
      <c r="F119" s="2180"/>
      <c r="G119" s="2180"/>
      <c r="H119" s="2180"/>
      <c r="I119" s="2180"/>
      <c r="J119" s="2180"/>
      <c r="K119" s="2180"/>
      <c r="L119" s="2180"/>
      <c r="M119" s="2180"/>
      <c r="N119" s="2181"/>
    </row>
    <row r="120" spans="1:14" s="280" customFormat="1" ht="12.75" customHeight="1">
      <c r="A120" s="250"/>
      <c r="B120" s="2180"/>
      <c r="C120" s="2180"/>
      <c r="D120" s="2180"/>
      <c r="E120" s="2180"/>
      <c r="F120" s="2180"/>
      <c r="G120" s="2180"/>
      <c r="H120" s="2180"/>
      <c r="I120" s="2180"/>
      <c r="J120" s="2180"/>
      <c r="K120" s="2180"/>
      <c r="L120" s="2180"/>
      <c r="M120" s="2180"/>
      <c r="N120" s="2181"/>
    </row>
    <row r="121" spans="1:14" s="280" customFormat="1" ht="12.75" customHeight="1">
      <c r="A121" s="250"/>
      <c r="B121" s="2180"/>
      <c r="C121" s="2180"/>
      <c r="D121" s="2180"/>
      <c r="E121" s="2180"/>
      <c r="F121" s="2180"/>
      <c r="G121" s="2180"/>
      <c r="H121" s="2180"/>
      <c r="I121" s="2180"/>
      <c r="J121" s="2180"/>
      <c r="K121" s="2180"/>
      <c r="L121" s="2180"/>
      <c r="M121" s="2180"/>
      <c r="N121" s="2181"/>
    </row>
    <row r="122" spans="1:14" s="280" customFormat="1">
      <c r="A122" s="250"/>
      <c r="B122" s="2180"/>
      <c r="C122" s="2180"/>
      <c r="D122" s="2180"/>
      <c r="E122" s="2180"/>
      <c r="F122" s="2180"/>
      <c r="G122" s="2180"/>
      <c r="H122" s="2180"/>
      <c r="I122" s="2180"/>
      <c r="J122" s="2180"/>
      <c r="K122" s="2180"/>
      <c r="L122" s="2180"/>
      <c r="M122" s="2180"/>
      <c r="N122" s="2181"/>
    </row>
    <row r="123" spans="1:14" s="1104" customFormat="1" ht="12" customHeight="1">
      <c r="A123" s="250"/>
      <c r="B123" s="2180"/>
      <c r="C123" s="2180"/>
      <c r="D123" s="2180"/>
      <c r="E123" s="2180"/>
      <c r="F123" s="2180"/>
      <c r="G123" s="2180"/>
      <c r="H123" s="2180"/>
      <c r="I123" s="2180"/>
      <c r="J123" s="2180"/>
      <c r="K123" s="2180"/>
      <c r="L123" s="2180"/>
      <c r="M123" s="2180"/>
      <c r="N123" s="2181"/>
    </row>
    <row r="124" spans="1:14" s="280" customFormat="1" ht="12.75" customHeight="1">
      <c r="A124" s="250"/>
      <c r="B124" s="2180"/>
      <c r="C124" s="2180"/>
      <c r="D124" s="2180"/>
      <c r="E124" s="2180"/>
      <c r="F124" s="2180"/>
      <c r="G124" s="2180"/>
      <c r="H124" s="2180"/>
      <c r="I124" s="2180"/>
      <c r="J124" s="2180"/>
      <c r="K124" s="2180"/>
      <c r="L124" s="2180"/>
      <c r="M124" s="2180"/>
      <c r="N124" s="2181"/>
    </row>
    <row r="125" spans="1:14" s="280" customFormat="1" ht="12.75" customHeight="1">
      <c r="A125" s="250"/>
      <c r="B125" s="2180"/>
      <c r="C125" s="2180"/>
      <c r="D125" s="2180"/>
      <c r="E125" s="2180"/>
      <c r="F125" s="2180"/>
      <c r="G125" s="2180"/>
      <c r="H125" s="2180"/>
      <c r="I125" s="2180"/>
      <c r="J125" s="2180"/>
      <c r="K125" s="2180"/>
      <c r="L125" s="2180"/>
      <c r="M125" s="2180"/>
      <c r="N125" s="2181"/>
    </row>
    <row r="126" spans="1:14" s="280" customFormat="1">
      <c r="A126" s="250"/>
      <c r="B126" s="2180"/>
      <c r="C126" s="2180"/>
      <c r="D126" s="2180"/>
      <c r="E126" s="2180"/>
      <c r="F126" s="2180"/>
      <c r="G126" s="2180"/>
      <c r="H126" s="2180"/>
      <c r="I126" s="2180"/>
      <c r="J126" s="2180"/>
      <c r="K126" s="2180"/>
      <c r="L126" s="2180"/>
      <c r="M126" s="2180"/>
      <c r="N126" s="2181"/>
    </row>
    <row r="127" spans="1:14" s="280" customFormat="1">
      <c r="A127" s="250"/>
      <c r="B127" s="2180"/>
      <c r="C127" s="2180"/>
      <c r="D127" s="2180"/>
      <c r="E127" s="2180"/>
      <c r="F127" s="2180"/>
      <c r="G127" s="2180"/>
      <c r="H127" s="2180"/>
      <c r="I127" s="2180"/>
      <c r="J127" s="2180"/>
      <c r="K127" s="2180"/>
      <c r="L127" s="2180"/>
      <c r="M127" s="2180"/>
      <c r="N127" s="2181"/>
    </row>
    <row r="128" spans="1:14" s="1104" customFormat="1" ht="22.5" customHeight="1">
      <c r="A128" s="250"/>
      <c r="B128" s="2180"/>
      <c r="C128" s="2180"/>
      <c r="D128" s="2180"/>
      <c r="E128" s="2180"/>
      <c r="F128" s="2180"/>
      <c r="G128" s="2180"/>
      <c r="H128" s="2180"/>
      <c r="I128" s="2180"/>
      <c r="J128" s="2180"/>
      <c r="K128" s="2180"/>
      <c r="L128" s="2180"/>
      <c r="M128" s="2180"/>
      <c r="N128" s="2181"/>
    </row>
    <row r="129" spans="1:14" s="280" customFormat="1" ht="12.75" customHeight="1">
      <c r="A129" s="250"/>
      <c r="B129" s="2180"/>
      <c r="C129" s="2180"/>
      <c r="D129" s="2180"/>
      <c r="E129" s="2180"/>
      <c r="F129" s="2180"/>
      <c r="G129" s="2180"/>
      <c r="H129" s="2180"/>
      <c r="I129" s="2180"/>
      <c r="J129" s="2180"/>
      <c r="K129" s="2180"/>
      <c r="L129" s="2180"/>
      <c r="M129" s="2180"/>
      <c r="N129" s="2181"/>
    </row>
    <row r="130" spans="1:14" s="280" customFormat="1" ht="12.75" customHeight="1">
      <c r="A130" s="250"/>
      <c r="B130" s="2180"/>
      <c r="C130" s="2180"/>
      <c r="D130" s="2180"/>
      <c r="E130" s="2180"/>
      <c r="F130" s="2180"/>
      <c r="G130" s="2180"/>
      <c r="H130" s="2180"/>
      <c r="I130" s="2180"/>
      <c r="J130" s="2180"/>
      <c r="K130" s="2180"/>
      <c r="L130" s="2180"/>
      <c r="M130" s="2180"/>
      <c r="N130" s="2181"/>
    </row>
    <row r="131" spans="1:14" s="280" customFormat="1">
      <c r="A131" s="250"/>
      <c r="B131" s="2180"/>
      <c r="C131" s="2180"/>
      <c r="D131" s="2180"/>
      <c r="E131" s="2180"/>
      <c r="F131" s="2180"/>
      <c r="G131" s="2180"/>
      <c r="H131" s="2180"/>
      <c r="I131" s="2180"/>
      <c r="J131" s="2180"/>
      <c r="K131" s="2180"/>
      <c r="L131" s="2180"/>
      <c r="M131" s="2180"/>
      <c r="N131" s="2181"/>
    </row>
    <row r="132" spans="1:14" s="280" customFormat="1">
      <c r="A132" s="250"/>
      <c r="B132" s="2180"/>
      <c r="C132" s="2180"/>
      <c r="D132" s="2180"/>
      <c r="E132" s="2180"/>
      <c r="F132" s="2180"/>
      <c r="G132" s="2180"/>
      <c r="H132" s="2180"/>
      <c r="I132" s="2180"/>
      <c r="J132" s="2180"/>
      <c r="K132" s="2180"/>
      <c r="L132" s="2180"/>
      <c r="M132" s="2180"/>
      <c r="N132" s="2181"/>
    </row>
    <row r="133" spans="1:14" s="1104" customFormat="1" ht="15" customHeight="1">
      <c r="A133" s="250"/>
      <c r="B133" s="2180"/>
      <c r="C133" s="2180"/>
      <c r="D133" s="2180"/>
      <c r="E133" s="2180"/>
      <c r="F133" s="2180"/>
      <c r="G133" s="2180"/>
      <c r="H133" s="2180"/>
      <c r="I133" s="2180"/>
      <c r="J133" s="2180"/>
      <c r="K133" s="2180"/>
      <c r="L133" s="2180"/>
      <c r="M133" s="2180"/>
      <c r="N133" s="2181"/>
    </row>
    <row r="134" spans="1:14" s="280" customFormat="1" ht="12.75" customHeight="1">
      <c r="A134" s="250"/>
      <c r="B134" s="2180"/>
      <c r="C134" s="2180"/>
      <c r="D134" s="2180"/>
      <c r="E134" s="2180"/>
      <c r="F134" s="2180"/>
      <c r="G134" s="2180"/>
      <c r="H134" s="2180"/>
      <c r="I134" s="2180"/>
      <c r="J134" s="2180"/>
      <c r="K134" s="2180"/>
      <c r="L134" s="2180"/>
      <c r="M134" s="2180"/>
      <c r="N134" s="2181"/>
    </row>
    <row r="135" spans="1:14" s="280" customFormat="1" ht="12.75" customHeight="1">
      <c r="A135" s="250"/>
      <c r="B135" s="2180"/>
      <c r="C135" s="2180"/>
      <c r="D135" s="2180"/>
      <c r="E135" s="2180"/>
      <c r="F135" s="2180"/>
      <c r="G135" s="2180"/>
      <c r="H135" s="2180"/>
      <c r="I135" s="2180"/>
      <c r="J135" s="2180"/>
      <c r="K135" s="2180"/>
      <c r="L135" s="2180"/>
      <c r="M135" s="2180"/>
      <c r="N135" s="2181"/>
    </row>
    <row r="136" spans="1:14" s="280" customFormat="1">
      <c r="A136" s="250"/>
      <c r="B136" s="2180"/>
      <c r="C136" s="2180"/>
      <c r="D136" s="2180"/>
      <c r="E136" s="2180"/>
      <c r="F136" s="2180"/>
      <c r="G136" s="2180"/>
      <c r="H136" s="2180"/>
      <c r="I136" s="2180"/>
      <c r="J136" s="2180"/>
      <c r="K136" s="2180"/>
      <c r="L136" s="2180"/>
      <c r="M136" s="2180"/>
      <c r="N136" s="2181"/>
    </row>
    <row r="137" spans="1:14" s="280" customFormat="1">
      <c r="A137" s="250"/>
      <c r="B137" s="2180"/>
      <c r="C137" s="2180"/>
      <c r="D137" s="2180"/>
      <c r="E137" s="2180"/>
      <c r="F137" s="2180"/>
      <c r="G137" s="2180"/>
      <c r="H137" s="2180"/>
      <c r="I137" s="2180"/>
      <c r="J137" s="2180"/>
      <c r="K137" s="2180"/>
      <c r="L137" s="2180"/>
      <c r="M137" s="2180"/>
      <c r="N137" s="2181"/>
    </row>
    <row r="138" spans="1:14" s="1104" customFormat="1" ht="13.5" customHeight="1">
      <c r="A138" s="250"/>
      <c r="B138" s="2180"/>
      <c r="C138" s="2180"/>
      <c r="D138" s="2180"/>
      <c r="E138" s="2180"/>
      <c r="F138" s="2180"/>
      <c r="G138" s="2180"/>
      <c r="H138" s="2180"/>
      <c r="I138" s="2180"/>
      <c r="J138" s="2180"/>
      <c r="K138" s="2180"/>
      <c r="L138" s="2180"/>
      <c r="M138" s="2180"/>
      <c r="N138" s="2181"/>
    </row>
    <row r="139" spans="1:14" s="280" customFormat="1" ht="12.75" customHeight="1">
      <c r="A139" s="250"/>
      <c r="B139" s="2180"/>
      <c r="C139" s="2180"/>
      <c r="D139" s="2180"/>
      <c r="E139" s="2180"/>
      <c r="F139" s="2180"/>
      <c r="G139" s="2180"/>
      <c r="H139" s="2180"/>
      <c r="I139" s="2180"/>
      <c r="J139" s="2180"/>
      <c r="K139" s="2180"/>
      <c r="L139" s="2180"/>
      <c r="M139" s="2180"/>
      <c r="N139" s="2181"/>
    </row>
    <row r="140" spans="1:14" s="280" customFormat="1" ht="12.75" customHeight="1">
      <c r="A140" s="250"/>
      <c r="B140" s="2180"/>
      <c r="C140" s="2180"/>
      <c r="D140" s="2180"/>
      <c r="E140" s="2180"/>
      <c r="F140" s="2180"/>
      <c r="G140" s="2180"/>
      <c r="H140" s="2180"/>
      <c r="I140" s="2180"/>
      <c r="J140" s="2180"/>
      <c r="K140" s="2180"/>
      <c r="L140" s="2180"/>
      <c r="M140" s="2180"/>
      <c r="N140" s="2181"/>
    </row>
    <row r="141" spans="1:14" s="280" customFormat="1">
      <c r="A141" s="250"/>
      <c r="B141" s="2180"/>
      <c r="C141" s="2180"/>
      <c r="D141" s="2180"/>
      <c r="E141" s="2180"/>
      <c r="F141" s="2180"/>
      <c r="G141" s="2180"/>
      <c r="H141" s="2180"/>
      <c r="I141" s="2180"/>
      <c r="J141" s="2180"/>
      <c r="K141" s="2180"/>
      <c r="L141" s="2180"/>
      <c r="M141" s="2180"/>
      <c r="N141" s="2181"/>
    </row>
    <row r="142" spans="1:14" s="280" customFormat="1">
      <c r="A142" s="250"/>
      <c r="B142" s="2180"/>
      <c r="C142" s="2180"/>
      <c r="D142" s="2180"/>
      <c r="E142" s="2180"/>
      <c r="F142" s="2180"/>
      <c r="G142" s="2180"/>
      <c r="H142" s="2180"/>
      <c r="I142" s="2180"/>
      <c r="J142" s="2180"/>
      <c r="K142" s="2180"/>
      <c r="L142" s="2180"/>
      <c r="M142" s="2180"/>
      <c r="N142" s="2181"/>
    </row>
    <row r="143" spans="1:14" s="280" customFormat="1">
      <c r="A143" s="250"/>
      <c r="B143" s="2180"/>
      <c r="C143" s="2180"/>
      <c r="D143" s="2180"/>
      <c r="E143" s="2180"/>
      <c r="F143" s="2180"/>
      <c r="G143" s="2180"/>
      <c r="H143" s="2180"/>
      <c r="I143" s="2180"/>
      <c r="J143" s="2180"/>
      <c r="K143" s="2180"/>
      <c r="L143" s="2180"/>
      <c r="M143" s="2180"/>
      <c r="N143" s="2181"/>
    </row>
    <row r="144" spans="1:14" s="1104" customFormat="1" ht="22.5" customHeight="1">
      <c r="A144" s="250"/>
      <c r="B144" s="2180"/>
      <c r="C144" s="2180"/>
      <c r="D144" s="2180"/>
      <c r="E144" s="2180"/>
      <c r="F144" s="2180"/>
      <c r="G144" s="2180"/>
      <c r="H144" s="2180"/>
      <c r="I144" s="2180"/>
      <c r="J144" s="2180"/>
      <c r="K144" s="2180"/>
      <c r="L144" s="2180"/>
      <c r="M144" s="2180"/>
      <c r="N144" s="2181"/>
    </row>
    <row r="145" spans="1:14" s="280" customFormat="1" ht="12.75" customHeight="1">
      <c r="A145" s="250"/>
      <c r="B145" s="2180"/>
      <c r="C145" s="2180"/>
      <c r="D145" s="2180"/>
      <c r="E145" s="2180"/>
      <c r="F145" s="2180"/>
      <c r="G145" s="2180"/>
      <c r="H145" s="2180"/>
      <c r="I145" s="2180"/>
      <c r="J145" s="2180"/>
      <c r="K145" s="2180"/>
      <c r="L145" s="2180"/>
      <c r="M145" s="2180"/>
      <c r="N145" s="2181"/>
    </row>
    <row r="146" spans="1:14" s="280" customFormat="1" ht="12.75" customHeight="1">
      <c r="A146" s="250"/>
      <c r="B146" s="2180"/>
      <c r="C146" s="2180"/>
      <c r="D146" s="2180"/>
      <c r="E146" s="2180"/>
      <c r="F146" s="2180"/>
      <c r="G146" s="2180"/>
      <c r="H146" s="2180"/>
      <c r="I146" s="2180"/>
      <c r="J146" s="2180"/>
      <c r="K146" s="2180"/>
      <c r="L146" s="2180"/>
      <c r="M146" s="2180"/>
      <c r="N146" s="2181"/>
    </row>
    <row r="147" spans="1:14" s="280" customFormat="1">
      <c r="A147" s="250"/>
      <c r="B147" s="2180"/>
      <c r="C147" s="2180"/>
      <c r="D147" s="2180"/>
      <c r="E147" s="2180"/>
      <c r="F147" s="2180"/>
      <c r="G147" s="2180"/>
      <c r="H147" s="2180"/>
      <c r="I147" s="2180"/>
      <c r="J147" s="2180"/>
      <c r="K147" s="2180"/>
      <c r="L147" s="2180"/>
      <c r="M147" s="2180"/>
      <c r="N147" s="2181"/>
    </row>
    <row r="148" spans="1:14" s="280" customFormat="1">
      <c r="A148" s="250"/>
      <c r="B148" s="2180"/>
      <c r="C148" s="2180"/>
      <c r="D148" s="2180"/>
      <c r="E148" s="2180"/>
      <c r="F148" s="2180"/>
      <c r="G148" s="2180"/>
      <c r="H148" s="2180"/>
      <c r="I148" s="2180"/>
      <c r="J148" s="2180"/>
      <c r="K148" s="2180"/>
      <c r="L148" s="2180"/>
      <c r="M148" s="2180"/>
      <c r="N148" s="2181"/>
    </row>
    <row r="149" spans="1:14" s="1104" customFormat="1" ht="12.75" customHeight="1">
      <c r="A149" s="250"/>
      <c r="B149" s="2180"/>
      <c r="C149" s="2180"/>
      <c r="D149" s="2180"/>
      <c r="E149" s="2180"/>
      <c r="F149" s="2180"/>
      <c r="G149" s="2180"/>
      <c r="H149" s="2180"/>
      <c r="I149" s="2180"/>
      <c r="J149" s="2180"/>
      <c r="K149" s="2180"/>
      <c r="L149" s="2180"/>
      <c r="M149" s="2180"/>
      <c r="N149" s="2181"/>
    </row>
    <row r="150" spans="1:14" s="280" customFormat="1" ht="9.75" customHeight="1">
      <c r="A150" s="250"/>
      <c r="B150" s="2180"/>
      <c r="C150" s="2180"/>
      <c r="D150" s="2180"/>
      <c r="E150" s="2180"/>
      <c r="F150" s="2180"/>
      <c r="G150" s="2180"/>
      <c r="H150" s="2180"/>
      <c r="I150" s="2180"/>
      <c r="J150" s="2180"/>
      <c r="K150" s="2180"/>
      <c r="L150" s="2180"/>
      <c r="M150" s="2180"/>
      <c r="N150" s="2181"/>
    </row>
    <row r="151" spans="1:14" s="280" customFormat="1" ht="12.75" customHeight="1">
      <c r="A151" s="250"/>
      <c r="B151" s="2180"/>
      <c r="C151" s="2180"/>
      <c r="D151" s="2180"/>
      <c r="E151" s="2180"/>
      <c r="F151" s="2180"/>
      <c r="G151" s="2180"/>
      <c r="H151" s="2180"/>
      <c r="I151" s="2180"/>
      <c r="J151" s="2180"/>
      <c r="K151" s="2180"/>
      <c r="L151" s="2180"/>
      <c r="M151" s="2180"/>
      <c r="N151" s="2181"/>
    </row>
    <row r="152" spans="1:14" s="280" customFormat="1">
      <c r="A152" s="250"/>
      <c r="B152" s="2180"/>
      <c r="C152" s="2180"/>
      <c r="D152" s="2180"/>
      <c r="E152" s="2180"/>
      <c r="F152" s="2180"/>
      <c r="G152" s="2180"/>
      <c r="H152" s="2180"/>
      <c r="I152" s="2180"/>
      <c r="J152" s="2180"/>
      <c r="K152" s="2180"/>
      <c r="L152" s="2180"/>
      <c r="M152" s="2180"/>
      <c r="N152" s="2181"/>
    </row>
    <row r="153" spans="1:14" s="280" customFormat="1">
      <c r="A153" s="250"/>
      <c r="B153" s="2180"/>
      <c r="C153" s="2180"/>
      <c r="D153" s="2180"/>
      <c r="E153" s="2180"/>
      <c r="F153" s="2180"/>
      <c r="G153" s="2180"/>
      <c r="H153" s="2180"/>
      <c r="I153" s="2180"/>
      <c r="J153" s="2180"/>
      <c r="K153" s="2180"/>
      <c r="L153" s="2180"/>
      <c r="M153" s="2180"/>
      <c r="N153" s="2181"/>
    </row>
    <row r="154" spans="1:14" s="1104" customFormat="1" ht="13.5" customHeight="1">
      <c r="A154" s="250"/>
      <c r="B154" s="2180"/>
      <c r="C154" s="2180"/>
      <c r="D154" s="2180"/>
      <c r="E154" s="2180"/>
      <c r="F154" s="2180"/>
      <c r="G154" s="2180"/>
      <c r="H154" s="2180"/>
      <c r="I154" s="2180"/>
      <c r="J154" s="2180"/>
      <c r="K154" s="2180"/>
      <c r="L154" s="2180"/>
      <c r="M154" s="2180"/>
      <c r="N154" s="2181"/>
    </row>
    <row r="155" spans="1:14" s="280" customFormat="1" ht="9.75" customHeight="1">
      <c r="A155" s="250"/>
      <c r="B155" s="2180"/>
      <c r="C155" s="2180"/>
      <c r="D155" s="2180"/>
      <c r="E155" s="2180"/>
      <c r="F155" s="2180"/>
      <c r="G155" s="2180"/>
      <c r="H155" s="2180"/>
      <c r="I155" s="2180"/>
      <c r="J155" s="2180"/>
      <c r="K155" s="2180"/>
      <c r="L155" s="2180"/>
      <c r="M155" s="2180"/>
      <c r="N155" s="2181"/>
    </row>
    <row r="156" spans="1:14" s="280" customFormat="1" ht="12.75" customHeight="1">
      <c r="A156" s="250"/>
      <c r="B156" s="2180"/>
      <c r="C156" s="2180"/>
      <c r="D156" s="2180"/>
      <c r="E156" s="2180"/>
      <c r="F156" s="2180"/>
      <c r="G156" s="2180"/>
      <c r="H156" s="2180"/>
      <c r="I156" s="2180"/>
      <c r="J156" s="2180"/>
      <c r="K156" s="2180"/>
      <c r="L156" s="2180"/>
      <c r="M156" s="2180"/>
      <c r="N156" s="2181"/>
    </row>
    <row r="157" spans="1:14" s="280" customFormat="1">
      <c r="A157" s="250"/>
      <c r="B157" s="2180"/>
      <c r="C157" s="2180"/>
      <c r="D157" s="2180"/>
      <c r="E157" s="2180"/>
      <c r="F157" s="2180"/>
      <c r="G157" s="2180"/>
      <c r="H157" s="2180"/>
      <c r="I157" s="2180"/>
      <c r="J157" s="2180"/>
      <c r="K157" s="2180"/>
      <c r="L157" s="2180"/>
      <c r="M157" s="2180"/>
      <c r="N157" s="2181"/>
    </row>
    <row r="158" spans="1:14" s="280" customFormat="1">
      <c r="A158" s="250"/>
      <c r="B158" s="2180"/>
      <c r="C158" s="2180"/>
      <c r="D158" s="2180"/>
      <c r="E158" s="2180"/>
      <c r="F158" s="2180"/>
      <c r="G158" s="2180"/>
      <c r="H158" s="2180"/>
      <c r="I158" s="2180"/>
      <c r="J158" s="2180"/>
      <c r="K158" s="2180"/>
      <c r="L158" s="2180"/>
      <c r="M158" s="2180"/>
      <c r="N158" s="2181"/>
    </row>
    <row r="159" spans="1:14" s="280" customFormat="1">
      <c r="A159" s="250"/>
      <c r="B159" s="2180"/>
      <c r="C159" s="2180"/>
      <c r="D159" s="2180"/>
      <c r="E159" s="2180"/>
      <c r="F159" s="2180"/>
      <c r="G159" s="2180"/>
      <c r="H159" s="2180"/>
      <c r="I159" s="2180"/>
      <c r="J159" s="2180"/>
      <c r="K159" s="2180"/>
      <c r="L159" s="2180"/>
      <c r="M159" s="2180"/>
      <c r="N159" s="2181"/>
    </row>
    <row r="160" spans="1:14" s="280" customFormat="1">
      <c r="A160" s="250"/>
      <c r="B160" s="2180"/>
      <c r="C160" s="2180"/>
      <c r="D160" s="2180"/>
      <c r="E160" s="2180"/>
      <c r="F160" s="2180"/>
      <c r="G160" s="2180"/>
      <c r="H160" s="2180"/>
      <c r="I160" s="2180"/>
      <c r="J160" s="2180"/>
      <c r="K160" s="2180"/>
      <c r="L160" s="2180"/>
      <c r="M160" s="2180"/>
      <c r="N160" s="2181"/>
    </row>
    <row r="161" spans="1:14" s="280" customFormat="1">
      <c r="A161" s="250"/>
      <c r="B161" s="2180"/>
      <c r="C161" s="2180"/>
      <c r="D161" s="2180"/>
      <c r="E161" s="2180"/>
      <c r="F161" s="2180"/>
      <c r="G161" s="2180"/>
      <c r="H161" s="2180"/>
      <c r="I161" s="2180"/>
      <c r="J161" s="2180"/>
      <c r="K161" s="2180"/>
      <c r="L161" s="2180"/>
      <c r="M161" s="2180"/>
      <c r="N161" s="2181"/>
    </row>
    <row r="162" spans="1:14" s="1104" customFormat="1" ht="22.5" customHeight="1">
      <c r="A162" s="250"/>
      <c r="B162" s="2180"/>
      <c r="C162" s="2180"/>
      <c r="D162" s="2180"/>
      <c r="E162" s="2180"/>
      <c r="F162" s="2180"/>
      <c r="G162" s="2180"/>
      <c r="H162" s="2180"/>
      <c r="I162" s="2180"/>
      <c r="J162" s="2180"/>
      <c r="K162" s="2180"/>
      <c r="L162" s="2180"/>
      <c r="M162" s="2180"/>
      <c r="N162" s="2181"/>
    </row>
    <row r="163" spans="1:14" s="280" customFormat="1" ht="12.75" customHeight="1">
      <c r="A163" s="250"/>
      <c r="B163" s="2180"/>
      <c r="C163" s="2180"/>
      <c r="D163" s="2180"/>
      <c r="E163" s="2180"/>
      <c r="F163" s="2180"/>
      <c r="G163" s="2180"/>
      <c r="H163" s="2180"/>
      <c r="I163" s="2180"/>
      <c r="J163" s="2180"/>
      <c r="K163" s="2180"/>
      <c r="L163" s="2180"/>
      <c r="M163" s="2180"/>
      <c r="N163" s="2181"/>
    </row>
    <row r="164" spans="1:14" s="280" customFormat="1" ht="12.75" customHeight="1">
      <c r="A164" s="250"/>
      <c r="B164" s="2180"/>
      <c r="C164" s="2180"/>
      <c r="D164" s="2180"/>
      <c r="E164" s="2180"/>
      <c r="F164" s="2180"/>
      <c r="G164" s="2180"/>
      <c r="H164" s="2180"/>
      <c r="I164" s="2180"/>
      <c r="J164" s="2180"/>
      <c r="K164" s="2180"/>
      <c r="L164" s="2180"/>
      <c r="M164" s="2180"/>
      <c r="N164" s="2181"/>
    </row>
    <row r="165" spans="1:14" s="280" customFormat="1" ht="13.5" thickBot="1">
      <c r="A165" s="1678"/>
      <c r="B165" s="2183"/>
      <c r="C165" s="2183"/>
      <c r="D165" s="2183"/>
      <c r="E165" s="2183"/>
      <c r="F165" s="2183"/>
      <c r="G165" s="2183"/>
      <c r="H165" s="2183"/>
      <c r="I165" s="2183"/>
      <c r="J165" s="2183"/>
      <c r="K165" s="2183"/>
      <c r="L165" s="2183"/>
      <c r="M165" s="2183"/>
      <c r="N165" s="2184"/>
    </row>
    <row r="166" spans="1:14" s="280" customFormat="1">
      <c r="A166" s="250"/>
      <c r="B166" s="2180"/>
      <c r="C166" s="2180"/>
      <c r="D166" s="2180"/>
      <c r="E166" s="2180"/>
      <c r="F166" s="2180"/>
      <c r="G166" s="2180"/>
      <c r="H166" s="2180"/>
      <c r="I166" s="2180"/>
      <c r="J166" s="2180"/>
      <c r="K166" s="2180"/>
      <c r="L166" s="2180"/>
      <c r="M166" s="2180"/>
      <c r="N166" s="2181"/>
    </row>
    <row r="167" spans="1:14" s="1104" customFormat="1" ht="34.5" customHeight="1">
      <c r="A167" s="250"/>
      <c r="B167" s="2180"/>
      <c r="C167" s="2180"/>
      <c r="D167" s="2180"/>
      <c r="E167" s="2180"/>
      <c r="F167" s="2180"/>
      <c r="G167" s="2180"/>
      <c r="H167" s="2180"/>
      <c r="I167" s="2180"/>
      <c r="J167" s="2180"/>
      <c r="K167" s="2180"/>
      <c r="L167" s="2180"/>
      <c r="M167" s="2180"/>
      <c r="N167" s="2181"/>
    </row>
    <row r="168" spans="1:14" s="280" customFormat="1" ht="14.25" customHeight="1">
      <c r="A168" s="250"/>
      <c r="B168" s="2180"/>
      <c r="C168" s="2180"/>
      <c r="D168" s="2180"/>
      <c r="E168" s="2180"/>
      <c r="F168" s="2180"/>
      <c r="G168" s="2180"/>
      <c r="H168" s="2180"/>
      <c r="I168" s="2180"/>
      <c r="J168" s="2180"/>
      <c r="K168" s="2180"/>
      <c r="L168" s="2180"/>
      <c r="M168" s="2180"/>
      <c r="N168" s="2181"/>
    </row>
    <row r="169" spans="1:14" s="280" customFormat="1" ht="12.75" customHeight="1">
      <c r="A169" s="250"/>
      <c r="B169" s="2180"/>
      <c r="C169" s="2180"/>
      <c r="D169" s="2180"/>
      <c r="E169" s="2180"/>
      <c r="F169" s="2180"/>
      <c r="G169" s="2180"/>
      <c r="H169" s="2180"/>
      <c r="I169" s="2180"/>
      <c r="J169" s="2180"/>
      <c r="K169" s="2180"/>
      <c r="L169" s="2180"/>
      <c r="M169" s="2180"/>
      <c r="N169" s="2181"/>
    </row>
    <row r="170" spans="1:14" s="280" customFormat="1">
      <c r="A170" s="250"/>
      <c r="B170" s="2180"/>
      <c r="C170" s="2180"/>
      <c r="D170" s="2180"/>
      <c r="E170" s="2180"/>
      <c r="F170" s="2180"/>
      <c r="G170" s="2180"/>
      <c r="H170" s="2180"/>
      <c r="I170" s="2180"/>
      <c r="J170" s="2180"/>
      <c r="K170" s="2180"/>
      <c r="L170" s="2180"/>
      <c r="M170" s="2180"/>
      <c r="N170" s="2181"/>
    </row>
    <row r="171" spans="1:14" s="280" customFormat="1" ht="13.5" thickBot="1">
      <c r="A171" s="1678"/>
      <c r="B171" s="2180"/>
      <c r="C171" s="2180"/>
      <c r="D171" s="2180"/>
      <c r="E171" s="2180"/>
      <c r="F171" s="2180"/>
      <c r="G171" s="2180"/>
      <c r="H171" s="2180"/>
      <c r="I171" s="2180"/>
      <c r="J171" s="2180"/>
      <c r="K171" s="2180"/>
      <c r="L171" s="2180"/>
      <c r="M171" s="2180"/>
      <c r="N171" s="2181"/>
    </row>
    <row r="172" spans="1:14" s="280" customFormat="1" ht="13.5" thickBot="1">
      <c r="A172" s="1901"/>
      <c r="B172" s="2180"/>
      <c r="C172" s="2180"/>
      <c r="D172" s="2180"/>
      <c r="E172" s="2180"/>
      <c r="F172" s="2180"/>
      <c r="G172" s="2180"/>
      <c r="H172" s="2180"/>
      <c r="I172" s="2180"/>
      <c r="J172" s="2180"/>
      <c r="K172" s="2180"/>
      <c r="L172" s="2180"/>
      <c r="M172" s="2180"/>
      <c r="N172" s="2181"/>
    </row>
    <row r="173" spans="1:14" s="1104" customFormat="1" ht="36.75" customHeight="1" thickBot="1">
      <c r="A173" s="1901"/>
      <c r="B173" s="2180"/>
      <c r="C173" s="2180"/>
      <c r="D173" s="2180"/>
      <c r="E173" s="2180"/>
      <c r="F173" s="2180"/>
      <c r="G173" s="2180"/>
      <c r="H173" s="2180"/>
      <c r="I173" s="2180"/>
      <c r="J173" s="2180"/>
      <c r="K173" s="2180"/>
      <c r="L173" s="2180"/>
      <c r="M173" s="2180"/>
      <c r="N173" s="2181"/>
    </row>
    <row r="174" spans="1:14" s="280" customFormat="1" ht="9.75" customHeight="1" thickBot="1">
      <c r="A174" s="1901"/>
      <c r="B174" s="2180"/>
      <c r="C174" s="2180"/>
      <c r="D174" s="2180"/>
      <c r="E174" s="2180"/>
      <c r="F174" s="2180"/>
      <c r="G174" s="2180"/>
      <c r="H174" s="2180"/>
      <c r="I174" s="2180"/>
      <c r="J174" s="2180"/>
      <c r="K174" s="2180"/>
      <c r="L174" s="2180"/>
      <c r="M174" s="2180"/>
      <c r="N174" s="2181"/>
    </row>
    <row r="175" spans="1:14" s="280" customFormat="1" ht="12.75" customHeight="1" thickBot="1">
      <c r="A175" s="1901"/>
      <c r="B175" s="2180"/>
      <c r="C175" s="2180"/>
      <c r="D175" s="2180"/>
      <c r="E175" s="2180"/>
      <c r="F175" s="2180"/>
      <c r="G175" s="2180"/>
      <c r="H175" s="2180"/>
      <c r="I175" s="2180"/>
      <c r="J175" s="2180"/>
      <c r="K175" s="2180"/>
      <c r="L175" s="2180"/>
      <c r="M175" s="2180"/>
      <c r="N175" s="2181"/>
    </row>
    <row r="176" spans="1:14" s="280" customFormat="1" ht="13.5" thickBot="1">
      <c r="A176" s="1901"/>
      <c r="B176" s="2180"/>
      <c r="C176" s="2180"/>
      <c r="D176" s="2180"/>
      <c r="E176" s="2180"/>
      <c r="F176" s="2180"/>
      <c r="G176" s="2180"/>
      <c r="H176" s="2180"/>
      <c r="I176" s="2180"/>
      <c r="J176" s="2180"/>
      <c r="K176" s="2180"/>
      <c r="L176" s="2180"/>
      <c r="M176" s="2180"/>
      <c r="N176" s="2181"/>
    </row>
    <row r="177" spans="1:14" s="280" customFormat="1" ht="13.5" thickBot="1">
      <c r="A177" s="1901"/>
      <c r="B177" s="2180"/>
      <c r="C177" s="2180"/>
      <c r="D177" s="2180"/>
      <c r="E177" s="2180"/>
      <c r="F177" s="2180"/>
      <c r="G177" s="2180"/>
      <c r="H177" s="2180"/>
      <c r="I177" s="2180"/>
      <c r="J177" s="2180"/>
      <c r="K177" s="2180"/>
      <c r="L177" s="2180"/>
      <c r="M177" s="2180"/>
      <c r="N177" s="2181"/>
    </row>
    <row r="178" spans="1:14" s="280" customFormat="1" ht="13.5" thickBot="1">
      <c r="A178" s="1901"/>
      <c r="B178" s="2180"/>
      <c r="C178" s="2180"/>
      <c r="D178" s="2180"/>
      <c r="E178" s="2180"/>
      <c r="F178" s="2180"/>
      <c r="G178" s="2180"/>
      <c r="H178" s="2180"/>
      <c r="I178" s="2180"/>
      <c r="J178" s="2180"/>
      <c r="K178" s="2180"/>
      <c r="L178" s="2180"/>
      <c r="M178" s="2180"/>
      <c r="N178" s="2181"/>
    </row>
    <row r="179" spans="1:14" s="1104" customFormat="1" ht="33.75" customHeight="1" thickBot="1">
      <c r="A179" s="1901"/>
      <c r="B179" s="2180"/>
      <c r="C179" s="2180"/>
      <c r="D179" s="2180"/>
      <c r="E179" s="2180"/>
      <c r="F179" s="2180"/>
      <c r="G179" s="2180"/>
      <c r="H179" s="2180"/>
      <c r="I179" s="2180"/>
      <c r="J179" s="2180"/>
      <c r="K179" s="2180"/>
      <c r="L179" s="2180"/>
      <c r="M179" s="2180"/>
      <c r="N179" s="2181"/>
    </row>
    <row r="180" spans="1:14" s="280" customFormat="1" ht="9.75" customHeight="1" thickBot="1">
      <c r="A180" s="1901"/>
      <c r="B180" s="2180"/>
      <c r="C180" s="2180"/>
      <c r="D180" s="2180"/>
      <c r="E180" s="2180"/>
      <c r="F180" s="2180"/>
      <c r="G180" s="2180"/>
      <c r="H180" s="2180"/>
      <c r="I180" s="2180"/>
      <c r="J180" s="2180"/>
      <c r="K180" s="2180"/>
      <c r="L180" s="2180"/>
      <c r="M180" s="2180"/>
      <c r="N180" s="2181"/>
    </row>
    <row r="181" spans="1:14" s="280" customFormat="1" ht="12.75" customHeight="1" thickBot="1">
      <c r="A181" s="1901"/>
      <c r="B181" s="2180"/>
      <c r="C181" s="2180"/>
      <c r="D181" s="2180"/>
      <c r="E181" s="2180"/>
      <c r="F181" s="2180"/>
      <c r="G181" s="2180"/>
      <c r="H181" s="2180"/>
      <c r="I181" s="2180"/>
      <c r="J181" s="2180"/>
      <c r="K181" s="2180"/>
      <c r="L181" s="2180"/>
      <c r="M181" s="2180"/>
      <c r="N181" s="2181"/>
    </row>
    <row r="182" spans="1:14" s="280" customFormat="1" ht="13.5" thickBot="1">
      <c r="A182" s="1901"/>
      <c r="B182" s="2183"/>
      <c r="C182" s="2180"/>
      <c r="D182" s="2180"/>
      <c r="E182" s="2180"/>
      <c r="F182" s="2180"/>
      <c r="G182" s="2180"/>
      <c r="H182" s="2180"/>
      <c r="I182" s="2180"/>
      <c r="J182" s="2180"/>
      <c r="K182" s="2180"/>
      <c r="L182" s="2180"/>
      <c r="M182" s="2180"/>
      <c r="N182" s="2181"/>
    </row>
    <row r="183" spans="1:14" s="280" customFormat="1" ht="13.5" thickBot="1">
      <c r="A183" s="1901"/>
      <c r="B183" s="2187"/>
      <c r="C183" s="2180"/>
      <c r="D183" s="2180"/>
      <c r="E183" s="2180"/>
      <c r="F183" s="2180"/>
      <c r="G183" s="2180"/>
      <c r="H183" s="2180"/>
      <c r="I183" s="2180"/>
      <c r="J183" s="2180"/>
      <c r="K183" s="2180"/>
      <c r="L183" s="2180"/>
      <c r="M183" s="2180"/>
      <c r="N183" s="2181"/>
    </row>
    <row r="184" spans="1:14" s="280" customFormat="1" ht="13.5" thickBot="1">
      <c r="A184" s="1901"/>
      <c r="B184" s="2180"/>
      <c r="C184" s="2180"/>
      <c r="D184" s="2180"/>
      <c r="E184" s="2180"/>
      <c r="F184" s="2180"/>
      <c r="G184" s="2180"/>
      <c r="H184" s="2180"/>
      <c r="I184" s="2180"/>
      <c r="J184" s="2180"/>
      <c r="K184" s="2180"/>
      <c r="L184" s="2180"/>
      <c r="M184" s="2180"/>
      <c r="N184" s="2181"/>
    </row>
    <row r="185" spans="1:14" s="280" customFormat="1" ht="13.5" thickBot="1">
      <c r="A185" s="1901"/>
      <c r="B185" s="2180"/>
      <c r="C185" s="2180"/>
      <c r="D185" s="2180"/>
      <c r="E185" s="2180"/>
      <c r="F185" s="2180"/>
      <c r="G185" s="2180"/>
      <c r="H185" s="2180"/>
      <c r="I185" s="2180"/>
      <c r="J185" s="2180"/>
      <c r="K185" s="2180"/>
      <c r="L185" s="2180"/>
      <c r="M185" s="2180"/>
      <c r="N185" s="2181"/>
    </row>
    <row r="186" spans="1:14" s="1106" customFormat="1" ht="14.25" customHeight="1" thickBot="1">
      <c r="A186" s="1901"/>
      <c r="B186" s="2180"/>
      <c r="C186" s="2180"/>
      <c r="D186" s="2180"/>
      <c r="E186" s="2180"/>
      <c r="F186" s="2180"/>
      <c r="G186" s="2180"/>
      <c r="H186" s="2180"/>
      <c r="I186" s="2180"/>
      <c r="J186" s="2180"/>
      <c r="K186" s="2180"/>
      <c r="L186" s="2180"/>
      <c r="M186" s="2180"/>
      <c r="N186" s="2181"/>
    </row>
    <row r="187" spans="1:14" s="280" customFormat="1" ht="13.5" thickBot="1">
      <c r="A187" s="1901"/>
      <c r="B187" s="2180"/>
      <c r="C187" s="2180"/>
      <c r="D187" s="2180"/>
      <c r="E187" s="2180"/>
      <c r="F187" s="2180"/>
      <c r="G187" s="2180"/>
      <c r="H187" s="2180"/>
      <c r="I187" s="2180"/>
      <c r="J187" s="2180"/>
      <c r="K187" s="2180"/>
      <c r="L187" s="2180"/>
      <c r="M187" s="2180"/>
      <c r="N187" s="2181"/>
    </row>
    <row r="188" spans="1:14" s="1097" customFormat="1" ht="23.25" customHeight="1" thickBot="1">
      <c r="A188" s="1901"/>
      <c r="B188" s="2180"/>
      <c r="C188" s="2180"/>
      <c r="D188" s="2180"/>
      <c r="E188" s="2180"/>
      <c r="F188" s="2180"/>
      <c r="G188" s="2180"/>
      <c r="H188" s="2180"/>
      <c r="I188" s="2180"/>
      <c r="J188" s="2180"/>
      <c r="K188" s="2180"/>
      <c r="L188" s="2180"/>
      <c r="M188" s="2180"/>
      <c r="N188" s="2181"/>
    </row>
    <row r="189" spans="1:14" s="280" customFormat="1" ht="13.5" thickBot="1">
      <c r="A189" s="1901"/>
      <c r="B189" s="2180"/>
      <c r="C189" s="2180"/>
      <c r="D189" s="2180"/>
      <c r="E189" s="2180"/>
      <c r="F189" s="2180"/>
      <c r="G189" s="2180"/>
      <c r="H189" s="2180"/>
      <c r="I189" s="2180"/>
      <c r="J189" s="2180"/>
      <c r="K189" s="2180"/>
      <c r="L189" s="2180"/>
      <c r="M189" s="2180"/>
      <c r="N189" s="2181"/>
    </row>
    <row r="190" spans="1:14" s="1096" customFormat="1" ht="15.75" customHeight="1" thickBot="1">
      <c r="A190" s="1901"/>
      <c r="B190" s="2180"/>
      <c r="C190" s="2180"/>
      <c r="D190" s="2180"/>
      <c r="E190" s="2180"/>
      <c r="F190" s="2180"/>
      <c r="G190" s="2180"/>
      <c r="H190" s="2180"/>
      <c r="I190" s="2180"/>
      <c r="J190" s="2180"/>
      <c r="K190" s="2180"/>
      <c r="L190" s="2180"/>
      <c r="M190" s="2180"/>
      <c r="N190" s="2181"/>
    </row>
    <row r="191" spans="1:14" s="1096" customFormat="1" ht="12.75" customHeight="1" thickBot="1">
      <c r="A191" s="1901"/>
      <c r="B191" s="2180"/>
      <c r="C191" s="2180"/>
      <c r="D191" s="2180"/>
      <c r="E191" s="2180"/>
      <c r="F191" s="2180"/>
      <c r="G191" s="2180"/>
      <c r="H191" s="2180"/>
      <c r="I191" s="2180"/>
      <c r="J191" s="2180"/>
      <c r="K191" s="2180"/>
      <c r="L191" s="2180"/>
      <c r="M191" s="2180"/>
      <c r="N191" s="2181"/>
    </row>
    <row r="192" spans="1:14" s="1096" customFormat="1" ht="12.75" customHeight="1" thickBot="1">
      <c r="A192" s="1901"/>
      <c r="B192" s="2180"/>
      <c r="C192" s="2180"/>
      <c r="D192" s="2180"/>
      <c r="E192" s="2180"/>
      <c r="F192" s="2180"/>
      <c r="G192" s="2180"/>
      <c r="H192" s="2180"/>
      <c r="I192" s="2180"/>
      <c r="J192" s="2180"/>
      <c r="K192" s="2180"/>
      <c r="L192" s="2180"/>
      <c r="M192" s="2180"/>
      <c r="N192" s="2181"/>
    </row>
    <row r="193" spans="1:14" s="1096" customFormat="1" ht="12" customHeight="1" thickBot="1">
      <c r="A193" s="1901"/>
      <c r="B193" s="2180"/>
      <c r="C193" s="2180"/>
      <c r="D193" s="2180"/>
      <c r="E193" s="2180"/>
      <c r="F193" s="2180"/>
      <c r="G193" s="2180"/>
      <c r="H193" s="2180"/>
      <c r="I193" s="2180"/>
      <c r="J193" s="2180"/>
      <c r="K193" s="2180"/>
      <c r="L193" s="2180"/>
      <c r="M193" s="2180"/>
      <c r="N193" s="2181"/>
    </row>
    <row r="194" spans="1:14" s="1106" customFormat="1" ht="24" customHeight="1" thickBot="1">
      <c r="A194" s="1901"/>
      <c r="B194" s="2180"/>
      <c r="C194" s="2180"/>
      <c r="D194" s="2180"/>
      <c r="E194" s="2180"/>
      <c r="F194" s="2180"/>
      <c r="G194" s="2180"/>
      <c r="H194" s="2180"/>
      <c r="I194" s="2180"/>
      <c r="J194" s="2180"/>
      <c r="K194" s="2180"/>
      <c r="L194" s="2180"/>
      <c r="M194" s="2180"/>
      <c r="N194" s="2181"/>
    </row>
    <row r="195" spans="1:14" s="280" customFormat="1" ht="11.25" customHeight="1" thickBot="1">
      <c r="A195" s="1901"/>
      <c r="B195" s="2180"/>
      <c r="C195" s="2180"/>
      <c r="D195" s="2180"/>
      <c r="E195" s="2180"/>
      <c r="F195" s="2180"/>
      <c r="G195" s="2180"/>
      <c r="H195" s="2180"/>
      <c r="I195" s="2180"/>
      <c r="J195" s="2180"/>
      <c r="K195" s="2180"/>
      <c r="L195" s="2180"/>
      <c r="M195" s="2180"/>
      <c r="N195" s="2181"/>
    </row>
    <row r="196" spans="1:14" s="280" customFormat="1" ht="12.75" customHeight="1" thickBot="1">
      <c r="A196" s="1901"/>
      <c r="B196" s="2180"/>
      <c r="C196" s="2180"/>
      <c r="D196" s="2180"/>
      <c r="E196" s="2180"/>
      <c r="F196" s="2180"/>
      <c r="G196" s="2180"/>
      <c r="H196" s="2180"/>
      <c r="I196" s="2180"/>
      <c r="J196" s="2180"/>
      <c r="K196" s="2180"/>
      <c r="L196" s="2180"/>
      <c r="M196" s="2183"/>
      <c r="N196" s="2184"/>
    </row>
    <row r="197" spans="1:14" s="280" customFormat="1" ht="13.5" thickBot="1">
      <c r="A197" s="1901"/>
      <c r="B197" s="2180"/>
      <c r="C197" s="2183"/>
      <c r="D197" s="2180"/>
      <c r="E197" s="2180"/>
      <c r="F197" s="2180"/>
      <c r="G197" s="2180"/>
      <c r="H197" s="2180"/>
      <c r="I197" s="2180"/>
      <c r="J197" s="2180"/>
      <c r="K197" s="2180"/>
      <c r="L197" s="2180"/>
      <c r="M197" s="2185"/>
      <c r="N197" s="2186"/>
    </row>
    <row r="198" spans="1:14" s="280" customFormat="1" ht="13.5" thickBot="1">
      <c r="A198" s="1901"/>
      <c r="B198" s="2180"/>
      <c r="C198" s="2185"/>
      <c r="D198" s="2180"/>
      <c r="E198" s="2180"/>
      <c r="F198" s="2180"/>
      <c r="G198" s="2180"/>
      <c r="H198" s="2180"/>
      <c r="I198" s="2180"/>
      <c r="J198" s="2180"/>
      <c r="K198" s="2180"/>
      <c r="L198" s="2180"/>
      <c r="M198" s="2185"/>
      <c r="N198" s="2186"/>
    </row>
    <row r="199" spans="1:14" s="280" customFormat="1" ht="13.5" thickBot="1">
      <c r="A199" s="1901"/>
      <c r="B199" s="2180"/>
      <c r="C199" s="2185"/>
      <c r="D199" s="2180"/>
      <c r="E199" s="2180"/>
      <c r="F199" s="2180"/>
      <c r="G199" s="2180"/>
      <c r="H199" s="2180"/>
      <c r="I199" s="2180"/>
      <c r="J199" s="2180"/>
      <c r="K199" s="2180"/>
      <c r="L199" s="2180"/>
      <c r="M199" s="2185"/>
      <c r="N199" s="2186"/>
    </row>
    <row r="200" spans="1:14" s="280" customFormat="1" ht="13.5" thickBot="1">
      <c r="A200" s="1902"/>
      <c r="B200" s="2180"/>
      <c r="C200" s="2185"/>
      <c r="D200" s="2183"/>
      <c r="E200" s="2183"/>
      <c r="F200" s="2183"/>
      <c r="G200" s="2183"/>
      <c r="H200" s="2183"/>
      <c r="I200" s="2183"/>
      <c r="J200" s="2183"/>
      <c r="K200" s="2183"/>
      <c r="L200" s="2183"/>
      <c r="M200" s="2185"/>
      <c r="N200" s="2186"/>
    </row>
    <row r="201" spans="1:14" s="280" customFormat="1" ht="21.75" customHeight="1" thickBot="1">
      <c r="A201" s="250"/>
      <c r="B201" s="2180"/>
      <c r="C201" s="2187"/>
      <c r="D201" s="2187"/>
      <c r="E201" s="2187"/>
      <c r="F201" s="2187"/>
      <c r="G201" s="2187"/>
      <c r="H201" s="2187"/>
      <c r="I201" s="2187"/>
      <c r="J201" s="2187"/>
      <c r="K201" s="2187"/>
      <c r="L201" s="2187"/>
      <c r="M201" s="2187"/>
      <c r="N201" s="2186"/>
    </row>
    <row r="202" spans="1:14" s="280" customFormat="1" ht="12.75" customHeight="1" thickBot="1">
      <c r="A202" s="250"/>
      <c r="B202" s="2180"/>
      <c r="C202" s="2180"/>
      <c r="D202" s="2180"/>
      <c r="E202" s="2180"/>
      <c r="F202" s="2180"/>
      <c r="G202" s="2180"/>
      <c r="H202" s="2180"/>
      <c r="I202" s="2180"/>
      <c r="J202" s="2180"/>
      <c r="K202" s="2180"/>
      <c r="L202" s="2180"/>
      <c r="M202" s="2180"/>
      <c r="N202" s="2186"/>
    </row>
    <row r="203" spans="1:14" s="280" customFormat="1" ht="13.5" thickBot="1">
      <c r="A203" s="250"/>
      <c r="B203" s="2180"/>
      <c r="C203" s="2180"/>
      <c r="D203" s="2180"/>
      <c r="E203" s="2180"/>
      <c r="F203" s="2180"/>
      <c r="G203" s="2180"/>
      <c r="H203" s="2180"/>
      <c r="I203" s="2180"/>
      <c r="J203" s="2180"/>
      <c r="K203" s="2180"/>
      <c r="L203" s="2180"/>
      <c r="M203" s="2180"/>
      <c r="N203" s="2186"/>
    </row>
    <row r="204" spans="1:14" s="280" customFormat="1" ht="13.5" thickBot="1">
      <c r="A204" s="250"/>
      <c r="B204" s="2180"/>
      <c r="C204" s="2180"/>
      <c r="D204" s="2180"/>
      <c r="E204" s="2180"/>
      <c r="F204" s="2180"/>
      <c r="G204" s="2180"/>
      <c r="H204" s="2180"/>
      <c r="I204" s="2180"/>
      <c r="J204" s="2180"/>
      <c r="K204" s="2180"/>
      <c r="L204" s="2180"/>
      <c r="M204" s="2180"/>
      <c r="N204" s="2186"/>
    </row>
    <row r="205" spans="1:14" s="280" customFormat="1" ht="13.5" thickBot="1">
      <c r="A205" s="250"/>
      <c r="B205" s="2180"/>
      <c r="C205" s="2180"/>
      <c r="D205" s="2180"/>
      <c r="E205" s="2180"/>
      <c r="F205" s="2180"/>
      <c r="G205" s="2180"/>
      <c r="H205" s="2180"/>
      <c r="I205" s="2180"/>
      <c r="J205" s="2180"/>
      <c r="K205" s="2180"/>
      <c r="L205" s="2180"/>
      <c r="M205" s="2180"/>
      <c r="N205" s="2186"/>
    </row>
    <row r="206" spans="1:14" s="280" customFormat="1" ht="13.5" thickBot="1">
      <c r="A206" s="250"/>
      <c r="B206" s="2180"/>
      <c r="C206" s="2180"/>
      <c r="D206" s="2180"/>
      <c r="E206" s="2180"/>
      <c r="F206" s="2180"/>
      <c r="G206" s="2180"/>
      <c r="H206" s="2180"/>
      <c r="I206" s="2180"/>
      <c r="J206" s="2180"/>
      <c r="K206" s="2180"/>
      <c r="L206" s="2180"/>
      <c r="M206" s="2180"/>
      <c r="N206" s="2186"/>
    </row>
    <row r="207" spans="1:14" s="280" customFormat="1" ht="13.5" thickBot="1">
      <c r="A207" s="250"/>
      <c r="B207" s="2180"/>
      <c r="C207" s="2180"/>
      <c r="D207" s="2180"/>
      <c r="E207" s="2180"/>
      <c r="F207" s="2180"/>
      <c r="G207" s="2180"/>
      <c r="H207" s="2180"/>
      <c r="I207" s="2180"/>
      <c r="J207" s="2180"/>
      <c r="K207" s="2180"/>
      <c r="L207" s="2180"/>
      <c r="M207" s="2180"/>
      <c r="N207" s="2186"/>
    </row>
    <row r="208" spans="1:14" s="280" customFormat="1" ht="32.25" customHeight="1" thickBot="1">
      <c r="A208" s="250"/>
      <c r="B208" s="2180"/>
      <c r="C208" s="2180"/>
      <c r="D208" s="2180"/>
      <c r="E208" s="2180"/>
      <c r="F208" s="2180"/>
      <c r="G208" s="2180"/>
      <c r="H208" s="2180"/>
      <c r="I208" s="2180"/>
      <c r="J208" s="2180"/>
      <c r="K208" s="2180"/>
      <c r="L208" s="2180"/>
      <c r="M208" s="2180"/>
      <c r="N208" s="2186"/>
    </row>
    <row r="209" spans="1:14" s="280" customFormat="1" ht="15" customHeight="1" thickBot="1">
      <c r="A209" s="250"/>
      <c r="B209" s="2180"/>
      <c r="C209" s="2180"/>
      <c r="D209" s="2180"/>
      <c r="E209" s="2180"/>
      <c r="F209" s="2180"/>
      <c r="G209" s="2180"/>
      <c r="H209" s="2180"/>
      <c r="I209" s="2180"/>
      <c r="J209" s="2180"/>
      <c r="K209" s="2180"/>
      <c r="L209" s="2180"/>
      <c r="M209" s="2180"/>
      <c r="N209" s="2186"/>
    </row>
    <row r="210" spans="1:14" s="280" customFormat="1" ht="12.75" customHeight="1">
      <c r="A210" s="250"/>
      <c r="B210" s="2180"/>
      <c r="C210" s="2180"/>
      <c r="D210" s="2180"/>
      <c r="E210" s="2180"/>
      <c r="F210" s="2180"/>
      <c r="G210" s="2180"/>
      <c r="H210" s="2180"/>
      <c r="I210" s="2180"/>
      <c r="J210" s="2180"/>
      <c r="K210" s="2180"/>
      <c r="L210" s="2180"/>
      <c r="M210" s="2180"/>
      <c r="N210" s="2188"/>
    </row>
    <row r="211" spans="1:14" s="280" customFormat="1">
      <c r="A211" s="250"/>
      <c r="B211" s="2180"/>
      <c r="C211" s="2180"/>
      <c r="D211" s="2180"/>
      <c r="E211" s="2180"/>
      <c r="F211" s="2180"/>
      <c r="G211" s="2180"/>
      <c r="H211" s="2180"/>
      <c r="I211" s="2180"/>
      <c r="J211" s="2180"/>
      <c r="K211" s="2180"/>
      <c r="L211" s="2180"/>
      <c r="M211" s="2180"/>
      <c r="N211" s="2181"/>
    </row>
    <row r="212" spans="1:14" s="280" customFormat="1">
      <c r="A212" s="250"/>
      <c r="B212" s="2180"/>
      <c r="C212" s="2180"/>
      <c r="D212" s="2180"/>
      <c r="E212" s="2180"/>
      <c r="F212" s="2180"/>
      <c r="G212" s="2180"/>
      <c r="H212" s="2180"/>
      <c r="I212" s="2180"/>
      <c r="J212" s="2180"/>
      <c r="K212" s="2180"/>
      <c r="L212" s="2180"/>
      <c r="M212" s="2180"/>
      <c r="N212" s="2181"/>
    </row>
    <row r="213" spans="1:14" s="280" customFormat="1">
      <c r="A213" s="250"/>
      <c r="B213" s="2180"/>
      <c r="C213" s="2180"/>
      <c r="D213" s="2180"/>
      <c r="E213" s="2180"/>
      <c r="F213" s="2180"/>
      <c r="G213" s="2180"/>
      <c r="H213" s="2180"/>
      <c r="I213" s="2180"/>
      <c r="J213" s="2180"/>
      <c r="K213" s="2180"/>
      <c r="L213" s="2180"/>
      <c r="M213" s="2180"/>
      <c r="N213" s="2181"/>
    </row>
    <row r="214" spans="1:14" s="280" customFormat="1" ht="11.25" customHeight="1">
      <c r="A214" s="250"/>
      <c r="B214" s="2180"/>
      <c r="C214" s="2180"/>
      <c r="D214" s="2180"/>
      <c r="E214" s="2180"/>
      <c r="F214" s="2180"/>
      <c r="G214" s="2180"/>
      <c r="H214" s="2180"/>
      <c r="I214" s="2180"/>
      <c r="J214" s="2180"/>
      <c r="K214" s="2180"/>
      <c r="L214" s="2180"/>
      <c r="M214" s="2180"/>
      <c r="N214" s="2181"/>
    </row>
    <row r="215" spans="1:14" s="280" customFormat="1" ht="12.75" customHeight="1">
      <c r="A215" s="250"/>
      <c r="B215" s="2180"/>
      <c r="C215" s="2180"/>
      <c r="D215" s="2180"/>
      <c r="E215" s="2180"/>
      <c r="F215" s="2180"/>
      <c r="G215" s="2180"/>
      <c r="H215" s="2180"/>
      <c r="I215" s="2180"/>
      <c r="J215" s="2180"/>
      <c r="K215" s="2180"/>
      <c r="L215" s="2180"/>
      <c r="M215" s="2180"/>
      <c r="N215" s="2181"/>
    </row>
    <row r="216" spans="1:14" s="280" customFormat="1" ht="12.75" customHeight="1">
      <c r="A216" s="250"/>
      <c r="B216" s="2180"/>
      <c r="C216" s="2180"/>
      <c r="D216" s="2180"/>
      <c r="E216" s="2180"/>
      <c r="F216" s="2180"/>
      <c r="G216" s="2180"/>
      <c r="H216" s="2180"/>
      <c r="I216" s="2180"/>
      <c r="J216" s="2180"/>
      <c r="K216" s="2180"/>
      <c r="L216" s="2180"/>
      <c r="M216" s="2180"/>
      <c r="N216" s="2181"/>
    </row>
    <row r="217" spans="1:14" s="280" customFormat="1">
      <c r="A217" s="250"/>
      <c r="B217" s="2180"/>
      <c r="C217" s="2180"/>
      <c r="D217" s="2180"/>
      <c r="E217" s="2180"/>
      <c r="F217" s="2180"/>
      <c r="G217" s="2180"/>
      <c r="H217" s="2180"/>
      <c r="I217" s="2180"/>
      <c r="J217" s="2180"/>
      <c r="K217" s="2180"/>
      <c r="L217" s="2180"/>
      <c r="M217" s="2180"/>
      <c r="N217" s="2181"/>
    </row>
    <row r="218" spans="1:14" s="280" customFormat="1">
      <c r="A218" s="250"/>
      <c r="B218" s="2180"/>
      <c r="C218" s="2180"/>
      <c r="D218" s="2180"/>
      <c r="E218" s="2180"/>
      <c r="F218" s="2180"/>
      <c r="G218" s="2180"/>
      <c r="H218" s="2180"/>
      <c r="I218" s="2180"/>
      <c r="J218" s="2180"/>
      <c r="K218" s="2180"/>
      <c r="L218" s="2180"/>
      <c r="M218" s="2180"/>
      <c r="N218" s="2181"/>
    </row>
    <row r="219" spans="1:14" s="280" customFormat="1">
      <c r="A219" s="250"/>
      <c r="B219" s="2180"/>
      <c r="C219" s="2180"/>
      <c r="D219" s="2180"/>
      <c r="E219" s="2180"/>
      <c r="F219" s="2180"/>
      <c r="G219" s="2180"/>
      <c r="H219" s="2180"/>
      <c r="I219" s="2180"/>
      <c r="J219" s="2180"/>
      <c r="K219" s="2180"/>
      <c r="L219" s="2180"/>
      <c r="M219" s="2180"/>
      <c r="N219" s="2181"/>
    </row>
    <row r="220" spans="1:14" s="280" customFormat="1">
      <c r="A220" s="250"/>
      <c r="B220" s="2180"/>
      <c r="C220" s="2180"/>
      <c r="D220" s="2180"/>
      <c r="E220" s="2180"/>
      <c r="F220" s="2180"/>
      <c r="G220" s="2180"/>
      <c r="H220" s="2180"/>
      <c r="I220" s="2180"/>
      <c r="J220" s="2180"/>
      <c r="K220" s="2180"/>
      <c r="L220" s="2180"/>
      <c r="M220" s="2180"/>
      <c r="N220" s="2181"/>
    </row>
    <row r="221" spans="1:14" s="1104" customFormat="1" ht="24.75" customHeight="1">
      <c r="A221" s="250"/>
      <c r="B221" s="2180"/>
      <c r="C221" s="2180"/>
      <c r="D221" s="2180"/>
      <c r="E221" s="2180"/>
      <c r="F221" s="2180"/>
      <c r="G221" s="2180"/>
      <c r="H221" s="2180"/>
      <c r="I221" s="2180"/>
      <c r="J221" s="2180"/>
      <c r="K221" s="2180"/>
      <c r="L221" s="2180"/>
      <c r="M221" s="2180"/>
      <c r="N221" s="2181"/>
    </row>
    <row r="222" spans="1:14" s="280" customFormat="1" ht="12.75" customHeight="1">
      <c r="A222" s="250"/>
      <c r="B222" s="2180"/>
      <c r="C222" s="2180"/>
      <c r="D222" s="2180"/>
      <c r="E222" s="2180"/>
      <c r="F222" s="2180"/>
      <c r="G222" s="2180"/>
      <c r="H222" s="2180"/>
      <c r="I222" s="2180"/>
      <c r="J222" s="2180"/>
      <c r="K222" s="2180"/>
      <c r="L222" s="2180"/>
      <c r="M222" s="2180"/>
      <c r="N222" s="2181"/>
    </row>
    <row r="223" spans="1:14" s="280" customFormat="1" ht="12.75" customHeight="1">
      <c r="A223" s="250"/>
      <c r="B223" s="2180"/>
      <c r="C223" s="2180"/>
      <c r="D223" s="2180"/>
      <c r="E223" s="2180"/>
      <c r="F223" s="2180"/>
      <c r="G223" s="2180"/>
      <c r="H223" s="2180"/>
      <c r="I223" s="2180"/>
      <c r="J223" s="2180"/>
      <c r="K223" s="2180"/>
      <c r="L223" s="2180"/>
      <c r="M223" s="2180"/>
      <c r="N223" s="2181"/>
    </row>
    <row r="224" spans="1:14" s="280" customFormat="1">
      <c r="A224" s="250"/>
      <c r="B224" s="2180"/>
      <c r="C224" s="2180"/>
      <c r="D224" s="2180"/>
      <c r="E224" s="2180"/>
      <c r="F224" s="2180"/>
      <c r="G224" s="2180"/>
      <c r="H224" s="2180"/>
      <c r="I224" s="2180"/>
      <c r="J224" s="2180"/>
      <c r="K224" s="2180"/>
      <c r="L224" s="2180"/>
      <c r="M224" s="2180"/>
      <c r="N224" s="2181"/>
    </row>
    <row r="225" spans="1:14" s="280" customFormat="1">
      <c r="A225" s="250"/>
      <c r="B225" s="2180"/>
      <c r="C225" s="2180"/>
      <c r="D225" s="2180"/>
      <c r="E225" s="2180"/>
      <c r="F225" s="2180"/>
      <c r="G225" s="2180"/>
      <c r="H225" s="2180"/>
      <c r="I225" s="2180"/>
      <c r="J225" s="2180"/>
      <c r="K225" s="2180"/>
      <c r="L225" s="2180"/>
      <c r="M225" s="2180"/>
      <c r="N225" s="2181"/>
    </row>
    <row r="226" spans="1:14" s="280" customFormat="1">
      <c r="A226" s="250"/>
      <c r="B226" s="2180"/>
      <c r="C226" s="2180"/>
      <c r="D226" s="2180"/>
      <c r="E226" s="2180"/>
      <c r="F226" s="2180"/>
      <c r="G226" s="2180"/>
      <c r="H226" s="2180"/>
      <c r="I226" s="2180"/>
      <c r="J226" s="2180"/>
      <c r="K226" s="2180"/>
      <c r="L226" s="2180"/>
      <c r="M226" s="2180"/>
      <c r="N226" s="2181"/>
    </row>
    <row r="227" spans="1:14" s="1104" customFormat="1" ht="23.25" customHeight="1">
      <c r="A227" s="250"/>
      <c r="B227" s="2180"/>
      <c r="C227" s="2180"/>
      <c r="D227" s="2180"/>
      <c r="E227" s="2180"/>
      <c r="F227" s="2180"/>
      <c r="G227" s="2180"/>
      <c r="H227" s="2180"/>
      <c r="I227" s="2180"/>
      <c r="J227" s="2180"/>
      <c r="K227" s="2180"/>
      <c r="L227" s="2180"/>
      <c r="M227" s="2180"/>
      <c r="N227" s="2181"/>
    </row>
    <row r="228" spans="1:14" s="280" customFormat="1" ht="15" customHeight="1">
      <c r="A228" s="250"/>
      <c r="B228" s="2180"/>
      <c r="C228" s="2180"/>
      <c r="D228" s="2180"/>
      <c r="E228" s="2180"/>
      <c r="F228" s="2180"/>
      <c r="G228" s="2180"/>
      <c r="H228" s="2180"/>
      <c r="I228" s="2180"/>
      <c r="J228" s="2180"/>
      <c r="K228" s="2180"/>
      <c r="L228" s="2180"/>
      <c r="M228" s="2180"/>
      <c r="N228" s="2181"/>
    </row>
    <row r="229" spans="1:14" s="280" customFormat="1" ht="12.75" customHeight="1">
      <c r="A229" s="250"/>
      <c r="B229" s="2180"/>
      <c r="C229" s="2180"/>
      <c r="D229" s="2180"/>
      <c r="E229" s="2180"/>
      <c r="F229" s="2180"/>
      <c r="G229" s="2180"/>
      <c r="H229" s="2180"/>
      <c r="I229" s="2180"/>
      <c r="J229" s="2180"/>
      <c r="K229" s="2180"/>
      <c r="L229" s="2180"/>
      <c r="M229" s="2180"/>
      <c r="N229" s="2181"/>
    </row>
    <row r="230" spans="1:14" s="280" customFormat="1">
      <c r="A230" s="250"/>
      <c r="B230" s="2180"/>
      <c r="C230" s="2180"/>
      <c r="D230" s="2180"/>
      <c r="E230" s="2180"/>
      <c r="F230" s="2180"/>
      <c r="G230" s="2180"/>
      <c r="H230" s="2180"/>
      <c r="I230" s="2180"/>
      <c r="J230" s="2180"/>
      <c r="K230" s="2180"/>
      <c r="L230" s="2180"/>
      <c r="M230" s="2180"/>
      <c r="N230" s="2181"/>
    </row>
    <row r="231" spans="1:14" s="280" customFormat="1">
      <c r="A231" s="250"/>
      <c r="B231" s="2180"/>
      <c r="C231" s="2180"/>
      <c r="D231" s="2180"/>
      <c r="E231" s="2180"/>
      <c r="F231" s="2180"/>
      <c r="G231" s="2180"/>
      <c r="H231" s="2180"/>
      <c r="I231" s="2180"/>
      <c r="J231" s="2180"/>
      <c r="K231" s="2180"/>
      <c r="L231" s="2180"/>
      <c r="M231" s="2180"/>
      <c r="N231" s="2181"/>
    </row>
    <row r="232" spans="1:14" s="1104" customFormat="1" ht="12.75" customHeight="1">
      <c r="A232" s="250"/>
      <c r="B232" s="2180"/>
      <c r="C232" s="2180"/>
      <c r="D232" s="2180"/>
      <c r="E232" s="2180"/>
      <c r="F232" s="2180"/>
      <c r="G232" s="2180"/>
      <c r="H232" s="2180"/>
      <c r="I232" s="2180"/>
      <c r="J232" s="2180"/>
      <c r="K232" s="2180"/>
      <c r="L232" s="2180"/>
      <c r="M232" s="2180"/>
      <c r="N232" s="2181"/>
    </row>
    <row r="233" spans="1:14" s="280" customFormat="1" ht="9.75" customHeight="1">
      <c r="A233" s="250"/>
      <c r="B233" s="2180"/>
      <c r="C233" s="2180"/>
      <c r="D233" s="2180"/>
      <c r="E233" s="2180"/>
      <c r="F233" s="2180"/>
      <c r="G233" s="2180"/>
      <c r="H233" s="2180"/>
      <c r="I233" s="2180"/>
      <c r="J233" s="2180"/>
      <c r="K233" s="2180"/>
      <c r="L233" s="2180"/>
      <c r="M233" s="2180"/>
      <c r="N233" s="2181"/>
    </row>
    <row r="234" spans="1:14" s="280" customFormat="1" ht="12.75" customHeight="1">
      <c r="A234" s="250"/>
      <c r="B234" s="2180"/>
      <c r="C234" s="2180"/>
      <c r="D234" s="2180"/>
      <c r="E234" s="2180"/>
      <c r="F234" s="2180"/>
      <c r="G234" s="2180"/>
      <c r="H234" s="2180"/>
      <c r="I234" s="2180"/>
      <c r="J234" s="2180"/>
      <c r="K234" s="2180"/>
      <c r="L234" s="2180"/>
      <c r="M234" s="2180"/>
      <c r="N234" s="2181"/>
    </row>
    <row r="235" spans="1:14" s="280" customFormat="1">
      <c r="A235" s="250"/>
      <c r="B235" s="2180"/>
      <c r="C235" s="2180"/>
      <c r="D235" s="2180"/>
      <c r="E235" s="2180"/>
      <c r="F235" s="2180"/>
      <c r="G235" s="2180"/>
      <c r="H235" s="2180"/>
      <c r="I235" s="2180"/>
      <c r="J235" s="2180"/>
      <c r="K235" s="2180"/>
      <c r="L235" s="2180"/>
      <c r="M235" s="2180"/>
      <c r="N235" s="2181"/>
    </row>
    <row r="236" spans="1:14" s="280" customFormat="1">
      <c r="A236" s="250"/>
      <c r="B236" s="2180"/>
      <c r="C236" s="2180"/>
      <c r="D236" s="2180"/>
      <c r="E236" s="2180"/>
      <c r="F236" s="2180"/>
      <c r="G236" s="2180"/>
      <c r="H236" s="2180"/>
      <c r="I236" s="2180"/>
      <c r="J236" s="2180"/>
      <c r="K236" s="2180"/>
      <c r="L236" s="2180"/>
      <c r="M236" s="2180"/>
      <c r="N236" s="2181"/>
    </row>
    <row r="237" spans="1:14" s="1106" customFormat="1" ht="24" customHeight="1">
      <c r="A237" s="250"/>
      <c r="B237" s="2180"/>
      <c r="C237" s="2180"/>
      <c r="D237" s="2180"/>
      <c r="E237" s="2180"/>
      <c r="F237" s="2180"/>
      <c r="G237" s="2180"/>
      <c r="H237" s="2180"/>
      <c r="I237" s="2180"/>
      <c r="J237" s="2180"/>
      <c r="K237" s="2180"/>
      <c r="L237" s="2180"/>
      <c r="M237" s="2180"/>
      <c r="N237" s="2181"/>
    </row>
    <row r="238" spans="1:14" s="280" customFormat="1" ht="11.25" customHeight="1">
      <c r="A238" s="250"/>
      <c r="B238" s="2180"/>
      <c r="C238" s="2180"/>
      <c r="D238" s="2180"/>
      <c r="E238" s="2180"/>
      <c r="F238" s="2180"/>
      <c r="G238" s="2180"/>
      <c r="H238" s="2180"/>
      <c r="I238" s="2180"/>
      <c r="J238" s="2180"/>
      <c r="K238" s="2180"/>
      <c r="L238" s="2180"/>
      <c r="M238" s="2180"/>
      <c r="N238" s="2181"/>
    </row>
    <row r="239" spans="1:14" s="280" customFormat="1" ht="12.75" customHeight="1">
      <c r="A239" s="250"/>
      <c r="B239" s="2180"/>
      <c r="C239" s="2180"/>
      <c r="D239" s="2180"/>
      <c r="E239" s="2180"/>
      <c r="F239" s="2180"/>
      <c r="G239" s="2180"/>
      <c r="H239" s="2180"/>
      <c r="I239" s="2180"/>
      <c r="J239" s="2180"/>
      <c r="K239" s="2180"/>
      <c r="L239" s="2180"/>
      <c r="M239" s="2180"/>
      <c r="N239" s="2181"/>
    </row>
    <row r="240" spans="1:14" s="280" customFormat="1">
      <c r="A240" s="250"/>
      <c r="B240" s="2180"/>
      <c r="C240" s="2180"/>
      <c r="D240" s="2180"/>
      <c r="E240" s="2180"/>
      <c r="F240" s="2180"/>
      <c r="G240" s="2180"/>
      <c r="H240" s="2180"/>
      <c r="I240" s="2180"/>
      <c r="J240" s="2180"/>
      <c r="K240" s="2180"/>
      <c r="L240" s="2180"/>
      <c r="M240" s="2180"/>
      <c r="N240" s="2181"/>
    </row>
    <row r="241" spans="1:14" s="280" customFormat="1">
      <c r="A241" s="250"/>
      <c r="B241" s="2180"/>
      <c r="C241" s="2180"/>
      <c r="D241" s="2180"/>
      <c r="E241" s="2180"/>
      <c r="F241" s="2180"/>
      <c r="G241" s="2180"/>
      <c r="H241" s="2180"/>
      <c r="I241" s="2180"/>
      <c r="J241" s="2180"/>
      <c r="K241" s="2180"/>
      <c r="L241" s="2180"/>
      <c r="M241" s="2180"/>
      <c r="N241" s="2181"/>
    </row>
    <row r="242" spans="1:14" s="280" customFormat="1">
      <c r="A242" s="250"/>
      <c r="B242" s="2180"/>
      <c r="C242" s="2180"/>
      <c r="D242" s="2180"/>
      <c r="E242" s="2180"/>
      <c r="F242" s="2180"/>
      <c r="G242" s="2180"/>
      <c r="H242" s="2180"/>
      <c r="I242" s="2180"/>
      <c r="J242" s="2180"/>
      <c r="K242" s="2180"/>
      <c r="L242" s="2180"/>
      <c r="M242" s="2180"/>
      <c r="N242" s="2181"/>
    </row>
    <row r="243" spans="1:14" s="280" customFormat="1">
      <c r="A243" s="250"/>
      <c r="B243" s="2180"/>
      <c r="C243" s="2180"/>
      <c r="D243" s="2180"/>
      <c r="E243" s="2180"/>
      <c r="F243" s="2180"/>
      <c r="G243" s="2180"/>
      <c r="H243" s="2180"/>
      <c r="I243" s="2180"/>
      <c r="J243" s="2180"/>
      <c r="K243" s="2180"/>
      <c r="L243" s="2180"/>
      <c r="M243" s="2180"/>
      <c r="N243" s="2181"/>
    </row>
    <row r="244" spans="1:14" s="280" customFormat="1" ht="12" customHeight="1" thickBot="1">
      <c r="A244" s="250"/>
      <c r="B244" s="2180"/>
      <c r="C244" s="2180"/>
      <c r="D244" s="2180"/>
      <c r="E244" s="2180"/>
      <c r="F244" s="2180"/>
      <c r="G244" s="2180"/>
      <c r="H244" s="2180"/>
      <c r="I244" s="2180"/>
      <c r="J244" s="2180"/>
      <c r="K244" s="2180"/>
      <c r="L244" s="2180"/>
      <c r="M244" s="2180"/>
      <c r="N244" s="2184"/>
    </row>
    <row r="245" spans="1:14" s="280" customFormat="1" ht="10.5" customHeight="1" thickBot="1">
      <c r="A245" s="250"/>
      <c r="B245" s="2180"/>
      <c r="C245" s="2180"/>
      <c r="D245" s="2180"/>
      <c r="E245" s="2180"/>
      <c r="F245" s="2180"/>
      <c r="G245" s="2180"/>
      <c r="H245" s="2180"/>
      <c r="I245" s="2180"/>
      <c r="J245" s="2180"/>
      <c r="K245" s="2180"/>
      <c r="L245" s="2180"/>
      <c r="M245" s="2180"/>
      <c r="N245" s="2186"/>
    </row>
    <row r="246" spans="1:14" s="280" customFormat="1" ht="13.5" thickBot="1">
      <c r="A246" s="250"/>
      <c r="B246" s="2180"/>
      <c r="C246" s="2180"/>
      <c r="D246" s="2180"/>
      <c r="E246" s="2180"/>
      <c r="F246" s="2180"/>
      <c r="G246" s="2180"/>
      <c r="H246" s="2180"/>
      <c r="I246" s="2180"/>
      <c r="J246" s="2180"/>
      <c r="K246" s="2180"/>
      <c r="L246" s="2180"/>
      <c r="M246" s="2180"/>
      <c r="N246" s="2186"/>
    </row>
    <row r="247" spans="1:14" s="280" customFormat="1" ht="13.5" thickBot="1">
      <c r="A247" s="250"/>
      <c r="B247" s="2180"/>
      <c r="C247" s="2180"/>
      <c r="D247" s="2180"/>
      <c r="E247" s="2180"/>
      <c r="F247" s="2180"/>
      <c r="G247" s="2180"/>
      <c r="H247" s="2180"/>
      <c r="I247" s="2180"/>
      <c r="J247" s="2180"/>
      <c r="K247" s="2180"/>
      <c r="L247" s="2180"/>
      <c r="M247" s="2180"/>
      <c r="N247" s="2186"/>
    </row>
    <row r="248" spans="1:14" s="280" customFormat="1" ht="13.5" thickBot="1">
      <c r="A248" s="250"/>
      <c r="B248" s="2180"/>
      <c r="C248" s="2180"/>
      <c r="D248" s="2180"/>
      <c r="E248" s="2180"/>
      <c r="F248" s="2180"/>
      <c r="G248" s="2180"/>
      <c r="H248" s="2180"/>
      <c r="I248" s="2180"/>
      <c r="J248" s="2180"/>
      <c r="K248" s="2180"/>
      <c r="L248" s="2180"/>
      <c r="M248" s="2180"/>
      <c r="N248" s="2186"/>
    </row>
    <row r="249" spans="1:14" s="280" customFormat="1" ht="13.5" thickBot="1">
      <c r="A249" s="250"/>
      <c r="B249" s="2180"/>
      <c r="C249" s="2180"/>
      <c r="D249" s="2180"/>
      <c r="E249" s="2180"/>
      <c r="F249" s="2180"/>
      <c r="G249" s="2180"/>
      <c r="H249" s="2180"/>
      <c r="I249" s="2180"/>
      <c r="J249" s="2180"/>
      <c r="K249" s="2180"/>
      <c r="L249" s="2180"/>
      <c r="M249" s="2180"/>
      <c r="N249" s="2186"/>
    </row>
    <row r="250" spans="1:14" s="280" customFormat="1" ht="13.5" thickBot="1">
      <c r="A250" s="250"/>
      <c r="B250" s="2180"/>
      <c r="C250" s="2180"/>
      <c r="D250" s="2180"/>
      <c r="E250" s="2180"/>
      <c r="F250" s="2180"/>
      <c r="G250" s="2180"/>
      <c r="H250" s="2180"/>
      <c r="I250" s="2180"/>
      <c r="J250" s="2180"/>
      <c r="K250" s="2180"/>
      <c r="L250" s="2180"/>
      <c r="M250" s="2180"/>
      <c r="N250" s="2186"/>
    </row>
    <row r="251" spans="1:14" s="280" customFormat="1" ht="32.25" customHeight="1" thickBot="1">
      <c r="A251" s="250"/>
      <c r="B251" s="2180"/>
      <c r="C251" s="2180"/>
      <c r="D251" s="2180"/>
      <c r="E251" s="2180"/>
      <c r="F251" s="2180"/>
      <c r="G251" s="2180"/>
      <c r="H251" s="2180"/>
      <c r="I251" s="2180"/>
      <c r="J251" s="2180"/>
      <c r="K251" s="2180"/>
      <c r="L251" s="2180"/>
      <c r="M251" s="2180"/>
      <c r="N251" s="2186"/>
    </row>
    <row r="252" spans="1:14" s="280" customFormat="1" ht="15" customHeight="1" thickBot="1">
      <c r="A252" s="250"/>
      <c r="B252" s="2180"/>
      <c r="C252" s="2180"/>
      <c r="D252" s="2180"/>
      <c r="E252" s="2180"/>
      <c r="F252" s="2180"/>
      <c r="G252" s="2180"/>
      <c r="H252" s="2180"/>
      <c r="I252" s="2180"/>
      <c r="J252" s="2180"/>
      <c r="K252" s="2180"/>
      <c r="L252" s="2180"/>
      <c r="M252" s="2180"/>
      <c r="N252" s="2186"/>
    </row>
    <row r="253" spans="1:14" s="280" customFormat="1" ht="12.75" customHeight="1" thickBot="1">
      <c r="A253" s="250"/>
      <c r="B253" s="2180"/>
      <c r="C253" s="2180"/>
      <c r="D253" s="2180"/>
      <c r="E253" s="2180"/>
      <c r="F253" s="2180"/>
      <c r="G253" s="2180"/>
      <c r="H253" s="2180"/>
      <c r="I253" s="2180"/>
      <c r="J253" s="2180"/>
      <c r="K253" s="2180"/>
      <c r="L253" s="2180"/>
      <c r="M253" s="2180"/>
      <c r="N253" s="2186"/>
    </row>
    <row r="254" spans="1:14" s="280" customFormat="1" ht="13.5" thickBot="1">
      <c r="A254" s="250"/>
      <c r="B254" s="2180"/>
      <c r="C254" s="2180"/>
      <c r="D254" s="2180"/>
      <c r="E254" s="2180"/>
      <c r="F254" s="2180"/>
      <c r="G254" s="2180"/>
      <c r="H254" s="2180"/>
      <c r="I254" s="2180"/>
      <c r="J254" s="2180"/>
      <c r="K254" s="2180"/>
      <c r="L254" s="2180"/>
      <c r="M254" s="2180"/>
      <c r="N254" s="2186"/>
    </row>
    <row r="255" spans="1:14" s="280" customFormat="1" ht="13.5" thickBot="1">
      <c r="A255" s="250"/>
      <c r="B255" s="2180"/>
      <c r="C255" s="2180"/>
      <c r="D255" s="2180"/>
      <c r="E255" s="2180"/>
      <c r="F255" s="2180"/>
      <c r="G255" s="2180"/>
      <c r="H255" s="2180"/>
      <c r="I255" s="2180"/>
      <c r="J255" s="2180"/>
      <c r="K255" s="2180"/>
      <c r="L255" s="2180"/>
      <c r="M255" s="2180"/>
      <c r="N255" s="2231"/>
    </row>
    <row r="256" spans="1:14" s="280" customFormat="1" ht="13.5" thickBot="1">
      <c r="A256" s="250"/>
      <c r="B256" s="2180"/>
      <c r="C256" s="2180"/>
      <c r="D256" s="2180"/>
      <c r="E256" s="2180"/>
      <c r="F256" s="2180"/>
      <c r="G256" s="2180"/>
      <c r="H256" s="2180"/>
      <c r="I256" s="2180"/>
      <c r="J256" s="2180"/>
      <c r="K256" s="2180"/>
      <c r="L256" s="2180"/>
      <c r="M256" s="2180"/>
      <c r="N256" s="2231"/>
    </row>
    <row r="257" spans="1:14" s="280" customFormat="1" ht="21.75" customHeight="1" thickBot="1">
      <c r="A257" s="250"/>
      <c r="B257" s="2180"/>
      <c r="C257" s="2180"/>
      <c r="D257" s="2180"/>
      <c r="E257" s="2180"/>
      <c r="F257" s="2180"/>
      <c r="G257" s="2180"/>
      <c r="H257" s="2180"/>
      <c r="I257" s="2180"/>
      <c r="J257" s="2180"/>
      <c r="K257" s="2180"/>
      <c r="L257" s="2180"/>
      <c r="M257" s="2180"/>
      <c r="N257" s="2231"/>
    </row>
    <row r="258" spans="1:14" s="280" customFormat="1" ht="12.75" customHeight="1">
      <c r="A258" s="250"/>
      <c r="B258" s="2180"/>
      <c r="C258" s="2180"/>
      <c r="D258" s="2180"/>
      <c r="E258" s="2180"/>
      <c r="F258" s="2180"/>
      <c r="G258" s="2180"/>
      <c r="H258" s="2180"/>
      <c r="I258" s="2180"/>
      <c r="J258" s="2180"/>
      <c r="K258" s="2180"/>
      <c r="L258" s="2180"/>
      <c r="M258" s="2180"/>
      <c r="N258" s="2232"/>
    </row>
    <row r="259" spans="1:14" s="280" customFormat="1" ht="12.75" customHeight="1">
      <c r="A259" s="250"/>
      <c r="B259" s="2180"/>
      <c r="C259" s="2180"/>
      <c r="D259" s="2180"/>
      <c r="E259" s="2180"/>
      <c r="F259" s="2180"/>
      <c r="G259" s="2180"/>
      <c r="H259" s="2180"/>
      <c r="I259" s="2180"/>
      <c r="J259" s="2180"/>
      <c r="K259" s="2180"/>
      <c r="L259" s="2180"/>
      <c r="M259" s="2180"/>
      <c r="N259" s="2233"/>
    </row>
    <row r="260" spans="1:14" s="280" customFormat="1">
      <c r="A260" s="250"/>
      <c r="B260" s="2180"/>
      <c r="C260" s="2180"/>
      <c r="D260" s="2180"/>
      <c r="E260" s="2180"/>
      <c r="F260" s="2180"/>
      <c r="G260" s="2180"/>
      <c r="H260" s="2180"/>
      <c r="I260" s="2180"/>
      <c r="J260" s="2180"/>
      <c r="K260" s="2180"/>
      <c r="L260" s="2180"/>
      <c r="M260" s="2180"/>
      <c r="N260" s="2233"/>
    </row>
    <row r="261" spans="1:14" s="280" customFormat="1">
      <c r="A261" s="250"/>
      <c r="B261" s="2180"/>
      <c r="C261" s="2180"/>
      <c r="D261" s="2180"/>
      <c r="E261" s="2180"/>
      <c r="F261" s="2180"/>
      <c r="G261" s="2180"/>
      <c r="H261" s="2180"/>
      <c r="I261" s="2180"/>
      <c r="J261" s="2180"/>
      <c r="K261" s="2180"/>
      <c r="L261" s="2180"/>
      <c r="M261" s="2180"/>
      <c r="N261" s="2233"/>
    </row>
    <row r="262" spans="1:14" s="280" customFormat="1">
      <c r="A262" s="250"/>
      <c r="B262" s="2180"/>
      <c r="C262" s="2180"/>
      <c r="D262" s="2180"/>
      <c r="E262" s="2180"/>
      <c r="F262" s="2180"/>
      <c r="G262" s="2180"/>
      <c r="H262" s="2180"/>
      <c r="I262" s="2180"/>
      <c r="J262" s="2180"/>
      <c r="K262" s="2180"/>
      <c r="L262" s="2180"/>
      <c r="M262" s="2180"/>
      <c r="N262" s="2233"/>
    </row>
    <row r="263" spans="1:14" s="280" customFormat="1">
      <c r="A263" s="250"/>
      <c r="B263" s="2180"/>
      <c r="C263" s="2180"/>
      <c r="D263" s="2180"/>
      <c r="E263" s="2180"/>
      <c r="F263" s="2180"/>
      <c r="G263" s="2180"/>
      <c r="H263" s="2180"/>
      <c r="I263" s="2180"/>
      <c r="J263" s="2180"/>
      <c r="K263" s="2180"/>
      <c r="L263" s="2180"/>
      <c r="M263" s="2180"/>
      <c r="N263" s="2233"/>
    </row>
    <row r="264" spans="1:14" s="1106" customFormat="1" ht="35.25" customHeight="1">
      <c r="A264" s="250"/>
      <c r="B264" s="2180"/>
      <c r="C264" s="2180"/>
      <c r="D264" s="2180"/>
      <c r="E264" s="2180"/>
      <c r="F264" s="2180"/>
      <c r="G264" s="2180"/>
      <c r="H264" s="2180"/>
      <c r="I264" s="2180"/>
      <c r="J264" s="2180"/>
      <c r="K264" s="2180"/>
      <c r="L264" s="2180"/>
      <c r="M264" s="2180"/>
      <c r="N264" s="2233"/>
    </row>
    <row r="265" spans="1:14" s="280" customFormat="1" ht="11.25" customHeight="1">
      <c r="A265" s="250"/>
      <c r="B265" s="2180"/>
      <c r="C265" s="2180"/>
      <c r="D265" s="2180"/>
      <c r="E265" s="2180"/>
      <c r="F265" s="2180"/>
      <c r="G265" s="2180"/>
      <c r="H265" s="2180"/>
      <c r="I265" s="2180"/>
      <c r="J265" s="2180"/>
      <c r="K265" s="2180"/>
      <c r="L265" s="2180"/>
      <c r="M265" s="2180"/>
      <c r="N265" s="2233"/>
    </row>
    <row r="266" spans="1:14" s="280" customFormat="1" ht="12.75" customHeight="1">
      <c r="A266" s="250"/>
      <c r="B266" s="2180"/>
      <c r="C266" s="2180"/>
      <c r="D266" s="2180"/>
      <c r="E266" s="2180"/>
      <c r="F266" s="2180"/>
      <c r="G266" s="2180"/>
      <c r="H266" s="2180"/>
      <c r="I266" s="2180"/>
      <c r="J266" s="2180"/>
      <c r="K266" s="2180"/>
      <c r="L266" s="2180"/>
      <c r="M266" s="2180"/>
      <c r="N266" s="2233"/>
    </row>
    <row r="267" spans="1:14" s="1106" customFormat="1" ht="14.25" customHeight="1">
      <c r="A267" s="250"/>
      <c r="B267" s="2180"/>
      <c r="C267" s="2180"/>
      <c r="D267" s="2180"/>
      <c r="E267" s="2180"/>
      <c r="F267" s="2180"/>
      <c r="G267" s="2180"/>
      <c r="H267" s="2180"/>
      <c r="I267" s="2180"/>
      <c r="J267" s="2180"/>
      <c r="K267" s="2180"/>
      <c r="L267" s="2180"/>
      <c r="M267" s="2180"/>
      <c r="N267" s="2233"/>
    </row>
    <row r="268" spans="1:14" s="280" customFormat="1" ht="11.25" customHeight="1">
      <c r="A268" s="250"/>
      <c r="B268" s="2180"/>
      <c r="C268" s="2180"/>
      <c r="D268" s="2180"/>
      <c r="E268" s="2180"/>
      <c r="F268" s="2180"/>
      <c r="G268" s="2180"/>
      <c r="H268" s="2180"/>
      <c r="I268" s="2180"/>
      <c r="J268" s="2180"/>
      <c r="K268" s="2180"/>
      <c r="L268" s="2180"/>
      <c r="M268" s="2180"/>
      <c r="N268" s="2233"/>
    </row>
    <row r="269" spans="1:14" s="280" customFormat="1" ht="12.75" customHeight="1">
      <c r="A269" s="250"/>
      <c r="B269" s="2180"/>
      <c r="C269" s="2180"/>
      <c r="D269" s="2180"/>
      <c r="E269" s="2180"/>
      <c r="F269" s="2180"/>
      <c r="G269" s="2180"/>
      <c r="H269" s="2180"/>
      <c r="I269" s="2180"/>
      <c r="J269" s="2180"/>
      <c r="K269" s="2180"/>
      <c r="L269" s="2180"/>
      <c r="M269" s="2180"/>
      <c r="N269" s="2233"/>
    </row>
    <row r="270" spans="1:14" s="1106" customFormat="1" ht="23.25" customHeight="1">
      <c r="A270" s="250"/>
      <c r="B270" s="2180"/>
      <c r="C270" s="2180"/>
      <c r="D270" s="2180"/>
      <c r="E270" s="2180"/>
      <c r="F270" s="2180"/>
      <c r="G270" s="2180"/>
      <c r="H270" s="2180"/>
      <c r="I270" s="2180"/>
      <c r="J270" s="2180"/>
      <c r="K270" s="2180"/>
      <c r="L270" s="2180"/>
      <c r="M270" s="2180"/>
      <c r="N270" s="2233"/>
    </row>
    <row r="271" spans="1:14" s="280" customFormat="1" ht="11.25" customHeight="1">
      <c r="A271" s="250"/>
      <c r="B271" s="2180"/>
      <c r="C271" s="2180"/>
      <c r="D271" s="2180"/>
      <c r="E271" s="2180"/>
      <c r="F271" s="2180"/>
      <c r="G271" s="2180"/>
      <c r="H271" s="2180"/>
      <c r="I271" s="2180"/>
      <c r="J271" s="2180"/>
      <c r="K271" s="2180"/>
      <c r="L271" s="2180"/>
      <c r="M271" s="2180"/>
      <c r="N271" s="2233"/>
    </row>
    <row r="272" spans="1:14" s="280" customFormat="1">
      <c r="A272" s="250"/>
      <c r="B272" s="2180"/>
      <c r="C272" s="2180"/>
      <c r="D272" s="2180"/>
      <c r="E272" s="2180"/>
      <c r="F272" s="2180"/>
      <c r="G272" s="2180"/>
      <c r="H272" s="2180"/>
      <c r="I272" s="2180"/>
      <c r="J272" s="2180"/>
      <c r="K272" s="2180"/>
      <c r="L272" s="2180"/>
      <c r="M272" s="2180"/>
      <c r="N272" s="2233"/>
    </row>
    <row r="273" spans="1:16" s="280" customFormat="1">
      <c r="A273" s="250"/>
      <c r="B273" s="2180"/>
      <c r="C273" s="2180"/>
      <c r="D273" s="2180"/>
      <c r="E273" s="2180"/>
      <c r="F273" s="2180"/>
      <c r="G273" s="2180"/>
      <c r="H273" s="2180"/>
      <c r="I273" s="2180"/>
      <c r="J273" s="2180"/>
      <c r="K273" s="2180"/>
      <c r="L273" s="2180"/>
      <c r="M273" s="2180"/>
      <c r="N273" s="2233"/>
    </row>
    <row r="274" spans="1:16" s="1106" customFormat="1" ht="23.25" customHeight="1">
      <c r="A274" s="250"/>
      <c r="B274" s="2180"/>
      <c r="C274" s="2180"/>
      <c r="D274" s="2180"/>
      <c r="E274" s="2180"/>
      <c r="F274" s="2180"/>
      <c r="G274" s="2180"/>
      <c r="H274" s="2180"/>
      <c r="I274" s="2180"/>
      <c r="J274" s="2180"/>
      <c r="K274" s="2180"/>
      <c r="L274" s="2180"/>
      <c r="M274" s="2180"/>
      <c r="N274" s="2233"/>
    </row>
    <row r="275" spans="1:16" s="280" customFormat="1" ht="11.25" customHeight="1">
      <c r="A275" s="250"/>
      <c r="B275" s="2180"/>
      <c r="C275" s="2180"/>
      <c r="D275" s="2180"/>
      <c r="E275" s="2180"/>
      <c r="F275" s="2180"/>
      <c r="G275" s="2180"/>
      <c r="H275" s="2180"/>
      <c r="I275" s="2180"/>
      <c r="J275" s="2180"/>
      <c r="K275" s="2180"/>
      <c r="L275" s="2180"/>
      <c r="M275" s="2180"/>
      <c r="N275" s="2233"/>
    </row>
    <row r="276" spans="1:16" s="280" customFormat="1">
      <c r="A276" s="250"/>
      <c r="B276" s="2180"/>
      <c r="C276" s="2180"/>
      <c r="D276" s="2180"/>
      <c r="E276" s="2180"/>
      <c r="F276" s="2180"/>
      <c r="G276" s="2180"/>
      <c r="H276" s="2180"/>
      <c r="I276" s="2180"/>
      <c r="J276" s="2180"/>
      <c r="K276" s="2180"/>
      <c r="L276" s="2180"/>
      <c r="M276" s="2180"/>
      <c r="N276" s="2233"/>
    </row>
    <row r="277" spans="1:16">
      <c r="B277" s="2180"/>
      <c r="C277" s="2180"/>
      <c r="D277" s="2180"/>
      <c r="E277" s="2180"/>
      <c r="F277" s="2180"/>
      <c r="G277" s="2180"/>
      <c r="H277" s="2180"/>
      <c r="I277" s="2180"/>
      <c r="J277" s="2180"/>
      <c r="K277" s="2180"/>
      <c r="L277" s="2180"/>
      <c r="M277" s="2180"/>
      <c r="N277" s="2233"/>
      <c r="O277" s="2194"/>
      <c r="P277" s="2194"/>
    </row>
    <row r="278" spans="1:16">
      <c r="B278" s="2180"/>
      <c r="C278" s="2180"/>
      <c r="D278" s="2180"/>
      <c r="E278" s="2180"/>
      <c r="F278" s="2180"/>
      <c r="G278" s="2180"/>
      <c r="H278" s="2180"/>
      <c r="I278" s="2180"/>
      <c r="J278" s="2180"/>
      <c r="K278" s="2180"/>
      <c r="L278" s="2180"/>
      <c r="M278" s="2180"/>
      <c r="N278" s="2233"/>
      <c r="O278" s="2194"/>
      <c r="P278" s="2194"/>
    </row>
    <row r="279" spans="1:16">
      <c r="B279" s="2180"/>
      <c r="C279" s="2180"/>
      <c r="D279" s="2180"/>
      <c r="E279" s="2180"/>
      <c r="F279" s="2180"/>
      <c r="G279" s="2180"/>
      <c r="H279" s="2180"/>
      <c r="I279" s="2180"/>
      <c r="J279" s="2180"/>
      <c r="K279" s="2180"/>
      <c r="L279" s="2180"/>
      <c r="M279" s="2180"/>
      <c r="N279" s="2233"/>
      <c r="O279" s="2194"/>
      <c r="P279" s="2194"/>
    </row>
    <row r="280" spans="1:16">
      <c r="B280" s="2180"/>
      <c r="C280" s="2180"/>
      <c r="D280" s="2180"/>
      <c r="E280" s="2180"/>
      <c r="F280" s="2180"/>
      <c r="G280" s="2180"/>
      <c r="H280" s="2180"/>
      <c r="I280" s="2180"/>
      <c r="J280" s="2180"/>
      <c r="K280" s="2180"/>
      <c r="L280" s="2180"/>
      <c r="M280" s="2180"/>
      <c r="N280" s="2233"/>
      <c r="O280" s="2194"/>
      <c r="P280" s="2194"/>
    </row>
    <row r="281" spans="1:16">
      <c r="B281" s="2180"/>
      <c r="C281" s="2180"/>
      <c r="D281" s="2180"/>
      <c r="E281" s="2180"/>
      <c r="F281" s="2180"/>
      <c r="G281" s="2180"/>
      <c r="H281" s="2180"/>
      <c r="I281" s="2180"/>
      <c r="J281" s="2180"/>
      <c r="K281" s="2180"/>
      <c r="L281" s="2180"/>
      <c r="M281" s="2180"/>
      <c r="N281" s="2233"/>
      <c r="O281" s="2194"/>
      <c r="P281" s="2194"/>
    </row>
    <row r="282" spans="1:16">
      <c r="B282" s="2180"/>
      <c r="C282" s="2180"/>
      <c r="D282" s="2180"/>
      <c r="E282" s="2180"/>
      <c r="F282" s="2180"/>
      <c r="G282" s="2180"/>
      <c r="H282" s="2180"/>
      <c r="I282" s="2180"/>
      <c r="J282" s="2180"/>
      <c r="K282" s="2180"/>
      <c r="L282" s="2180"/>
      <c r="M282" s="2180"/>
      <c r="N282" s="2233"/>
      <c r="O282" s="2194"/>
      <c r="P282" s="2194"/>
    </row>
    <row r="283" spans="1:16">
      <c r="B283" s="2180"/>
      <c r="C283" s="2180"/>
      <c r="D283" s="2180"/>
      <c r="E283" s="2180"/>
      <c r="F283" s="2180"/>
      <c r="G283" s="2180"/>
      <c r="H283" s="2180"/>
      <c r="I283" s="2180"/>
      <c r="J283" s="2180"/>
      <c r="K283" s="2180"/>
      <c r="L283" s="2180"/>
      <c r="M283" s="2180"/>
      <c r="N283" s="2233"/>
      <c r="O283" s="2194"/>
      <c r="P283" s="2194"/>
    </row>
    <row r="284" spans="1:16">
      <c r="B284" s="2180"/>
      <c r="C284" s="2180"/>
      <c r="D284" s="2180"/>
      <c r="E284" s="2180"/>
      <c r="F284" s="2180"/>
      <c r="G284" s="2180"/>
      <c r="H284" s="2180"/>
      <c r="I284" s="2180"/>
      <c r="J284" s="2180"/>
      <c r="K284" s="2180"/>
      <c r="L284" s="2180"/>
      <c r="M284" s="2180"/>
      <c r="N284" s="2181"/>
      <c r="O284" s="2194"/>
      <c r="P284" s="2194"/>
    </row>
    <row r="285" spans="1:16">
      <c r="B285" s="2180"/>
      <c r="C285" s="2180"/>
      <c r="D285" s="2180"/>
      <c r="E285" s="2180"/>
      <c r="F285" s="2180"/>
      <c r="G285" s="2180"/>
      <c r="H285" s="2180"/>
      <c r="I285" s="2180"/>
      <c r="J285" s="2180"/>
      <c r="K285" s="2180"/>
      <c r="L285" s="2180"/>
      <c r="M285" s="2180"/>
      <c r="N285" s="2181"/>
      <c r="O285" s="2194"/>
      <c r="P285" s="2194"/>
    </row>
    <row r="286" spans="1:16">
      <c r="B286" s="2180"/>
      <c r="C286" s="2180"/>
      <c r="D286" s="2180"/>
      <c r="E286" s="2180"/>
      <c r="F286" s="2180"/>
      <c r="G286" s="2180"/>
      <c r="H286" s="2180"/>
      <c r="I286" s="2180"/>
      <c r="J286" s="2180"/>
      <c r="K286" s="2180"/>
      <c r="L286" s="2180"/>
      <c r="M286" s="2180"/>
      <c r="N286" s="2181"/>
      <c r="O286" s="2194"/>
      <c r="P286" s="2194"/>
    </row>
    <row r="287" spans="1:16">
      <c r="B287" s="2180"/>
      <c r="C287" s="2180"/>
      <c r="D287" s="2180"/>
      <c r="E287" s="2180"/>
      <c r="F287" s="2180"/>
      <c r="G287" s="2180"/>
      <c r="H287" s="2180"/>
      <c r="I287" s="2180"/>
      <c r="J287" s="2180"/>
      <c r="K287" s="2180"/>
      <c r="L287" s="2180"/>
      <c r="M287" s="2180"/>
      <c r="N287" s="2181"/>
      <c r="O287" s="2194"/>
      <c r="P287" s="2194"/>
    </row>
    <row r="288" spans="1:16">
      <c r="B288" s="2180"/>
      <c r="C288" s="2180"/>
      <c r="D288" s="2180"/>
      <c r="E288" s="2180"/>
      <c r="F288" s="2180"/>
      <c r="G288" s="2180"/>
      <c r="H288" s="2180"/>
      <c r="I288" s="2180"/>
      <c r="J288" s="2180"/>
      <c r="K288" s="2180"/>
      <c r="L288" s="2180"/>
      <c r="M288" s="2180"/>
      <c r="N288" s="2181"/>
      <c r="O288" s="2194"/>
      <c r="P288" s="2194"/>
    </row>
    <row r="289" spans="2:16">
      <c r="B289" s="2180"/>
      <c r="C289" s="2180"/>
      <c r="D289" s="2180"/>
      <c r="E289" s="2180"/>
      <c r="F289" s="2180"/>
      <c r="G289" s="2180"/>
      <c r="H289" s="2180"/>
      <c r="I289" s="2180"/>
      <c r="J289" s="2180"/>
      <c r="K289" s="2180"/>
      <c r="L289" s="2180"/>
      <c r="M289" s="2180"/>
      <c r="N289" s="2181"/>
      <c r="O289" s="2194"/>
      <c r="P289" s="2194"/>
    </row>
    <row r="290" spans="2:16">
      <c r="B290" s="2180"/>
      <c r="C290" s="2180"/>
      <c r="D290" s="2180"/>
      <c r="E290" s="2180"/>
      <c r="F290" s="2180"/>
      <c r="G290" s="2180"/>
      <c r="H290" s="2180"/>
      <c r="I290" s="2180"/>
      <c r="J290" s="2180"/>
      <c r="K290" s="2180"/>
      <c r="L290" s="2180"/>
      <c r="M290" s="2180"/>
      <c r="N290" s="2181"/>
      <c r="O290" s="2194"/>
      <c r="P290" s="2194"/>
    </row>
    <row r="291" spans="2:16">
      <c r="B291" s="2180"/>
      <c r="C291" s="2180"/>
      <c r="D291" s="2180"/>
      <c r="E291" s="2180"/>
      <c r="F291" s="2180"/>
      <c r="G291" s="2180"/>
      <c r="H291" s="2180"/>
      <c r="I291" s="2180"/>
      <c r="J291" s="2180"/>
      <c r="K291" s="2180"/>
      <c r="L291" s="2180"/>
      <c r="M291" s="2180"/>
      <c r="N291" s="2181"/>
      <c r="O291" s="2194"/>
      <c r="P291" s="2194"/>
    </row>
    <row r="292" spans="2:16">
      <c r="B292" s="2180"/>
      <c r="C292" s="2180"/>
      <c r="D292" s="2180"/>
      <c r="E292" s="2180"/>
      <c r="F292" s="2180"/>
      <c r="G292" s="2180"/>
      <c r="H292" s="2180"/>
      <c r="I292" s="2180"/>
      <c r="J292" s="2180"/>
      <c r="K292" s="2180"/>
      <c r="L292" s="2180"/>
      <c r="M292" s="2180"/>
      <c r="N292" s="2181"/>
      <c r="O292" s="2194"/>
      <c r="P292" s="2194"/>
    </row>
    <row r="293" spans="2:16">
      <c r="B293" s="2180"/>
      <c r="C293" s="2180"/>
      <c r="D293" s="2180"/>
      <c r="E293" s="2180"/>
      <c r="F293" s="2180"/>
      <c r="G293" s="2180"/>
      <c r="H293" s="2180"/>
      <c r="I293" s="2180"/>
      <c r="J293" s="2180"/>
      <c r="K293" s="2180"/>
      <c r="L293" s="2180"/>
      <c r="M293" s="2180"/>
      <c r="N293" s="2181"/>
      <c r="O293" s="2194"/>
      <c r="P293" s="2194"/>
    </row>
    <row r="294" spans="2:16">
      <c r="B294" s="2180"/>
      <c r="C294" s="2180"/>
      <c r="D294" s="2180"/>
      <c r="E294" s="2180"/>
      <c r="F294" s="2180"/>
      <c r="G294" s="2180"/>
      <c r="H294" s="2180"/>
      <c r="I294" s="2180"/>
      <c r="J294" s="2180"/>
      <c r="K294" s="2180"/>
      <c r="L294" s="2180"/>
      <c r="M294" s="2180"/>
      <c r="N294" s="2181"/>
      <c r="O294" s="2194"/>
      <c r="P294" s="2194"/>
    </row>
    <row r="295" spans="2:16">
      <c r="B295" s="2180"/>
      <c r="C295" s="2180"/>
      <c r="D295" s="2180"/>
      <c r="E295" s="2180"/>
      <c r="F295" s="2180"/>
      <c r="G295" s="2180"/>
      <c r="H295" s="2180"/>
      <c r="I295" s="2180"/>
      <c r="J295" s="2180"/>
      <c r="K295" s="2180"/>
      <c r="L295" s="2180"/>
      <c r="M295" s="2180"/>
      <c r="N295" s="2181"/>
      <c r="O295" s="2194"/>
      <c r="P295" s="2194"/>
    </row>
    <row r="296" spans="2:16">
      <c r="B296" s="2180"/>
      <c r="C296" s="2180"/>
      <c r="D296" s="2180"/>
      <c r="E296" s="2180"/>
      <c r="F296" s="2180"/>
      <c r="G296" s="2180"/>
      <c r="H296" s="2180"/>
      <c r="I296" s="2180"/>
      <c r="J296" s="2180"/>
      <c r="K296" s="2180"/>
      <c r="L296" s="2180"/>
      <c r="M296" s="2180"/>
      <c r="N296" s="2181"/>
      <c r="O296" s="2194"/>
      <c r="P296" s="2194"/>
    </row>
    <row r="297" spans="2:16">
      <c r="B297" s="2180"/>
      <c r="C297" s="2180"/>
      <c r="D297" s="2180"/>
      <c r="E297" s="2180"/>
      <c r="F297" s="2180"/>
      <c r="G297" s="2180"/>
      <c r="H297" s="2180"/>
      <c r="I297" s="2180"/>
      <c r="J297" s="2180"/>
      <c r="K297" s="2180"/>
      <c r="L297" s="2180"/>
      <c r="M297" s="2180"/>
      <c r="N297" s="2181"/>
      <c r="O297" s="2194"/>
      <c r="P297" s="2194"/>
    </row>
    <row r="298" spans="2:16">
      <c r="B298" s="2180"/>
      <c r="C298" s="2180"/>
      <c r="D298" s="2180"/>
      <c r="E298" s="2180"/>
      <c r="F298" s="2180"/>
      <c r="G298" s="2180"/>
      <c r="H298" s="2180"/>
      <c r="I298" s="2180"/>
      <c r="J298" s="2180"/>
      <c r="K298" s="2180"/>
      <c r="L298" s="2180"/>
      <c r="M298" s="2180"/>
      <c r="N298" s="2181"/>
      <c r="O298" s="2194"/>
      <c r="P298" s="2194"/>
    </row>
    <row r="299" spans="2:16">
      <c r="B299" s="2180"/>
      <c r="C299" s="2180"/>
      <c r="D299" s="2180"/>
      <c r="E299" s="2180"/>
      <c r="F299" s="2180"/>
      <c r="G299" s="2180"/>
      <c r="H299" s="2180"/>
      <c r="I299" s="2180"/>
      <c r="J299" s="2180"/>
      <c r="K299" s="2180"/>
      <c r="L299" s="2180"/>
      <c r="M299" s="2180"/>
      <c r="N299" s="2181"/>
      <c r="O299" s="2194"/>
      <c r="P299" s="2194"/>
    </row>
    <row r="300" spans="2:16">
      <c r="B300" s="2180"/>
      <c r="C300" s="2180"/>
      <c r="D300" s="2180"/>
      <c r="E300" s="2180"/>
      <c r="F300" s="2180"/>
      <c r="G300" s="2180"/>
      <c r="H300" s="2180"/>
      <c r="I300" s="2180"/>
      <c r="J300" s="2180"/>
      <c r="K300" s="2180"/>
      <c r="L300" s="2180"/>
      <c r="M300" s="2180"/>
      <c r="N300" s="2181"/>
      <c r="O300" s="2194"/>
      <c r="P300" s="2194"/>
    </row>
    <row r="301" spans="2:16">
      <c r="B301" s="2180"/>
      <c r="C301" s="2180"/>
      <c r="D301" s="2180"/>
      <c r="E301" s="2180"/>
      <c r="F301" s="2180"/>
      <c r="G301" s="2180"/>
      <c r="H301" s="2180"/>
      <c r="I301" s="2180"/>
      <c r="J301" s="2180"/>
      <c r="K301" s="2180"/>
      <c r="L301" s="2180"/>
      <c r="M301" s="2180"/>
      <c r="N301" s="2181"/>
      <c r="O301" s="2194"/>
      <c r="P301" s="2194"/>
    </row>
    <row r="302" spans="2:16">
      <c r="B302" s="2180"/>
      <c r="C302" s="2180"/>
      <c r="D302" s="2180"/>
      <c r="E302" s="2180"/>
      <c r="F302" s="2180"/>
      <c r="G302" s="2180"/>
      <c r="H302" s="2180"/>
      <c r="I302" s="2180"/>
      <c r="J302" s="2180"/>
      <c r="K302" s="2180"/>
      <c r="L302" s="2180"/>
      <c r="M302" s="2180"/>
      <c r="N302" s="2181"/>
      <c r="O302" s="2194"/>
      <c r="P302" s="2194"/>
    </row>
    <row r="303" spans="2:16">
      <c r="B303" s="2180"/>
      <c r="C303" s="2180"/>
      <c r="D303" s="2180"/>
      <c r="E303" s="2180"/>
      <c r="F303" s="2180"/>
      <c r="G303" s="2180"/>
      <c r="H303" s="2180"/>
      <c r="I303" s="2180"/>
      <c r="J303" s="2180"/>
      <c r="K303" s="2180"/>
      <c r="L303" s="2180"/>
      <c r="M303" s="2180"/>
      <c r="N303" s="2181"/>
      <c r="O303" s="2194"/>
      <c r="P303" s="2194"/>
    </row>
    <row r="304" spans="2:16">
      <c r="B304" s="2180"/>
      <c r="C304" s="2180"/>
      <c r="D304" s="2180"/>
      <c r="E304" s="2180"/>
      <c r="F304" s="2180"/>
      <c r="G304" s="2180"/>
      <c r="H304" s="2180"/>
      <c r="I304" s="2180"/>
      <c r="J304" s="2180"/>
      <c r="K304" s="2180"/>
      <c r="L304" s="2180"/>
      <c r="M304" s="2180"/>
      <c r="N304" s="2181"/>
      <c r="O304" s="2194"/>
      <c r="P304" s="2194"/>
    </row>
    <row r="305" spans="2:16">
      <c r="B305" s="2180"/>
      <c r="C305" s="2180"/>
      <c r="D305" s="2180"/>
      <c r="E305" s="2180"/>
      <c r="F305" s="2180"/>
      <c r="G305" s="2180"/>
      <c r="H305" s="2180"/>
      <c r="I305" s="2180"/>
      <c r="J305" s="2180"/>
      <c r="K305" s="2180"/>
      <c r="L305" s="2180"/>
      <c r="M305" s="2180"/>
      <c r="N305" s="2181"/>
      <c r="O305" s="2194"/>
      <c r="P305" s="2194"/>
    </row>
    <row r="306" spans="2:16">
      <c r="B306" s="2180"/>
      <c r="C306" s="2180"/>
      <c r="D306" s="2180"/>
      <c r="E306" s="2180"/>
      <c r="F306" s="2180"/>
      <c r="G306" s="2180"/>
      <c r="H306" s="2180"/>
      <c r="I306" s="2180"/>
      <c r="J306" s="2180"/>
      <c r="K306" s="2180"/>
      <c r="L306" s="2180"/>
      <c r="M306" s="2180"/>
      <c r="N306" s="2181"/>
      <c r="O306" s="2194"/>
      <c r="P306" s="2194"/>
    </row>
    <row r="307" spans="2:16">
      <c r="B307" s="2180"/>
      <c r="C307" s="2180"/>
      <c r="D307" s="2180"/>
      <c r="E307" s="2180"/>
      <c r="F307" s="2180"/>
      <c r="G307" s="2180"/>
      <c r="H307" s="2180"/>
      <c r="I307" s="2180"/>
      <c r="J307" s="2180"/>
      <c r="K307" s="2180"/>
      <c r="L307" s="2180"/>
      <c r="M307" s="2180"/>
      <c r="N307" s="2181"/>
      <c r="O307" s="2194"/>
      <c r="P307" s="2194"/>
    </row>
    <row r="308" spans="2:16">
      <c r="B308" s="2180"/>
      <c r="C308" s="2180"/>
      <c r="D308" s="2180"/>
      <c r="E308" s="2180"/>
      <c r="F308" s="2180"/>
      <c r="G308" s="2180"/>
      <c r="H308" s="2180"/>
      <c r="I308" s="2180"/>
      <c r="J308" s="2180"/>
      <c r="K308" s="2180"/>
      <c r="L308" s="2180"/>
      <c r="M308" s="2180"/>
      <c r="N308" s="2181"/>
      <c r="O308" s="2194"/>
      <c r="P308" s="2194"/>
    </row>
    <row r="309" spans="2:16">
      <c r="B309" s="2180"/>
      <c r="C309" s="2180"/>
      <c r="D309" s="2180"/>
      <c r="E309" s="2180"/>
      <c r="F309" s="2180"/>
      <c r="G309" s="2180"/>
      <c r="H309" s="2180"/>
      <c r="I309" s="2180"/>
      <c r="J309" s="2180"/>
      <c r="K309" s="2180"/>
      <c r="L309" s="2180"/>
      <c r="M309" s="2180"/>
      <c r="N309" s="2181"/>
      <c r="O309" s="2194"/>
      <c r="P309" s="2194"/>
    </row>
    <row r="310" spans="2:16">
      <c r="B310" s="2180"/>
      <c r="C310" s="2180"/>
      <c r="D310" s="2180"/>
      <c r="E310" s="2180"/>
      <c r="F310" s="2180"/>
      <c r="G310" s="2180"/>
      <c r="H310" s="2180"/>
      <c r="I310" s="2180"/>
      <c r="J310" s="2180"/>
      <c r="K310" s="2180"/>
      <c r="L310" s="2180"/>
      <c r="M310" s="2180"/>
      <c r="N310" s="2181"/>
      <c r="O310" s="2194"/>
      <c r="P310" s="2194"/>
    </row>
    <row r="311" spans="2:16">
      <c r="B311" s="2180"/>
      <c r="C311" s="2180"/>
      <c r="D311" s="2180"/>
      <c r="E311" s="2180"/>
      <c r="F311" s="2180"/>
      <c r="G311" s="2180"/>
      <c r="H311" s="2180"/>
      <c r="I311" s="2180"/>
      <c r="J311" s="2180"/>
      <c r="K311" s="2180"/>
      <c r="L311" s="2180"/>
      <c r="M311" s="2180"/>
      <c r="N311" s="2181"/>
      <c r="O311" s="2194"/>
      <c r="P311" s="2194"/>
    </row>
    <row r="312" spans="2:16">
      <c r="B312" s="2180"/>
      <c r="C312" s="2180"/>
      <c r="D312" s="2180"/>
      <c r="E312" s="2180"/>
      <c r="F312" s="2180"/>
      <c r="G312" s="2180"/>
      <c r="H312" s="2180"/>
      <c r="I312" s="2180"/>
      <c r="J312" s="2180"/>
      <c r="K312" s="2180"/>
      <c r="L312" s="2180"/>
      <c r="M312" s="2180"/>
      <c r="N312" s="2181"/>
      <c r="O312" s="2194"/>
      <c r="P312" s="2194"/>
    </row>
    <row r="313" spans="2:16">
      <c r="B313" s="2180"/>
      <c r="C313" s="2180"/>
      <c r="D313" s="2180"/>
      <c r="E313" s="2180"/>
      <c r="F313" s="2180"/>
      <c r="G313" s="2180"/>
      <c r="H313" s="2180"/>
      <c r="I313" s="2180"/>
      <c r="J313" s="2180"/>
      <c r="K313" s="2180"/>
      <c r="L313" s="2180"/>
      <c r="M313" s="2180"/>
      <c r="N313" s="2181"/>
      <c r="O313" s="2194"/>
      <c r="P313" s="2194"/>
    </row>
    <row r="314" spans="2:16">
      <c r="B314" s="2180"/>
      <c r="C314" s="2180"/>
      <c r="D314" s="2180"/>
      <c r="E314" s="2180"/>
      <c r="F314" s="2180"/>
      <c r="G314" s="2180"/>
      <c r="H314" s="2180"/>
      <c r="I314" s="2180"/>
      <c r="J314" s="2180"/>
      <c r="K314" s="2180"/>
      <c r="L314" s="2180"/>
      <c r="M314" s="2180"/>
      <c r="N314" s="2181"/>
      <c r="O314" s="2194"/>
      <c r="P314" s="2194"/>
    </row>
    <row r="315" spans="2:16">
      <c r="B315" s="2180"/>
      <c r="C315" s="2180"/>
      <c r="D315" s="2180"/>
      <c r="E315" s="2180"/>
      <c r="F315" s="2180"/>
      <c r="G315" s="2180"/>
      <c r="H315" s="2180"/>
      <c r="I315" s="2180"/>
      <c r="J315" s="2180"/>
      <c r="K315" s="2180"/>
      <c r="L315" s="2180"/>
      <c r="M315" s="2180"/>
      <c r="N315" s="2181"/>
      <c r="O315" s="2194"/>
      <c r="P315" s="2194"/>
    </row>
    <row r="316" spans="2:16">
      <c r="B316" s="2180"/>
      <c r="C316" s="2180"/>
      <c r="D316" s="2180"/>
      <c r="E316" s="2180"/>
      <c r="F316" s="2180"/>
      <c r="G316" s="2180"/>
      <c r="H316" s="2180"/>
      <c r="I316" s="2180"/>
      <c r="J316" s="2180"/>
      <c r="K316" s="2180"/>
      <c r="L316" s="2180"/>
      <c r="M316" s="2180"/>
      <c r="N316" s="2181"/>
      <c r="O316" s="2194"/>
      <c r="P316" s="2194"/>
    </row>
    <row r="317" spans="2:16">
      <c r="B317" s="2180"/>
      <c r="C317" s="2180"/>
      <c r="D317" s="2180"/>
      <c r="E317" s="2180"/>
      <c r="F317" s="2180"/>
      <c r="G317" s="2180"/>
      <c r="H317" s="2180"/>
      <c r="I317" s="2180"/>
      <c r="J317" s="2180"/>
      <c r="K317" s="2180"/>
      <c r="L317" s="2180"/>
      <c r="M317" s="2180"/>
      <c r="N317" s="2181"/>
      <c r="O317" s="2194"/>
      <c r="P317" s="2194"/>
    </row>
    <row r="318" spans="2:16">
      <c r="B318" s="2180"/>
      <c r="C318" s="2180"/>
      <c r="D318" s="2180"/>
      <c r="E318" s="2180"/>
      <c r="F318" s="2180"/>
      <c r="G318" s="2180"/>
      <c r="H318" s="2180"/>
      <c r="I318" s="2180"/>
      <c r="J318" s="2180"/>
      <c r="K318" s="2180"/>
      <c r="L318" s="2180"/>
      <c r="M318" s="2180"/>
      <c r="N318" s="2181"/>
      <c r="O318" s="2194"/>
      <c r="P318" s="2194"/>
    </row>
    <row r="319" spans="2:16">
      <c r="B319" s="2180"/>
      <c r="C319" s="2180"/>
      <c r="D319" s="2180"/>
      <c r="E319" s="2180"/>
      <c r="F319" s="2180"/>
      <c r="G319" s="2180"/>
      <c r="H319" s="2180"/>
      <c r="I319" s="2180"/>
      <c r="J319" s="2180"/>
      <c r="K319" s="2180"/>
      <c r="L319" s="2180"/>
      <c r="M319" s="2180"/>
      <c r="N319" s="2181"/>
      <c r="O319" s="2194"/>
      <c r="P319" s="2194"/>
    </row>
    <row r="320" spans="2:16">
      <c r="B320" s="2180"/>
      <c r="C320" s="2180"/>
      <c r="D320" s="2180"/>
      <c r="E320" s="2180"/>
      <c r="F320" s="2180"/>
      <c r="G320" s="2180"/>
      <c r="H320" s="2180"/>
      <c r="I320" s="2180"/>
      <c r="J320" s="2180"/>
      <c r="K320" s="2180"/>
      <c r="L320" s="2180"/>
      <c r="M320" s="2180"/>
      <c r="N320" s="2181"/>
      <c r="O320" s="2194"/>
      <c r="P320" s="2194"/>
    </row>
    <row r="321" spans="2:16">
      <c r="B321" s="2180"/>
      <c r="C321" s="2180"/>
      <c r="D321" s="2180"/>
      <c r="E321" s="2180"/>
      <c r="F321" s="2180"/>
      <c r="G321" s="2180"/>
      <c r="H321" s="2180"/>
      <c r="I321" s="2180"/>
      <c r="J321" s="2180"/>
      <c r="K321" s="2180"/>
      <c r="L321" s="2180"/>
      <c r="M321" s="2180"/>
      <c r="N321" s="2181"/>
      <c r="O321" s="2194"/>
      <c r="P321" s="2194"/>
    </row>
    <row r="322" spans="2:16">
      <c r="B322" s="2180"/>
      <c r="C322" s="2180"/>
      <c r="D322" s="2180"/>
      <c r="E322" s="2180"/>
      <c r="F322" s="2180"/>
      <c r="G322" s="2180"/>
      <c r="H322" s="2180"/>
      <c r="I322" s="2180"/>
      <c r="J322" s="2180"/>
      <c r="K322" s="2180"/>
      <c r="L322" s="2180"/>
      <c r="M322" s="2180"/>
      <c r="N322" s="2181"/>
      <c r="O322" s="2194"/>
      <c r="P322" s="2194"/>
    </row>
    <row r="323" spans="2:16">
      <c r="B323" s="2180"/>
      <c r="C323" s="2180"/>
      <c r="D323" s="2180"/>
      <c r="E323" s="2180"/>
      <c r="F323" s="2180"/>
      <c r="G323" s="2180"/>
      <c r="H323" s="2180"/>
      <c r="I323" s="2180"/>
      <c r="J323" s="2180"/>
      <c r="K323" s="2180"/>
      <c r="L323" s="2180"/>
      <c r="M323" s="2180"/>
      <c r="N323" s="2181"/>
      <c r="O323" s="2194"/>
      <c r="P323" s="2194"/>
    </row>
    <row r="324" spans="2:16">
      <c r="B324" s="2180"/>
      <c r="C324" s="2180"/>
      <c r="D324" s="2180"/>
      <c r="E324" s="2180"/>
      <c r="F324" s="2180"/>
      <c r="G324" s="2180"/>
      <c r="H324" s="2180"/>
      <c r="I324" s="2180"/>
      <c r="J324" s="2180"/>
      <c r="K324" s="2180"/>
      <c r="L324" s="2180"/>
      <c r="M324" s="2180"/>
      <c r="N324" s="2181"/>
      <c r="O324" s="2194"/>
      <c r="P324" s="2194"/>
    </row>
    <row r="325" spans="2:16">
      <c r="B325" s="2180"/>
      <c r="C325" s="2180"/>
      <c r="D325" s="2180"/>
      <c r="E325" s="2180"/>
      <c r="F325" s="2180"/>
      <c r="G325" s="2180"/>
      <c r="H325" s="2180"/>
      <c r="I325" s="2180"/>
      <c r="J325" s="2180"/>
      <c r="K325" s="2180"/>
      <c r="L325" s="2180"/>
      <c r="M325" s="2180"/>
      <c r="N325" s="2181"/>
      <c r="O325" s="2194"/>
      <c r="P325" s="2194"/>
    </row>
    <row r="326" spans="2:16">
      <c r="B326" s="2180"/>
      <c r="C326" s="2180"/>
      <c r="D326" s="2180"/>
      <c r="E326" s="2180"/>
      <c r="F326" s="2180"/>
      <c r="G326" s="2180"/>
      <c r="H326" s="2180"/>
      <c r="I326" s="2180"/>
      <c r="J326" s="2180"/>
      <c r="K326" s="2180"/>
      <c r="L326" s="2180"/>
      <c r="M326" s="2180"/>
      <c r="N326" s="2181"/>
      <c r="O326" s="2194"/>
      <c r="P326" s="2194"/>
    </row>
    <row r="327" spans="2:16">
      <c r="B327" s="2180"/>
      <c r="C327" s="2180"/>
      <c r="D327" s="2180"/>
      <c r="E327" s="2180"/>
      <c r="F327" s="2180"/>
      <c r="G327" s="2180"/>
      <c r="H327" s="2180"/>
      <c r="I327" s="2180"/>
      <c r="J327" s="2180"/>
      <c r="K327" s="2180"/>
      <c r="L327" s="2180"/>
      <c r="M327" s="2180"/>
      <c r="N327" s="2181"/>
      <c r="O327" s="2194"/>
      <c r="P327" s="2194"/>
    </row>
    <row r="328" spans="2:16">
      <c r="B328" s="2180"/>
      <c r="C328" s="2180"/>
      <c r="D328" s="2180"/>
      <c r="E328" s="2180"/>
      <c r="F328" s="2180"/>
      <c r="G328" s="2180"/>
      <c r="H328" s="2180"/>
      <c r="I328" s="2180"/>
      <c r="J328" s="2180"/>
      <c r="K328" s="2180"/>
      <c r="L328" s="2180"/>
      <c r="M328" s="2180"/>
      <c r="N328" s="2181"/>
      <c r="O328" s="2194"/>
      <c r="P328" s="2194"/>
    </row>
    <row r="329" spans="2:16">
      <c r="B329" s="2180"/>
      <c r="C329" s="2180"/>
      <c r="D329" s="2180"/>
      <c r="E329" s="2180"/>
      <c r="F329" s="2180"/>
      <c r="G329" s="2180"/>
      <c r="H329" s="2180"/>
      <c r="I329" s="2180"/>
      <c r="J329" s="2180"/>
      <c r="K329" s="2180"/>
      <c r="L329" s="2180"/>
      <c r="M329" s="2180"/>
      <c r="N329" s="2181"/>
      <c r="O329" s="2194"/>
      <c r="P329" s="2194"/>
    </row>
    <row r="330" spans="2:16">
      <c r="B330" s="2180"/>
      <c r="C330" s="2180"/>
      <c r="D330" s="2180"/>
      <c r="E330" s="2180"/>
      <c r="F330" s="2180"/>
      <c r="G330" s="2180"/>
      <c r="H330" s="2180"/>
      <c r="I330" s="2180"/>
      <c r="J330" s="2180"/>
      <c r="K330" s="2180"/>
      <c r="L330" s="2180"/>
      <c r="M330" s="2180"/>
      <c r="N330" s="2181"/>
      <c r="O330" s="2194"/>
      <c r="P330" s="2194"/>
    </row>
    <row r="331" spans="2:16">
      <c r="B331" s="2180"/>
      <c r="C331" s="2180"/>
      <c r="D331" s="2180"/>
      <c r="E331" s="2180"/>
      <c r="F331" s="2180"/>
      <c r="G331" s="2180"/>
      <c r="H331" s="2180"/>
      <c r="I331" s="2180"/>
      <c r="J331" s="2180"/>
      <c r="K331" s="2180"/>
      <c r="L331" s="2180"/>
      <c r="M331" s="2180"/>
      <c r="N331" s="2181"/>
      <c r="O331" s="2194"/>
      <c r="P331" s="2194"/>
    </row>
    <row r="332" spans="2:16">
      <c r="B332" s="2180"/>
      <c r="C332" s="2180"/>
      <c r="D332" s="2180"/>
      <c r="E332" s="2180"/>
      <c r="F332" s="2180"/>
      <c r="G332" s="2180"/>
      <c r="H332" s="2180"/>
      <c r="I332" s="2180"/>
      <c r="J332" s="2180"/>
      <c r="K332" s="2180"/>
      <c r="L332" s="2180"/>
      <c r="M332" s="2180"/>
      <c r="N332" s="2181"/>
      <c r="O332" s="2194"/>
      <c r="P332" s="2194"/>
    </row>
    <row r="333" spans="2:16">
      <c r="B333" s="2180"/>
      <c r="C333" s="2180"/>
      <c r="D333" s="2180"/>
      <c r="E333" s="2180"/>
      <c r="F333" s="2180"/>
      <c r="G333" s="2180"/>
      <c r="H333" s="2180"/>
      <c r="I333" s="2180"/>
      <c r="J333" s="2180"/>
      <c r="K333" s="2180"/>
      <c r="L333" s="2180"/>
      <c r="M333" s="2180"/>
      <c r="N333" s="2181"/>
      <c r="O333" s="2194"/>
      <c r="P333" s="2194"/>
    </row>
    <row r="334" spans="2:16">
      <c r="B334" s="2180"/>
      <c r="C334" s="2180"/>
      <c r="D334" s="2180"/>
      <c r="E334" s="2180"/>
      <c r="F334" s="2180"/>
      <c r="G334" s="2180"/>
      <c r="H334" s="2180"/>
      <c r="I334" s="2180"/>
      <c r="J334" s="2180"/>
      <c r="K334" s="2180"/>
      <c r="L334" s="2180"/>
      <c r="M334" s="2180"/>
      <c r="N334" s="2181"/>
      <c r="O334" s="2194"/>
      <c r="P334" s="2194"/>
    </row>
    <row r="335" spans="2:16">
      <c r="B335" s="2180"/>
      <c r="C335" s="2180"/>
      <c r="D335" s="2180"/>
      <c r="E335" s="2180"/>
      <c r="F335" s="2180"/>
      <c r="G335" s="2180"/>
      <c r="H335" s="2180"/>
      <c r="I335" s="2180"/>
      <c r="J335" s="2180"/>
      <c r="K335" s="2180"/>
      <c r="L335" s="2180"/>
      <c r="M335" s="2180"/>
      <c r="N335" s="2181"/>
      <c r="O335" s="2194"/>
      <c r="P335" s="2194"/>
    </row>
    <row r="336" spans="2:16">
      <c r="B336" s="2180"/>
      <c r="C336" s="2180"/>
      <c r="D336" s="2180"/>
      <c r="E336" s="2180"/>
      <c r="F336" s="2180"/>
      <c r="G336" s="2180"/>
      <c r="H336" s="2180"/>
      <c r="I336" s="2180"/>
      <c r="J336" s="2180"/>
      <c r="K336" s="2180"/>
      <c r="L336" s="2180"/>
      <c r="M336" s="2180"/>
      <c r="N336" s="2181"/>
      <c r="O336" s="2194"/>
      <c r="P336" s="2194"/>
    </row>
    <row r="337" spans="2:16">
      <c r="B337" s="2180"/>
      <c r="C337" s="2180"/>
      <c r="D337" s="2180"/>
      <c r="E337" s="2180"/>
      <c r="F337" s="2180"/>
      <c r="G337" s="2180"/>
      <c r="H337" s="2180"/>
      <c r="I337" s="2180"/>
      <c r="J337" s="2180"/>
      <c r="K337" s="2180"/>
      <c r="L337" s="2180"/>
      <c r="M337" s="2180"/>
      <c r="N337" s="2181"/>
      <c r="O337" s="2194"/>
      <c r="P337" s="2194"/>
    </row>
    <row r="338" spans="2:16">
      <c r="B338" s="2180"/>
      <c r="C338" s="2180"/>
      <c r="D338" s="2180"/>
      <c r="E338" s="2180"/>
      <c r="F338" s="2180"/>
      <c r="G338" s="2180"/>
      <c r="H338" s="2180"/>
      <c r="I338" s="2180"/>
      <c r="J338" s="2180"/>
      <c r="K338" s="2180"/>
      <c r="L338" s="2180"/>
      <c r="M338" s="2180"/>
      <c r="N338" s="2181"/>
      <c r="O338" s="2194"/>
      <c r="P338" s="2194"/>
    </row>
    <row r="339" spans="2:16">
      <c r="B339" s="2180"/>
      <c r="C339" s="2180"/>
      <c r="D339" s="2180"/>
      <c r="E339" s="2180"/>
      <c r="F339" s="2180"/>
      <c r="G339" s="2180"/>
      <c r="H339" s="2180"/>
      <c r="I339" s="2180"/>
      <c r="J339" s="2180"/>
      <c r="K339" s="2180"/>
      <c r="L339" s="2180"/>
      <c r="M339" s="2180"/>
      <c r="N339" s="2181"/>
      <c r="O339" s="2194"/>
      <c r="P339" s="2194"/>
    </row>
    <row r="340" spans="2:16">
      <c r="B340" s="2180"/>
      <c r="C340" s="2180"/>
      <c r="D340" s="2180"/>
      <c r="E340" s="2180"/>
      <c r="F340" s="2180"/>
      <c r="G340" s="2180"/>
      <c r="H340" s="2180"/>
      <c r="I340" s="2180"/>
      <c r="J340" s="2180"/>
      <c r="K340" s="2180"/>
      <c r="L340" s="2180"/>
      <c r="M340" s="2180"/>
      <c r="N340" s="2181"/>
      <c r="O340" s="2194"/>
      <c r="P340" s="2194"/>
    </row>
    <row r="341" spans="2:16">
      <c r="B341" s="2180"/>
      <c r="C341" s="2180"/>
      <c r="D341" s="2180"/>
      <c r="E341" s="2180"/>
      <c r="F341" s="2180"/>
      <c r="G341" s="2180"/>
      <c r="H341" s="2180"/>
      <c r="I341" s="2180"/>
      <c r="J341" s="2180"/>
      <c r="K341" s="2180"/>
      <c r="L341" s="2180"/>
      <c r="M341" s="2180"/>
      <c r="N341" s="2181"/>
      <c r="O341" s="2194"/>
      <c r="P341" s="2194"/>
    </row>
    <row r="342" spans="2:16">
      <c r="B342" s="2180"/>
      <c r="C342" s="2180"/>
      <c r="D342" s="2180"/>
      <c r="E342" s="2180"/>
      <c r="F342" s="2180"/>
      <c r="G342" s="2180"/>
      <c r="H342" s="2180"/>
      <c r="I342" s="2180"/>
      <c r="J342" s="2180"/>
      <c r="K342" s="2180"/>
      <c r="L342" s="2180"/>
      <c r="M342" s="2180"/>
      <c r="N342" s="2181"/>
      <c r="O342" s="2194"/>
      <c r="P342" s="2194"/>
    </row>
    <row r="343" spans="2:16">
      <c r="B343" s="2180"/>
      <c r="C343" s="2180"/>
      <c r="D343" s="2180"/>
      <c r="E343" s="2180"/>
      <c r="F343" s="2180"/>
      <c r="G343" s="2180"/>
      <c r="H343" s="2180"/>
      <c r="I343" s="2180"/>
      <c r="J343" s="2180"/>
      <c r="K343" s="2180"/>
      <c r="L343" s="2180"/>
      <c r="M343" s="2180"/>
      <c r="N343" s="2181"/>
      <c r="O343" s="2194"/>
      <c r="P343" s="2194"/>
    </row>
    <row r="344" spans="2:16">
      <c r="B344" s="2180"/>
      <c r="C344" s="2180"/>
      <c r="D344" s="2180"/>
      <c r="E344" s="2180"/>
      <c r="F344" s="2180"/>
      <c r="G344" s="2180"/>
      <c r="H344" s="2180"/>
      <c r="I344" s="2180"/>
      <c r="J344" s="2180"/>
      <c r="K344" s="2180"/>
      <c r="L344" s="2180"/>
      <c r="M344" s="2180"/>
      <c r="N344" s="2181"/>
      <c r="O344" s="2194"/>
      <c r="P344" s="2194"/>
    </row>
    <row r="345" spans="2:16">
      <c r="B345" s="2180"/>
      <c r="C345" s="2180"/>
      <c r="D345" s="2180"/>
      <c r="E345" s="2180"/>
      <c r="F345" s="2180"/>
      <c r="G345" s="2180"/>
      <c r="H345" s="2180"/>
      <c r="I345" s="2180"/>
      <c r="J345" s="2180"/>
      <c r="K345" s="2180"/>
      <c r="L345" s="2180"/>
      <c r="M345" s="2180"/>
      <c r="N345" s="2181"/>
      <c r="O345" s="2194"/>
      <c r="P345" s="2194"/>
    </row>
    <row r="346" spans="2:16">
      <c r="B346" s="2180"/>
      <c r="C346" s="2180"/>
      <c r="D346" s="2180"/>
      <c r="E346" s="2180"/>
      <c r="F346" s="2180"/>
      <c r="G346" s="2180"/>
      <c r="H346" s="2180"/>
      <c r="I346" s="2180"/>
      <c r="J346" s="2180"/>
      <c r="K346" s="2180"/>
      <c r="L346" s="2180"/>
      <c r="M346" s="2180"/>
      <c r="N346" s="2181"/>
      <c r="O346" s="2194"/>
      <c r="P346" s="2194"/>
    </row>
    <row r="347" spans="2:16">
      <c r="B347" s="2180"/>
      <c r="C347" s="2180"/>
      <c r="D347" s="2180"/>
      <c r="E347" s="2180"/>
      <c r="F347" s="2180"/>
      <c r="G347" s="2180"/>
      <c r="H347" s="2180"/>
      <c r="I347" s="2180"/>
      <c r="J347" s="2180"/>
      <c r="K347" s="2180"/>
      <c r="L347" s="2180"/>
      <c r="M347" s="2180"/>
      <c r="N347" s="2181"/>
      <c r="O347" s="2194"/>
      <c r="P347" s="2194"/>
    </row>
    <row r="348" spans="2:16">
      <c r="B348" s="2180"/>
      <c r="C348" s="2180"/>
      <c r="D348" s="2180"/>
      <c r="E348" s="2180"/>
      <c r="F348" s="2180"/>
      <c r="G348" s="2180"/>
      <c r="H348" s="2180"/>
      <c r="I348" s="2180"/>
      <c r="J348" s="2180"/>
      <c r="K348" s="2180"/>
      <c r="L348" s="2180"/>
      <c r="M348" s="2180"/>
      <c r="N348" s="2181"/>
      <c r="O348" s="2194"/>
      <c r="P348" s="2194"/>
    </row>
    <row r="349" spans="2:16">
      <c r="B349" s="2180"/>
      <c r="C349" s="2180"/>
      <c r="D349" s="2180"/>
      <c r="E349" s="2180"/>
      <c r="F349" s="2180"/>
      <c r="G349" s="2180"/>
      <c r="H349" s="2180"/>
      <c r="I349" s="2180"/>
      <c r="J349" s="2180"/>
      <c r="K349" s="2180"/>
      <c r="L349" s="2180"/>
      <c r="M349" s="2180"/>
      <c r="N349" s="2181"/>
      <c r="O349" s="2194"/>
      <c r="P349" s="2194"/>
    </row>
    <row r="350" spans="2:16">
      <c r="B350" s="2180"/>
      <c r="C350" s="2180"/>
      <c r="D350" s="2180"/>
      <c r="E350" s="2180"/>
      <c r="F350" s="2180"/>
      <c r="G350" s="2180"/>
      <c r="H350" s="2180"/>
      <c r="I350" s="2180"/>
      <c r="J350" s="2180"/>
      <c r="K350" s="2180"/>
      <c r="L350" s="2180"/>
      <c r="M350" s="2180"/>
      <c r="N350" s="2181"/>
      <c r="O350" s="2194"/>
      <c r="P350" s="2194"/>
    </row>
    <row r="351" spans="2:16">
      <c r="B351" s="2180"/>
      <c r="C351" s="2180"/>
      <c r="D351" s="2180"/>
      <c r="E351" s="2180"/>
      <c r="F351" s="2180"/>
      <c r="G351" s="2180"/>
      <c r="H351" s="2180"/>
      <c r="I351" s="2180"/>
      <c r="J351" s="2180"/>
      <c r="K351" s="2180"/>
      <c r="L351" s="2180"/>
      <c r="M351" s="2180"/>
      <c r="N351" s="2181"/>
      <c r="O351" s="2194"/>
      <c r="P351" s="2194"/>
    </row>
    <row r="352" spans="2:16">
      <c r="B352" s="2180"/>
      <c r="C352" s="2180"/>
      <c r="D352" s="2180"/>
      <c r="E352" s="2180"/>
      <c r="F352" s="2180"/>
      <c r="G352" s="2180"/>
      <c r="H352" s="2180"/>
      <c r="I352" s="2180"/>
      <c r="J352" s="2180"/>
      <c r="K352" s="2180"/>
      <c r="L352" s="2180"/>
      <c r="M352" s="2180"/>
      <c r="N352" s="2181"/>
      <c r="O352" s="2194"/>
      <c r="P352" s="2194"/>
    </row>
    <row r="353" spans="2:16">
      <c r="B353" s="2180"/>
      <c r="C353" s="2180"/>
      <c r="D353" s="2180"/>
      <c r="E353" s="2180"/>
      <c r="F353" s="2180"/>
      <c r="G353" s="2180"/>
      <c r="H353" s="2180"/>
      <c r="I353" s="2180"/>
      <c r="J353" s="2180"/>
      <c r="K353" s="2180"/>
      <c r="L353" s="2180"/>
      <c r="M353" s="2180"/>
      <c r="N353" s="2181"/>
      <c r="O353" s="2194"/>
      <c r="P353" s="2194"/>
    </row>
    <row r="354" spans="2:16">
      <c r="B354" s="2180"/>
      <c r="C354" s="2180"/>
      <c r="D354" s="2180"/>
      <c r="E354" s="2180"/>
      <c r="F354" s="2180"/>
      <c r="G354" s="2180"/>
      <c r="H354" s="2180"/>
      <c r="I354" s="2180"/>
      <c r="J354" s="2180"/>
      <c r="K354" s="2180"/>
      <c r="L354" s="2180"/>
      <c r="M354" s="2180"/>
      <c r="N354" s="2181"/>
      <c r="O354" s="2194"/>
      <c r="P354" s="2194"/>
    </row>
    <row r="355" spans="2:16">
      <c r="B355" s="2180"/>
      <c r="C355" s="2180"/>
      <c r="D355" s="2180"/>
      <c r="E355" s="2180"/>
      <c r="F355" s="2180"/>
      <c r="G355" s="2180"/>
      <c r="H355" s="2180"/>
      <c r="I355" s="2180"/>
      <c r="J355" s="2180"/>
      <c r="K355" s="2180"/>
      <c r="L355" s="2180"/>
      <c r="M355" s="2180"/>
      <c r="N355" s="2181"/>
      <c r="O355" s="2194"/>
      <c r="P355" s="2194"/>
    </row>
    <row r="356" spans="2:16">
      <c r="B356" s="2180"/>
      <c r="C356" s="2180"/>
      <c r="D356" s="2180"/>
      <c r="E356" s="2180"/>
      <c r="F356" s="2180"/>
      <c r="G356" s="2180"/>
      <c r="H356" s="2180"/>
      <c r="I356" s="2180"/>
      <c r="J356" s="2180"/>
      <c r="K356" s="2180"/>
      <c r="L356" s="2180"/>
      <c r="M356" s="2180"/>
      <c r="N356" s="2181"/>
      <c r="O356" s="2194"/>
      <c r="P356" s="2194"/>
    </row>
    <row r="357" spans="2:16">
      <c r="B357" s="2180"/>
      <c r="C357" s="2180"/>
      <c r="D357" s="2180"/>
      <c r="E357" s="2180"/>
      <c r="F357" s="2180"/>
      <c r="G357" s="2180"/>
      <c r="H357" s="2180"/>
      <c r="I357" s="2180"/>
      <c r="J357" s="2180"/>
      <c r="K357" s="2180"/>
      <c r="L357" s="2180"/>
      <c r="M357" s="2180"/>
      <c r="N357" s="2181"/>
      <c r="O357" s="2194"/>
      <c r="P357" s="2194"/>
    </row>
    <row r="358" spans="2:16">
      <c r="B358" s="2180"/>
      <c r="C358" s="2180"/>
      <c r="D358" s="2180"/>
      <c r="E358" s="2180"/>
      <c r="F358" s="2180"/>
      <c r="G358" s="2180"/>
      <c r="H358" s="2180"/>
      <c r="I358" s="2180"/>
      <c r="J358" s="2180"/>
      <c r="K358" s="2180"/>
      <c r="L358" s="2180"/>
      <c r="M358" s="2180"/>
      <c r="N358" s="2181"/>
      <c r="O358" s="2194"/>
      <c r="P358" s="2194"/>
    </row>
    <row r="359" spans="2:16">
      <c r="B359" s="2180"/>
      <c r="C359" s="2180"/>
      <c r="D359" s="2180"/>
      <c r="E359" s="2180"/>
      <c r="F359" s="2180"/>
      <c r="G359" s="2180"/>
      <c r="H359" s="2180"/>
      <c r="I359" s="2180"/>
      <c r="J359" s="2180"/>
      <c r="K359" s="2180"/>
      <c r="L359" s="2180"/>
      <c r="M359" s="2180"/>
      <c r="N359" s="2181"/>
      <c r="O359" s="2194"/>
      <c r="P359" s="2194"/>
    </row>
    <row r="360" spans="2:16">
      <c r="B360" s="2180"/>
      <c r="C360" s="2180"/>
      <c r="D360" s="2180"/>
      <c r="E360" s="2180"/>
      <c r="F360" s="2180"/>
      <c r="G360" s="2180"/>
      <c r="H360" s="2180"/>
      <c r="I360" s="2180"/>
      <c r="J360" s="2180"/>
      <c r="K360" s="2180"/>
      <c r="L360" s="2180"/>
      <c r="M360" s="2180"/>
      <c r="N360" s="2181"/>
      <c r="O360" s="2194"/>
      <c r="P360" s="2194"/>
    </row>
    <row r="361" spans="2:16">
      <c r="B361" s="2180"/>
      <c r="C361" s="2180"/>
      <c r="D361" s="2180"/>
      <c r="E361" s="2180"/>
      <c r="F361" s="2180"/>
      <c r="G361" s="2180"/>
      <c r="H361" s="2180"/>
      <c r="I361" s="2180"/>
      <c r="J361" s="2180"/>
      <c r="K361" s="2180"/>
      <c r="L361" s="2180"/>
      <c r="M361" s="2180"/>
      <c r="N361" s="2181"/>
      <c r="O361" s="2194"/>
      <c r="P361" s="2194"/>
    </row>
    <row r="362" spans="2:16">
      <c r="B362" s="2180"/>
      <c r="C362" s="2180"/>
      <c r="D362" s="2180"/>
      <c r="E362" s="2180"/>
      <c r="F362" s="2180"/>
      <c r="G362" s="2180"/>
      <c r="H362" s="2180"/>
      <c r="I362" s="2180"/>
      <c r="J362" s="2180"/>
      <c r="K362" s="2180"/>
      <c r="L362" s="2180"/>
      <c r="M362" s="2180"/>
      <c r="N362" s="2181"/>
      <c r="O362" s="2194"/>
      <c r="P362" s="2194"/>
    </row>
    <row r="363" spans="2:16">
      <c r="B363" s="2180"/>
      <c r="C363" s="2180"/>
      <c r="D363" s="2180"/>
      <c r="E363" s="2180"/>
      <c r="F363" s="2180"/>
      <c r="G363" s="2180"/>
      <c r="H363" s="2180"/>
      <c r="I363" s="2180"/>
      <c r="J363" s="2180"/>
      <c r="K363" s="2180"/>
      <c r="L363" s="2180"/>
      <c r="M363" s="2180"/>
      <c r="N363" s="2181"/>
      <c r="O363" s="2194"/>
      <c r="P363" s="2194"/>
    </row>
    <row r="364" spans="2:16">
      <c r="B364" s="2180"/>
      <c r="C364" s="2180"/>
      <c r="D364" s="2180"/>
      <c r="E364" s="2180"/>
      <c r="F364" s="2180"/>
      <c r="G364" s="2180"/>
      <c r="H364" s="2180"/>
      <c r="I364" s="2180"/>
      <c r="J364" s="2180"/>
      <c r="K364" s="2180"/>
      <c r="L364" s="2180"/>
      <c r="M364" s="2180"/>
      <c r="N364" s="2181"/>
      <c r="O364" s="2194"/>
      <c r="P364" s="2194"/>
    </row>
    <row r="365" spans="2:16">
      <c r="B365" s="2180"/>
      <c r="C365" s="2180"/>
      <c r="D365" s="2180"/>
      <c r="E365" s="2180"/>
      <c r="F365" s="2180"/>
      <c r="G365" s="2180"/>
      <c r="H365" s="2180"/>
      <c r="I365" s="2180"/>
      <c r="J365" s="2180"/>
      <c r="K365" s="2180"/>
      <c r="L365" s="2180"/>
      <c r="M365" s="2180"/>
      <c r="N365" s="2181"/>
      <c r="O365" s="2194"/>
      <c r="P365" s="2194"/>
    </row>
    <row r="366" spans="2:16">
      <c r="B366" s="2180"/>
      <c r="C366" s="2180"/>
      <c r="D366" s="2180"/>
      <c r="E366" s="2180"/>
      <c r="F366" s="2180"/>
      <c r="G366" s="2180"/>
      <c r="H366" s="2180"/>
      <c r="I366" s="2180"/>
      <c r="J366" s="2180"/>
      <c r="K366" s="2180"/>
      <c r="L366" s="2180"/>
      <c r="M366" s="2180"/>
      <c r="N366" s="2181"/>
      <c r="O366" s="2194"/>
      <c r="P366" s="2194"/>
    </row>
    <row r="367" spans="2:16">
      <c r="B367" s="2180"/>
      <c r="C367" s="2180"/>
      <c r="D367" s="2180"/>
      <c r="E367" s="2180"/>
      <c r="F367" s="2180"/>
      <c r="G367" s="2180"/>
      <c r="H367" s="2180"/>
      <c r="I367" s="2180"/>
      <c r="J367" s="2180"/>
      <c r="K367" s="2180"/>
      <c r="L367" s="2180"/>
      <c r="M367" s="2180"/>
      <c r="N367" s="2181"/>
      <c r="O367" s="2194"/>
      <c r="P367" s="2194"/>
    </row>
    <row r="368" spans="2:16">
      <c r="B368" s="2180"/>
      <c r="C368" s="2180"/>
      <c r="D368" s="2180"/>
      <c r="E368" s="2180"/>
      <c r="F368" s="2180"/>
      <c r="G368" s="2180"/>
      <c r="H368" s="2180"/>
      <c r="I368" s="2180"/>
      <c r="J368" s="2180"/>
      <c r="K368" s="2180"/>
      <c r="L368" s="2180"/>
      <c r="M368" s="2180"/>
      <c r="N368" s="2181"/>
      <c r="O368" s="2194"/>
      <c r="P368" s="2194"/>
    </row>
    <row r="369" spans="2:16">
      <c r="B369" s="2180"/>
      <c r="C369" s="2180"/>
      <c r="D369" s="2180"/>
      <c r="E369" s="2180"/>
      <c r="F369" s="2180"/>
      <c r="G369" s="2180"/>
      <c r="H369" s="2180"/>
      <c r="I369" s="2180"/>
      <c r="J369" s="2180"/>
      <c r="K369" s="2180"/>
      <c r="L369" s="2180"/>
      <c r="M369" s="2180"/>
      <c r="N369" s="2181"/>
      <c r="O369" s="2194"/>
      <c r="P369" s="2194"/>
    </row>
    <row r="370" spans="2:16">
      <c r="B370" s="2180"/>
      <c r="C370" s="2180"/>
      <c r="D370" s="2180"/>
      <c r="E370" s="2180"/>
      <c r="F370" s="2180"/>
      <c r="G370" s="2180"/>
      <c r="H370" s="2180"/>
      <c r="I370" s="2180"/>
      <c r="J370" s="2180"/>
      <c r="K370" s="2180"/>
      <c r="L370" s="2180"/>
      <c r="M370" s="2180"/>
      <c r="N370" s="2181"/>
      <c r="O370" s="2194"/>
      <c r="P370" s="2194"/>
    </row>
    <row r="371" spans="2:16">
      <c r="B371" s="2180"/>
      <c r="C371" s="2180"/>
      <c r="D371" s="2180"/>
      <c r="E371" s="2180"/>
      <c r="F371" s="2180"/>
      <c r="G371" s="2180"/>
      <c r="H371" s="2180"/>
      <c r="I371" s="2180"/>
      <c r="J371" s="2180"/>
      <c r="K371" s="2180"/>
      <c r="L371" s="2180"/>
      <c r="M371" s="2180"/>
      <c r="N371" s="2181"/>
      <c r="O371" s="2194"/>
      <c r="P371" s="2194"/>
    </row>
    <row r="372" spans="2:16">
      <c r="B372" s="2180"/>
      <c r="C372" s="2180"/>
      <c r="D372" s="2180"/>
      <c r="E372" s="2180"/>
      <c r="F372" s="2180"/>
      <c r="G372" s="2180"/>
      <c r="H372" s="2180"/>
      <c r="I372" s="2180"/>
      <c r="J372" s="2180"/>
      <c r="K372" s="2180"/>
      <c r="L372" s="2180"/>
      <c r="M372" s="2180"/>
      <c r="N372" s="2181"/>
      <c r="O372" s="2194"/>
      <c r="P372" s="2194"/>
    </row>
    <row r="373" spans="2:16">
      <c r="B373" s="2180"/>
      <c r="C373" s="2180"/>
      <c r="D373" s="2180"/>
      <c r="E373" s="2180"/>
      <c r="F373" s="2180"/>
      <c r="G373" s="2180"/>
      <c r="H373" s="2180"/>
      <c r="I373" s="2180"/>
      <c r="J373" s="2180"/>
      <c r="K373" s="2180"/>
      <c r="L373" s="2180"/>
      <c r="M373" s="2180"/>
      <c r="N373" s="2181"/>
      <c r="O373" s="2194"/>
      <c r="P373" s="2194"/>
    </row>
    <row r="374" spans="2:16">
      <c r="B374" s="2180"/>
      <c r="C374" s="2180"/>
      <c r="D374" s="2180"/>
      <c r="E374" s="2180"/>
      <c r="F374" s="2180"/>
      <c r="G374" s="2180"/>
      <c r="H374" s="2180"/>
      <c r="I374" s="2180"/>
      <c r="J374" s="2180"/>
      <c r="K374" s="2180"/>
      <c r="L374" s="2180"/>
      <c r="M374" s="2180"/>
      <c r="N374" s="2181"/>
      <c r="O374" s="2194"/>
      <c r="P374" s="2194"/>
    </row>
    <row r="375" spans="2:16">
      <c r="B375" s="2180"/>
      <c r="C375" s="2180"/>
      <c r="D375" s="2180"/>
      <c r="E375" s="2180"/>
      <c r="F375" s="2180"/>
      <c r="G375" s="2180"/>
      <c r="H375" s="2180"/>
      <c r="I375" s="2180"/>
      <c r="J375" s="2180"/>
      <c r="K375" s="2180"/>
      <c r="L375" s="2180"/>
      <c r="M375" s="2180"/>
      <c r="N375" s="2181"/>
      <c r="O375" s="2194"/>
      <c r="P375" s="2194"/>
    </row>
    <row r="376" spans="2:16">
      <c r="B376" s="2180"/>
      <c r="C376" s="2180"/>
      <c r="D376" s="2180"/>
      <c r="E376" s="2180"/>
      <c r="F376" s="2180"/>
      <c r="G376" s="2180"/>
      <c r="H376" s="2180"/>
      <c r="I376" s="2180"/>
      <c r="J376" s="2180"/>
      <c r="K376" s="2180"/>
      <c r="L376" s="2180"/>
      <c r="M376" s="2180"/>
      <c r="N376" s="2181"/>
      <c r="O376" s="2194"/>
      <c r="P376" s="2194"/>
    </row>
    <row r="377" spans="2:16">
      <c r="B377" s="2180"/>
      <c r="C377" s="2180"/>
      <c r="D377" s="2180"/>
      <c r="E377" s="2180"/>
      <c r="F377" s="2180"/>
      <c r="G377" s="2180"/>
      <c r="H377" s="2180"/>
      <c r="I377" s="2180"/>
      <c r="J377" s="2180"/>
      <c r="K377" s="2180"/>
      <c r="L377" s="2180"/>
      <c r="M377" s="2180"/>
      <c r="N377" s="2181"/>
      <c r="O377" s="2194"/>
      <c r="P377" s="2194"/>
    </row>
    <row r="378" spans="2:16">
      <c r="B378" s="2180"/>
      <c r="C378" s="2180"/>
      <c r="D378" s="2180"/>
      <c r="E378" s="2180"/>
      <c r="F378" s="2180"/>
      <c r="G378" s="2180"/>
      <c r="H378" s="2180"/>
      <c r="I378" s="2180"/>
      <c r="J378" s="2180"/>
      <c r="K378" s="2180"/>
      <c r="L378" s="2180"/>
      <c r="M378" s="2180"/>
      <c r="N378" s="2181"/>
      <c r="O378" s="2194"/>
      <c r="P378" s="2194"/>
    </row>
    <row r="379" spans="2:16">
      <c r="B379" s="2180"/>
      <c r="C379" s="2180"/>
      <c r="D379" s="2180"/>
      <c r="E379" s="2180"/>
      <c r="F379" s="2180"/>
      <c r="G379" s="2180"/>
      <c r="H379" s="2180"/>
      <c r="I379" s="2180"/>
      <c r="J379" s="2180"/>
      <c r="K379" s="2180"/>
      <c r="L379" s="2180"/>
      <c r="M379" s="2180"/>
      <c r="N379" s="2181"/>
      <c r="O379" s="2194"/>
      <c r="P379" s="2194"/>
    </row>
    <row r="380" spans="2:16">
      <c r="B380" s="2180"/>
      <c r="C380" s="2180"/>
      <c r="D380" s="2180"/>
      <c r="E380" s="2180"/>
      <c r="F380" s="2180"/>
      <c r="G380" s="2180"/>
      <c r="H380" s="2180"/>
      <c r="I380" s="2180"/>
      <c r="J380" s="2180"/>
      <c r="K380" s="2180"/>
      <c r="L380" s="2180"/>
      <c r="M380" s="2180"/>
      <c r="N380" s="2181"/>
      <c r="O380" s="2194"/>
      <c r="P380" s="2194"/>
    </row>
    <row r="381" spans="2:16">
      <c r="B381" s="2180"/>
      <c r="C381" s="2180"/>
      <c r="D381" s="2180"/>
      <c r="E381" s="2180"/>
      <c r="F381" s="2180"/>
      <c r="G381" s="2180"/>
      <c r="H381" s="2180"/>
      <c r="I381" s="2180"/>
      <c r="J381" s="2180"/>
      <c r="K381" s="2180"/>
      <c r="L381" s="2180"/>
      <c r="M381" s="2180"/>
      <c r="N381" s="2181"/>
      <c r="O381" s="2194"/>
      <c r="P381" s="2194"/>
    </row>
    <row r="382" spans="2:16">
      <c r="B382" s="2180"/>
      <c r="C382" s="2180"/>
      <c r="D382" s="2180"/>
      <c r="E382" s="2180"/>
      <c r="F382" s="2180"/>
      <c r="G382" s="2180"/>
      <c r="H382" s="2180"/>
      <c r="I382" s="2180"/>
      <c r="J382" s="2180"/>
      <c r="K382" s="2180"/>
      <c r="L382" s="2180"/>
      <c r="M382" s="2180"/>
      <c r="N382" s="2181"/>
      <c r="O382" s="2194"/>
      <c r="P382" s="2194"/>
    </row>
    <row r="383" spans="2:16">
      <c r="B383" s="2180"/>
      <c r="C383" s="2180"/>
      <c r="D383" s="2180"/>
      <c r="E383" s="2180"/>
      <c r="F383" s="2180"/>
      <c r="G383" s="2180"/>
      <c r="H383" s="2180"/>
      <c r="I383" s="2180"/>
      <c r="J383" s="2180"/>
      <c r="K383" s="2180"/>
      <c r="L383" s="2180"/>
      <c r="M383" s="2180"/>
      <c r="N383" s="2181"/>
      <c r="O383" s="2194"/>
      <c r="P383" s="2194"/>
    </row>
    <row r="384" spans="2:16">
      <c r="B384" s="2180"/>
      <c r="C384" s="2180"/>
      <c r="D384" s="2180"/>
      <c r="E384" s="2180"/>
      <c r="F384" s="2180"/>
      <c r="G384" s="2180"/>
      <c r="H384" s="2180"/>
      <c r="I384" s="2180"/>
      <c r="J384" s="2180"/>
      <c r="K384" s="2180"/>
      <c r="L384" s="2180"/>
      <c r="M384" s="2180"/>
      <c r="N384" s="2181"/>
      <c r="O384" s="2194"/>
      <c r="P384" s="2194"/>
    </row>
    <row r="385" spans="1:16">
      <c r="B385" s="2180"/>
      <c r="C385" s="2180"/>
      <c r="D385" s="2180"/>
      <c r="E385" s="2180"/>
      <c r="F385" s="2180"/>
      <c r="G385" s="2180"/>
      <c r="H385" s="2180"/>
      <c r="I385" s="2180"/>
      <c r="J385" s="2180"/>
      <c r="K385" s="2180"/>
      <c r="L385" s="2180"/>
      <c r="M385" s="2180"/>
      <c r="N385" s="2181"/>
      <c r="O385" s="2194"/>
      <c r="P385" s="2194"/>
    </row>
    <row r="386" spans="1:16">
      <c r="B386" s="2180"/>
      <c r="C386" s="2180"/>
      <c r="D386" s="2180"/>
      <c r="E386" s="2180"/>
      <c r="F386" s="2180"/>
      <c r="G386" s="2180"/>
      <c r="H386" s="2180"/>
      <c r="I386" s="2180"/>
      <c r="J386" s="2180"/>
      <c r="K386" s="2180"/>
      <c r="L386" s="2180"/>
      <c r="M386" s="2180"/>
      <c r="N386" s="2181"/>
      <c r="O386" s="2194"/>
      <c r="P386" s="2194"/>
    </row>
    <row r="387" spans="1:16">
      <c r="B387" s="2180"/>
      <c r="C387" s="2180"/>
      <c r="D387" s="2180"/>
      <c r="E387" s="2180"/>
      <c r="F387" s="2180"/>
      <c r="G387" s="2180"/>
      <c r="H387" s="2180"/>
      <c r="I387" s="2180"/>
      <c r="J387" s="2180"/>
      <c r="K387" s="2180"/>
      <c r="L387" s="2180"/>
      <c r="M387" s="2180"/>
      <c r="N387" s="2181"/>
      <c r="O387" s="2194"/>
      <c r="P387" s="2194"/>
    </row>
    <row r="388" spans="1:16">
      <c r="B388" s="2180"/>
      <c r="C388" s="2180"/>
      <c r="D388" s="2180"/>
      <c r="E388" s="2180"/>
      <c r="F388" s="2180"/>
      <c r="G388" s="2180"/>
      <c r="H388" s="2180"/>
      <c r="I388" s="2180"/>
      <c r="J388" s="2180"/>
      <c r="K388" s="2180"/>
      <c r="L388" s="2180"/>
      <c r="M388" s="2180"/>
      <c r="N388" s="2181"/>
      <c r="O388" s="2194"/>
      <c r="P388" s="2194"/>
    </row>
    <row r="389" spans="1:16">
      <c r="B389" s="2180"/>
      <c r="C389" s="2180"/>
      <c r="D389" s="2180"/>
      <c r="E389" s="2180"/>
      <c r="F389" s="2180"/>
      <c r="G389" s="2180"/>
      <c r="H389" s="2180"/>
      <c r="I389" s="2180"/>
      <c r="J389" s="2180"/>
      <c r="K389" s="2180"/>
      <c r="L389" s="2180"/>
      <c r="M389" s="2180"/>
      <c r="N389" s="2181"/>
      <c r="O389" s="2194"/>
      <c r="P389" s="2194"/>
    </row>
    <row r="390" spans="1:16">
      <c r="B390" s="2180"/>
      <c r="C390" s="2180"/>
      <c r="D390" s="2180"/>
      <c r="E390" s="2180"/>
      <c r="F390" s="2180"/>
      <c r="G390" s="2180"/>
      <c r="H390" s="2180"/>
      <c r="I390" s="2180"/>
      <c r="J390" s="2180"/>
      <c r="K390" s="2180"/>
      <c r="L390" s="2180"/>
      <c r="M390" s="2180"/>
      <c r="N390" s="2181"/>
      <c r="O390" s="2194"/>
      <c r="P390" s="2194"/>
    </row>
    <row r="391" spans="1:16">
      <c r="B391" s="2180"/>
      <c r="C391" s="2180"/>
      <c r="D391" s="2180"/>
      <c r="E391" s="2180"/>
      <c r="F391" s="2180"/>
      <c r="G391" s="2180"/>
      <c r="H391" s="2180"/>
      <c r="I391" s="2180"/>
      <c r="J391" s="2180"/>
      <c r="K391" s="2180"/>
      <c r="L391" s="2180"/>
      <c r="M391" s="2180"/>
      <c r="N391" s="2181"/>
      <c r="O391" s="2194"/>
      <c r="P391" s="2194"/>
    </row>
    <row r="392" spans="1:16">
      <c r="B392" s="2180"/>
      <c r="C392" s="2180"/>
      <c r="D392" s="2180"/>
      <c r="E392" s="2180"/>
      <c r="F392" s="2180"/>
      <c r="G392" s="2180"/>
      <c r="H392" s="2180"/>
      <c r="I392" s="2180"/>
      <c r="J392" s="2180"/>
      <c r="K392" s="2180"/>
      <c r="L392" s="2180"/>
      <c r="M392" s="2180"/>
      <c r="N392" s="2181"/>
      <c r="O392" s="2194"/>
      <c r="P392" s="2194"/>
    </row>
    <row r="393" spans="1:16">
      <c r="B393" s="2180"/>
      <c r="C393" s="2180"/>
      <c r="D393" s="2180"/>
      <c r="E393" s="2180"/>
      <c r="F393" s="2180"/>
      <c r="G393" s="2180"/>
      <c r="H393" s="2180"/>
      <c r="I393" s="2180"/>
      <c r="J393" s="2180"/>
      <c r="K393" s="2180"/>
      <c r="L393" s="2180"/>
      <c r="M393" s="2180"/>
      <c r="N393" s="2181"/>
      <c r="O393" s="2194"/>
      <c r="P393" s="2194"/>
    </row>
    <row r="394" spans="1:16">
      <c r="B394" s="2180"/>
      <c r="C394" s="2180"/>
      <c r="D394" s="2180"/>
      <c r="E394" s="2180"/>
      <c r="F394" s="2180"/>
      <c r="G394" s="2180"/>
      <c r="H394" s="2180"/>
      <c r="I394" s="2180"/>
      <c r="J394" s="2180"/>
      <c r="K394" s="2180"/>
      <c r="L394" s="2180"/>
      <c r="M394" s="2180"/>
      <c r="N394" s="2181"/>
      <c r="O394" s="2194"/>
      <c r="P394" s="2194"/>
    </row>
    <row r="395" spans="1:16">
      <c r="B395" s="2180"/>
      <c r="C395" s="2180"/>
      <c r="D395" s="2180"/>
      <c r="E395" s="2180"/>
      <c r="F395" s="2180"/>
      <c r="G395" s="2180"/>
      <c r="H395" s="2180"/>
      <c r="I395" s="2180"/>
      <c r="J395" s="2180"/>
      <c r="K395" s="2180"/>
      <c r="L395" s="2180"/>
      <c r="M395" s="2180"/>
      <c r="N395" s="2181"/>
      <c r="O395" s="2194"/>
      <c r="P395" s="2194"/>
    </row>
    <row r="396" spans="1:16">
      <c r="B396" s="2180"/>
      <c r="C396" s="2180"/>
      <c r="D396" s="2180"/>
      <c r="E396" s="2180"/>
      <c r="F396" s="2180"/>
      <c r="G396" s="2180"/>
      <c r="H396" s="2180"/>
      <c r="I396" s="2180"/>
      <c r="J396" s="2180"/>
      <c r="K396" s="2180"/>
      <c r="L396" s="2180"/>
      <c r="M396" s="2180"/>
      <c r="N396" s="2181"/>
      <c r="O396" s="2194"/>
      <c r="P396" s="2194"/>
    </row>
    <row r="397" spans="1:16" ht="13.5" thickBot="1">
      <c r="A397" s="1678"/>
      <c r="B397" s="2180"/>
      <c r="C397" s="2180"/>
      <c r="D397" s="2180"/>
      <c r="E397" s="2180"/>
      <c r="F397" s="2180"/>
      <c r="G397" s="2180"/>
      <c r="H397" s="2180"/>
      <c r="I397" s="2180"/>
      <c r="J397" s="2180"/>
      <c r="K397" s="2180"/>
      <c r="L397" s="2180"/>
      <c r="M397" s="2180"/>
      <c r="N397" s="2181"/>
      <c r="O397" s="2194"/>
      <c r="P397" s="2194"/>
    </row>
    <row r="398" spans="1:16" ht="13.5" thickBot="1">
      <c r="A398" s="1901"/>
      <c r="B398" s="2180"/>
      <c r="C398" s="2180"/>
      <c r="D398" s="2180"/>
      <c r="E398" s="2180"/>
      <c r="F398" s="2180"/>
      <c r="G398" s="2180"/>
      <c r="H398" s="2180"/>
      <c r="I398" s="2180"/>
      <c r="J398" s="2180"/>
      <c r="K398" s="2180"/>
      <c r="L398" s="2180"/>
      <c r="M398" s="2180"/>
      <c r="N398" s="2181"/>
      <c r="O398" s="2194"/>
      <c r="P398" s="2194"/>
    </row>
    <row r="399" spans="1:16" ht="13.5" thickBot="1">
      <c r="A399" s="1901"/>
      <c r="B399" s="2180"/>
      <c r="C399" s="2180"/>
      <c r="D399" s="2180"/>
      <c r="E399" s="2180"/>
      <c r="F399" s="2180"/>
      <c r="G399" s="2180"/>
      <c r="H399" s="2180"/>
      <c r="I399" s="2180"/>
      <c r="J399" s="2180"/>
      <c r="K399" s="2180"/>
      <c r="L399" s="2180"/>
      <c r="M399" s="2180"/>
      <c r="N399" s="2181"/>
      <c r="O399" s="2194"/>
      <c r="P399" s="2194"/>
    </row>
    <row r="400" spans="1:16" ht="13.5" thickBot="1">
      <c r="A400" s="1901"/>
      <c r="B400" s="2180"/>
      <c r="C400" s="2180"/>
      <c r="D400" s="2180"/>
      <c r="E400" s="2180"/>
      <c r="F400" s="2180"/>
      <c r="G400" s="2180"/>
      <c r="H400" s="2180"/>
      <c r="I400" s="2180"/>
      <c r="J400" s="2180"/>
      <c r="K400" s="2180"/>
      <c r="L400" s="2180"/>
      <c r="M400" s="2180"/>
      <c r="N400" s="2181"/>
      <c r="O400" s="2194"/>
      <c r="P400" s="2194"/>
    </row>
    <row r="401" spans="1:16" ht="13.5" thickBot="1">
      <c r="A401" s="1901"/>
      <c r="B401" s="2180"/>
      <c r="C401" s="2180"/>
      <c r="D401" s="2180"/>
      <c r="E401" s="2180"/>
      <c r="F401" s="2180"/>
      <c r="G401" s="2180"/>
      <c r="H401" s="2180"/>
      <c r="I401" s="2180"/>
      <c r="J401" s="2180"/>
      <c r="K401" s="2180"/>
      <c r="L401" s="2180"/>
      <c r="M401" s="2180"/>
      <c r="N401" s="2181"/>
      <c r="O401" s="2194"/>
      <c r="P401" s="2194"/>
    </row>
    <row r="402" spans="1:16" ht="13.5" thickBot="1">
      <c r="A402" s="1901"/>
      <c r="B402" s="2180"/>
      <c r="C402" s="2180"/>
      <c r="D402" s="2180"/>
      <c r="E402" s="2180"/>
      <c r="F402" s="2180"/>
      <c r="G402" s="2180"/>
      <c r="H402" s="2180"/>
      <c r="I402" s="2180"/>
      <c r="J402" s="2180"/>
      <c r="K402" s="2180"/>
      <c r="L402" s="2180"/>
      <c r="M402" s="2180"/>
      <c r="N402" s="2181"/>
      <c r="O402" s="2194"/>
      <c r="P402" s="2194"/>
    </row>
    <row r="403" spans="1:16" ht="13.5" thickBot="1">
      <c r="A403" s="1901"/>
      <c r="B403" s="2180"/>
      <c r="C403" s="2180"/>
      <c r="D403" s="2180"/>
      <c r="E403" s="2180"/>
      <c r="F403" s="2180"/>
      <c r="G403" s="2180"/>
      <c r="H403" s="2180"/>
      <c r="I403" s="2180"/>
      <c r="J403" s="2180"/>
      <c r="K403" s="2180"/>
      <c r="L403" s="2180"/>
      <c r="M403" s="2183"/>
      <c r="N403" s="2184"/>
      <c r="O403" s="2194"/>
      <c r="P403" s="2194"/>
    </row>
    <row r="404" spans="1:16" ht="13.5" thickBot="1">
      <c r="A404" s="1901"/>
      <c r="B404" s="2180"/>
      <c r="C404" s="2183"/>
      <c r="D404" s="2180"/>
      <c r="E404" s="2180"/>
      <c r="F404" s="2180"/>
      <c r="G404" s="2180"/>
      <c r="H404" s="2180"/>
      <c r="I404" s="2180"/>
      <c r="J404" s="2180"/>
      <c r="K404" s="2180"/>
      <c r="L404" s="2180"/>
      <c r="M404" s="2185"/>
      <c r="N404" s="2186"/>
      <c r="O404" s="2194"/>
      <c r="P404" s="2194"/>
    </row>
    <row r="405" spans="1:16" ht="13.5" thickBot="1">
      <c r="A405" s="1901"/>
      <c r="B405" s="2180"/>
      <c r="C405" s="2185"/>
      <c r="D405" s="2183"/>
      <c r="E405" s="2183"/>
      <c r="F405" s="2183"/>
      <c r="G405" s="2183"/>
      <c r="H405" s="2183"/>
      <c r="I405" s="2183"/>
      <c r="J405" s="2183"/>
      <c r="K405" s="2183"/>
      <c r="L405" s="2183"/>
      <c r="M405" s="2185"/>
      <c r="N405" s="2186"/>
      <c r="O405" s="2194"/>
      <c r="P405" s="2194"/>
    </row>
    <row r="406" spans="1:16" ht="13.5" thickBot="1">
      <c r="A406" s="1901"/>
      <c r="B406" s="2180"/>
      <c r="C406" s="2187"/>
      <c r="D406" s="2187"/>
      <c r="E406" s="2187"/>
      <c r="F406" s="2187"/>
      <c r="G406" s="2187"/>
      <c r="H406" s="2187"/>
      <c r="I406" s="2187"/>
      <c r="J406" s="2187"/>
      <c r="K406" s="2187"/>
      <c r="L406" s="2187"/>
      <c r="M406" s="2187"/>
      <c r="N406" s="2186"/>
      <c r="O406" s="2194"/>
      <c r="P406" s="2194"/>
    </row>
    <row r="407" spans="1:16" ht="13.5" thickBot="1">
      <c r="A407" s="1901"/>
      <c r="B407" s="2180"/>
      <c r="C407" s="2180"/>
      <c r="D407" s="2180"/>
      <c r="E407" s="2180"/>
      <c r="F407" s="2180"/>
      <c r="G407" s="2180"/>
      <c r="H407" s="2180"/>
      <c r="I407" s="2180"/>
      <c r="J407" s="2180"/>
      <c r="K407" s="2180"/>
      <c r="L407" s="2180"/>
      <c r="M407" s="2180"/>
      <c r="N407" s="2186"/>
      <c r="O407" s="2194"/>
      <c r="P407" s="2194"/>
    </row>
    <row r="408" spans="1:16" ht="13.5" thickBot="1">
      <c r="A408" s="1901"/>
      <c r="B408" s="2180"/>
      <c r="C408" s="2180"/>
      <c r="D408" s="2180"/>
      <c r="E408" s="2180"/>
      <c r="F408" s="2180"/>
      <c r="G408" s="2180"/>
      <c r="H408" s="2180"/>
      <c r="I408" s="2180"/>
      <c r="J408" s="2180"/>
      <c r="K408" s="2180"/>
      <c r="L408" s="2180"/>
      <c r="M408" s="2180"/>
      <c r="N408" s="2186"/>
      <c r="O408" s="2194"/>
      <c r="P408" s="2194"/>
    </row>
    <row r="409" spans="1:16" ht="13.5" thickBot="1">
      <c r="A409" s="1901"/>
      <c r="B409" s="2180"/>
      <c r="C409" s="2180"/>
      <c r="D409" s="2180"/>
      <c r="E409" s="2180"/>
      <c r="F409" s="2180"/>
      <c r="G409" s="2180"/>
      <c r="H409" s="2180"/>
      <c r="I409" s="2180"/>
      <c r="J409" s="2180"/>
      <c r="K409" s="2180"/>
      <c r="L409" s="2180"/>
      <c r="M409" s="2180"/>
      <c r="N409" s="2186"/>
      <c r="O409" s="2194"/>
      <c r="P409" s="2194"/>
    </row>
    <row r="410" spans="1:16" ht="13.5" thickBot="1">
      <c r="A410" s="1901"/>
      <c r="B410" s="2180"/>
      <c r="C410" s="2180"/>
      <c r="D410" s="2180"/>
      <c r="E410" s="2180"/>
      <c r="F410" s="2180"/>
      <c r="G410" s="2180"/>
      <c r="H410" s="2180"/>
      <c r="I410" s="2180"/>
      <c r="J410" s="2180"/>
      <c r="K410" s="2180"/>
      <c r="L410" s="2180"/>
      <c r="M410" s="2180"/>
      <c r="N410" s="2186"/>
      <c r="O410" s="2194"/>
      <c r="P410" s="2194"/>
    </row>
    <row r="411" spans="1:16" ht="13.5" thickBot="1">
      <c r="A411" s="1901"/>
      <c r="B411" s="2180"/>
      <c r="C411" s="2180"/>
      <c r="D411" s="2180"/>
      <c r="E411" s="2180"/>
      <c r="F411" s="2180"/>
      <c r="G411" s="2180"/>
      <c r="H411" s="2180"/>
      <c r="I411" s="2180"/>
      <c r="J411" s="2180"/>
      <c r="K411" s="2180"/>
      <c r="L411" s="2180"/>
      <c r="M411" s="2180"/>
      <c r="N411" s="2188"/>
      <c r="O411" s="2194"/>
      <c r="P411" s="2194"/>
    </row>
    <row r="412" spans="1:16" ht="13.5" thickBot="1">
      <c r="A412" s="1901"/>
      <c r="B412" s="2180"/>
      <c r="C412" s="2180"/>
      <c r="D412" s="2180"/>
      <c r="E412" s="2180"/>
      <c r="F412" s="2180"/>
      <c r="G412" s="2180"/>
      <c r="H412" s="2180"/>
      <c r="I412" s="2180"/>
      <c r="J412" s="2180"/>
      <c r="K412" s="2180"/>
      <c r="L412" s="2180"/>
      <c r="M412" s="2180"/>
      <c r="N412" s="2181"/>
      <c r="O412" s="2194"/>
      <c r="P412" s="2194"/>
    </row>
    <row r="413" spans="1:16" ht="13.5" thickBot="1">
      <c r="A413" s="1901"/>
      <c r="B413" s="2180"/>
      <c r="C413" s="2180"/>
      <c r="D413" s="2180"/>
      <c r="E413" s="2180"/>
      <c r="F413" s="2180"/>
      <c r="G413" s="2180"/>
      <c r="H413" s="2180"/>
      <c r="I413" s="2180"/>
      <c r="J413" s="2180"/>
      <c r="K413" s="2180"/>
      <c r="L413" s="2180"/>
      <c r="M413" s="2180"/>
      <c r="N413" s="2181"/>
      <c r="O413" s="2194"/>
      <c r="P413" s="2194"/>
    </row>
    <row r="414" spans="1:16">
      <c r="A414" s="1902"/>
      <c r="B414" s="2180"/>
      <c r="C414" s="2180"/>
      <c r="D414" s="2180"/>
      <c r="E414" s="2180"/>
      <c r="F414" s="2180"/>
      <c r="G414" s="2180"/>
      <c r="H414" s="2180"/>
      <c r="I414" s="2180"/>
      <c r="J414" s="2180"/>
      <c r="K414" s="2180"/>
      <c r="L414" s="2180"/>
      <c r="M414" s="2180"/>
      <c r="N414" s="2181"/>
      <c r="O414" s="2194"/>
      <c r="P414" s="2194"/>
    </row>
    <row r="415" spans="1:16">
      <c r="B415" s="2180"/>
      <c r="C415" s="2180"/>
      <c r="D415" s="2180"/>
      <c r="E415" s="2180"/>
      <c r="F415" s="2180"/>
      <c r="G415" s="2180"/>
      <c r="H415" s="2180"/>
      <c r="I415" s="2180"/>
      <c r="J415" s="2180"/>
      <c r="K415" s="2180"/>
      <c r="L415" s="2180"/>
      <c r="M415" s="2180"/>
      <c r="N415" s="2181"/>
      <c r="O415" s="2194"/>
      <c r="P415" s="2194"/>
    </row>
    <row r="416" spans="1:16">
      <c r="B416" s="2180"/>
      <c r="C416" s="2180"/>
      <c r="D416" s="2180"/>
      <c r="E416" s="2180"/>
      <c r="F416" s="2180"/>
      <c r="G416" s="2180"/>
      <c r="H416" s="2180"/>
      <c r="I416" s="2180"/>
      <c r="J416" s="2180"/>
      <c r="K416" s="2180"/>
      <c r="L416" s="2180"/>
      <c r="M416" s="2180"/>
      <c r="N416" s="2181"/>
      <c r="O416" s="2194"/>
      <c r="P416" s="2194"/>
    </row>
    <row r="417" spans="2:16">
      <c r="B417" s="2180"/>
      <c r="C417" s="2180"/>
      <c r="D417" s="2180"/>
      <c r="E417" s="2180"/>
      <c r="F417" s="2180"/>
      <c r="G417" s="2180"/>
      <c r="H417" s="2180"/>
      <c r="I417" s="2180"/>
      <c r="J417" s="2180"/>
      <c r="K417" s="2180"/>
      <c r="L417" s="2180"/>
      <c r="M417" s="2180"/>
      <c r="N417" s="2181"/>
      <c r="O417" s="2194"/>
      <c r="P417" s="2194"/>
    </row>
    <row r="418" spans="2:16">
      <c r="B418" s="2180"/>
      <c r="C418" s="2180"/>
      <c r="D418" s="2180"/>
      <c r="E418" s="2180"/>
      <c r="F418" s="2180"/>
      <c r="G418" s="2180"/>
      <c r="H418" s="2180"/>
      <c r="I418" s="2180"/>
      <c r="J418" s="2180"/>
      <c r="K418" s="2180"/>
      <c r="L418" s="2180"/>
      <c r="M418" s="2180"/>
      <c r="N418" s="2181"/>
      <c r="O418" s="2194"/>
      <c r="P418" s="2194"/>
    </row>
    <row r="419" spans="2:16">
      <c r="B419" s="2180"/>
      <c r="C419" s="2180"/>
      <c r="D419" s="2180"/>
      <c r="E419" s="2180"/>
      <c r="F419" s="2180"/>
      <c r="G419" s="2180"/>
      <c r="H419" s="2180"/>
      <c r="I419" s="2180"/>
      <c r="J419" s="2180"/>
      <c r="K419" s="2180"/>
      <c r="L419" s="2180"/>
      <c r="M419" s="2180"/>
      <c r="N419" s="2181"/>
      <c r="O419" s="2194"/>
      <c r="P419" s="2194"/>
    </row>
    <row r="420" spans="2:16">
      <c r="B420" s="2180"/>
      <c r="C420" s="2180"/>
      <c r="D420" s="2180"/>
      <c r="E420" s="2180"/>
      <c r="F420" s="2180"/>
      <c r="G420" s="2180"/>
      <c r="H420" s="2180"/>
      <c r="I420" s="2180"/>
      <c r="J420" s="2180"/>
      <c r="K420" s="2180"/>
      <c r="L420" s="2180"/>
      <c r="M420" s="2180"/>
      <c r="N420" s="2181"/>
      <c r="O420" s="2194"/>
      <c r="P420" s="2194"/>
    </row>
    <row r="421" spans="2:16">
      <c r="B421" s="2180"/>
      <c r="C421" s="2180"/>
      <c r="D421" s="2180"/>
      <c r="E421" s="2180"/>
      <c r="F421" s="2180"/>
      <c r="G421" s="2180"/>
      <c r="H421" s="2180"/>
      <c r="I421" s="2180"/>
      <c r="J421" s="2180"/>
      <c r="K421" s="2180"/>
      <c r="L421" s="2180"/>
      <c r="M421" s="2180"/>
      <c r="N421" s="2181"/>
      <c r="O421" s="2194"/>
      <c r="P421" s="2194"/>
    </row>
    <row r="422" spans="2:16">
      <c r="B422" s="2180"/>
      <c r="C422" s="2180"/>
      <c r="D422" s="2180"/>
      <c r="E422" s="2180"/>
      <c r="F422" s="2180"/>
      <c r="G422" s="2180"/>
      <c r="H422" s="2180"/>
      <c r="I422" s="2180"/>
      <c r="J422" s="2180"/>
      <c r="K422" s="2180"/>
      <c r="L422" s="2180"/>
      <c r="M422" s="2180"/>
      <c r="N422" s="2181"/>
      <c r="O422" s="2194"/>
      <c r="P422" s="2194"/>
    </row>
    <row r="423" spans="2:16">
      <c r="B423" s="2180"/>
      <c r="C423" s="2180"/>
      <c r="D423" s="2180"/>
      <c r="E423" s="2180"/>
      <c r="F423" s="2180"/>
      <c r="G423" s="2180"/>
      <c r="H423" s="2180"/>
      <c r="I423" s="2180"/>
      <c r="J423" s="2180"/>
      <c r="K423" s="2180"/>
      <c r="L423" s="2180"/>
      <c r="M423" s="2180"/>
      <c r="N423" s="2181"/>
      <c r="O423" s="2194"/>
      <c r="P423" s="2194"/>
    </row>
    <row r="424" spans="2:16">
      <c r="B424" s="2180"/>
      <c r="C424" s="2180"/>
      <c r="D424" s="2180"/>
      <c r="E424" s="2180"/>
      <c r="F424" s="2180"/>
      <c r="G424" s="2180"/>
      <c r="H424" s="2180"/>
      <c r="I424" s="2180"/>
      <c r="J424" s="2180"/>
      <c r="K424" s="2180"/>
      <c r="L424" s="2180"/>
      <c r="M424" s="2180"/>
      <c r="N424" s="2181"/>
      <c r="O424" s="2194"/>
      <c r="P424" s="2194"/>
    </row>
    <row r="425" spans="2:16">
      <c r="B425" s="2180"/>
      <c r="C425" s="2180"/>
      <c r="D425" s="2180"/>
      <c r="E425" s="2180"/>
      <c r="F425" s="2180"/>
      <c r="G425" s="2180"/>
      <c r="H425" s="2180"/>
      <c r="I425" s="2180"/>
      <c r="J425" s="2180"/>
      <c r="K425" s="2180"/>
      <c r="L425" s="2180"/>
      <c r="M425" s="2180"/>
      <c r="N425" s="2181"/>
      <c r="O425" s="2194"/>
      <c r="P425" s="2194"/>
    </row>
    <row r="426" spans="2:16">
      <c r="B426" s="2180"/>
      <c r="C426" s="2180"/>
      <c r="D426" s="2180"/>
      <c r="E426" s="2180"/>
      <c r="F426" s="2180"/>
      <c r="G426" s="2180"/>
      <c r="H426" s="2180"/>
      <c r="I426" s="2180"/>
      <c r="J426" s="2180"/>
      <c r="K426" s="2180"/>
      <c r="L426" s="2180"/>
      <c r="M426" s="2180"/>
      <c r="N426" s="2181"/>
      <c r="O426" s="2194"/>
      <c r="P426" s="2194"/>
    </row>
    <row r="427" spans="2:16">
      <c r="B427" s="2180"/>
      <c r="C427" s="2180"/>
      <c r="D427" s="2180"/>
      <c r="E427" s="2180"/>
      <c r="F427" s="2180"/>
      <c r="G427" s="2180"/>
      <c r="H427" s="2180"/>
      <c r="I427" s="2180"/>
      <c r="J427" s="2180"/>
      <c r="K427" s="2180"/>
      <c r="L427" s="2180"/>
      <c r="M427" s="2180"/>
      <c r="N427" s="2181"/>
      <c r="O427" s="2194"/>
      <c r="P427" s="2194"/>
    </row>
    <row r="428" spans="2:16">
      <c r="B428" s="2180"/>
      <c r="C428" s="2180"/>
      <c r="D428" s="2180"/>
      <c r="E428" s="2180"/>
      <c r="F428" s="2180"/>
      <c r="G428" s="2180"/>
      <c r="H428" s="2180"/>
      <c r="I428" s="2180"/>
      <c r="J428" s="2180"/>
      <c r="K428" s="2180"/>
      <c r="L428" s="2180"/>
      <c r="M428" s="2180"/>
      <c r="N428" s="2181"/>
      <c r="O428" s="2194"/>
      <c r="P428" s="2194"/>
    </row>
    <row r="429" spans="2:16">
      <c r="B429" s="2180"/>
      <c r="C429" s="2180"/>
      <c r="D429" s="2180"/>
      <c r="E429" s="2180"/>
      <c r="F429" s="2180"/>
      <c r="G429" s="2180"/>
      <c r="H429" s="2180"/>
      <c r="I429" s="2180"/>
      <c r="J429" s="2180"/>
      <c r="K429" s="2180"/>
      <c r="L429" s="2180"/>
      <c r="M429" s="2180"/>
      <c r="N429" s="2181"/>
      <c r="O429" s="2194"/>
      <c r="P429" s="2194"/>
    </row>
    <row r="430" spans="2:16">
      <c r="B430" s="2180"/>
      <c r="C430" s="2180"/>
      <c r="D430" s="2180"/>
      <c r="E430" s="2180"/>
      <c r="F430" s="2180"/>
      <c r="G430" s="2180"/>
      <c r="H430" s="2180"/>
      <c r="I430" s="2180"/>
      <c r="J430" s="2180"/>
      <c r="K430" s="2180"/>
      <c r="L430" s="2180"/>
      <c r="M430" s="2180"/>
      <c r="N430" s="2181"/>
      <c r="O430" s="2194"/>
      <c r="P430" s="2194"/>
    </row>
    <row r="431" spans="2:16">
      <c r="B431" s="2180"/>
      <c r="C431" s="2180"/>
      <c r="D431" s="2180"/>
      <c r="E431" s="2180"/>
      <c r="F431" s="2180"/>
      <c r="G431" s="2180"/>
      <c r="H431" s="2180"/>
      <c r="I431" s="2180"/>
      <c r="J431" s="2180"/>
      <c r="K431" s="2180"/>
      <c r="L431" s="2180"/>
      <c r="M431" s="2180"/>
      <c r="N431" s="2181"/>
      <c r="O431" s="2194"/>
      <c r="P431" s="2194"/>
    </row>
    <row r="432" spans="2:16">
      <c r="B432" s="2180"/>
      <c r="C432" s="2180"/>
      <c r="D432" s="2180"/>
      <c r="E432" s="2180"/>
      <c r="F432" s="2180"/>
      <c r="G432" s="2180"/>
      <c r="H432" s="2180"/>
      <c r="I432" s="2180"/>
      <c r="J432" s="2180"/>
      <c r="K432" s="2180"/>
      <c r="L432" s="2180"/>
      <c r="M432" s="2180"/>
      <c r="N432" s="2181"/>
      <c r="O432" s="2194"/>
      <c r="P432" s="2194"/>
    </row>
    <row r="433" spans="2:16">
      <c r="B433" s="2180"/>
      <c r="C433" s="2180"/>
      <c r="D433" s="2180"/>
      <c r="E433" s="2180"/>
      <c r="F433" s="2180"/>
      <c r="G433" s="2180"/>
      <c r="H433" s="2180"/>
      <c r="I433" s="2180"/>
      <c r="J433" s="2180"/>
      <c r="K433" s="2180"/>
      <c r="L433" s="2180"/>
      <c r="M433" s="2180"/>
      <c r="N433" s="2181"/>
      <c r="O433" s="2194"/>
      <c r="P433" s="2194"/>
    </row>
    <row r="434" spans="2:16">
      <c r="B434" s="2180"/>
      <c r="C434" s="2180"/>
      <c r="D434" s="2180"/>
      <c r="E434" s="2180"/>
      <c r="F434" s="2180"/>
      <c r="G434" s="2180"/>
      <c r="H434" s="2180"/>
      <c r="I434" s="2180"/>
      <c r="J434" s="2180"/>
      <c r="K434" s="2180"/>
      <c r="L434" s="2180"/>
      <c r="M434" s="2180"/>
      <c r="N434" s="2181"/>
      <c r="O434" s="2194"/>
      <c r="P434" s="2194"/>
    </row>
    <row r="435" spans="2:16">
      <c r="B435" s="2180"/>
      <c r="C435" s="2180"/>
      <c r="D435" s="2180"/>
      <c r="E435" s="2180"/>
      <c r="F435" s="2180"/>
      <c r="G435" s="2180"/>
      <c r="H435" s="2180"/>
      <c r="I435" s="2180"/>
      <c r="J435" s="2180"/>
      <c r="K435" s="2180"/>
      <c r="L435" s="2180"/>
      <c r="M435" s="2180"/>
      <c r="N435" s="2181"/>
      <c r="O435" s="2194"/>
      <c r="P435" s="2194"/>
    </row>
    <row r="436" spans="2:16">
      <c r="B436" s="2180"/>
      <c r="C436" s="2180"/>
      <c r="D436" s="2180"/>
      <c r="E436" s="2180"/>
      <c r="F436" s="2180"/>
      <c r="G436" s="2180"/>
      <c r="H436" s="2180"/>
      <c r="I436" s="2180"/>
      <c r="J436" s="2180"/>
      <c r="K436" s="2180"/>
      <c r="L436" s="2180"/>
      <c r="M436" s="2180"/>
      <c r="N436" s="2181"/>
      <c r="O436" s="2194"/>
      <c r="P436" s="2194"/>
    </row>
    <row r="437" spans="2:16">
      <c r="B437" s="2180"/>
      <c r="C437" s="2180"/>
      <c r="D437" s="2180"/>
      <c r="E437" s="2180"/>
      <c r="F437" s="2180"/>
      <c r="G437" s="2180"/>
      <c r="H437" s="2180"/>
      <c r="I437" s="2180"/>
      <c r="J437" s="2180"/>
      <c r="K437" s="2180"/>
      <c r="L437" s="2180"/>
      <c r="M437" s="2180"/>
      <c r="N437" s="2181"/>
      <c r="O437" s="2194"/>
      <c r="P437" s="2194"/>
    </row>
    <row r="438" spans="2:16">
      <c r="B438" s="2180"/>
      <c r="C438" s="2180"/>
      <c r="D438" s="2180"/>
      <c r="E438" s="2180"/>
      <c r="F438" s="2180"/>
      <c r="G438" s="2180"/>
      <c r="H438" s="2180"/>
      <c r="I438" s="2180"/>
      <c r="J438" s="2180"/>
      <c r="K438" s="2180"/>
      <c r="L438" s="2180"/>
      <c r="M438" s="2180"/>
      <c r="N438" s="2181"/>
      <c r="O438" s="2194"/>
      <c r="P438" s="2194"/>
    </row>
    <row r="439" spans="2:16">
      <c r="B439" s="2180"/>
      <c r="C439" s="2180"/>
      <c r="D439" s="2180"/>
      <c r="E439" s="2180"/>
      <c r="F439" s="2180"/>
      <c r="G439" s="2180"/>
      <c r="H439" s="2180"/>
      <c r="I439" s="2180"/>
      <c r="J439" s="2180"/>
      <c r="K439" s="2180"/>
      <c r="L439" s="2180"/>
      <c r="M439" s="2180"/>
      <c r="N439" s="2181"/>
      <c r="O439" s="2194"/>
      <c r="P439" s="2194"/>
    </row>
    <row r="440" spans="2:16">
      <c r="B440" s="2180"/>
      <c r="C440" s="2180"/>
      <c r="D440" s="2180"/>
      <c r="E440" s="2180"/>
      <c r="F440" s="2180"/>
      <c r="G440" s="2180"/>
      <c r="H440" s="2180"/>
      <c r="I440" s="2180"/>
      <c r="J440" s="2180"/>
      <c r="K440" s="2180"/>
      <c r="L440" s="2180"/>
      <c r="M440" s="2180"/>
      <c r="N440" s="2181"/>
      <c r="O440" s="2194"/>
      <c r="P440" s="2194"/>
    </row>
    <row r="441" spans="2:16">
      <c r="B441" s="2180"/>
      <c r="C441" s="2180"/>
      <c r="D441" s="2180"/>
      <c r="E441" s="2180"/>
      <c r="F441" s="2180"/>
      <c r="G441" s="2180"/>
      <c r="H441" s="2180"/>
      <c r="I441" s="2180"/>
      <c r="J441" s="2180"/>
      <c r="K441" s="2180"/>
      <c r="L441" s="2180"/>
      <c r="M441" s="2180"/>
      <c r="N441" s="2181"/>
      <c r="O441" s="2194"/>
      <c r="P441" s="2194"/>
    </row>
    <row r="442" spans="2:16">
      <c r="B442" s="2180"/>
      <c r="C442" s="2180"/>
      <c r="D442" s="2180"/>
      <c r="E442" s="2180"/>
      <c r="F442" s="2180"/>
      <c r="G442" s="2180"/>
      <c r="H442" s="2180"/>
      <c r="I442" s="2180"/>
      <c r="J442" s="2180"/>
      <c r="K442" s="2180"/>
      <c r="L442" s="2180"/>
      <c r="M442" s="2180"/>
      <c r="N442" s="2181"/>
      <c r="O442" s="2194"/>
      <c r="P442" s="2194"/>
    </row>
    <row r="443" spans="2:16">
      <c r="B443" s="2180"/>
      <c r="C443" s="2180"/>
      <c r="D443" s="2180"/>
      <c r="E443" s="2180"/>
      <c r="F443" s="2180"/>
      <c r="G443" s="2180"/>
      <c r="H443" s="2180"/>
      <c r="I443" s="2180"/>
      <c r="J443" s="2180"/>
      <c r="K443" s="2180"/>
      <c r="L443" s="2180"/>
      <c r="M443" s="2180"/>
      <c r="N443" s="2181"/>
      <c r="O443" s="2194"/>
      <c r="P443" s="2194"/>
    </row>
    <row r="444" spans="2:16">
      <c r="B444" s="2180"/>
      <c r="C444" s="2180"/>
      <c r="D444" s="2180"/>
      <c r="E444" s="2180"/>
      <c r="F444" s="2180"/>
      <c r="G444" s="2180"/>
      <c r="H444" s="2180"/>
      <c r="I444" s="2180"/>
      <c r="J444" s="2180"/>
      <c r="K444" s="2180"/>
      <c r="L444" s="2180"/>
      <c r="M444" s="2180"/>
      <c r="N444" s="2181"/>
      <c r="O444" s="2194"/>
      <c r="P444" s="2194"/>
    </row>
    <row r="445" spans="2:16">
      <c r="B445" s="2180"/>
      <c r="C445" s="2180"/>
      <c r="D445" s="2180"/>
      <c r="E445" s="2180"/>
      <c r="F445" s="2180"/>
      <c r="G445" s="2180"/>
      <c r="H445" s="2180"/>
      <c r="I445" s="2180"/>
      <c r="J445" s="2180"/>
      <c r="K445" s="2180"/>
      <c r="L445" s="2180"/>
      <c r="M445" s="2180"/>
      <c r="N445" s="2181"/>
      <c r="O445" s="2194"/>
      <c r="P445" s="2194"/>
    </row>
    <row r="446" spans="2:16">
      <c r="B446" s="2180"/>
      <c r="C446" s="2180"/>
      <c r="D446" s="2180"/>
      <c r="E446" s="2180"/>
      <c r="F446" s="2180"/>
      <c r="G446" s="2180"/>
      <c r="H446" s="2180"/>
      <c r="I446" s="2180"/>
      <c r="J446" s="2180"/>
      <c r="K446" s="2180"/>
      <c r="L446" s="2180"/>
      <c r="M446" s="2180"/>
      <c r="N446" s="2181"/>
      <c r="O446" s="2194"/>
      <c r="P446" s="2194"/>
    </row>
    <row r="447" spans="2:16">
      <c r="B447" s="2180"/>
      <c r="C447" s="2180"/>
      <c r="D447" s="2180"/>
      <c r="E447" s="2180"/>
      <c r="F447" s="2180"/>
      <c r="G447" s="2180"/>
      <c r="H447" s="2180"/>
      <c r="I447" s="2180"/>
      <c r="J447" s="2180"/>
      <c r="K447" s="2180"/>
      <c r="L447" s="2180"/>
      <c r="M447" s="2180"/>
      <c r="N447" s="2181"/>
      <c r="O447" s="2194"/>
      <c r="P447" s="2194"/>
    </row>
    <row r="448" spans="2:16">
      <c r="B448" s="2180"/>
      <c r="C448" s="2180"/>
      <c r="D448" s="2180"/>
      <c r="E448" s="2180"/>
      <c r="F448" s="2180"/>
      <c r="G448" s="2180"/>
      <c r="H448" s="2180"/>
      <c r="I448" s="2180"/>
      <c r="J448" s="2180"/>
      <c r="K448" s="2180"/>
      <c r="L448" s="2180"/>
      <c r="M448" s="2180"/>
      <c r="N448" s="2181"/>
      <c r="O448" s="2194"/>
      <c r="P448" s="2194"/>
    </row>
    <row r="449" spans="2:16">
      <c r="B449" s="2180"/>
      <c r="C449" s="2180"/>
      <c r="D449" s="2180"/>
      <c r="E449" s="2180"/>
      <c r="F449" s="2180"/>
      <c r="G449" s="2180"/>
      <c r="H449" s="2180"/>
      <c r="I449" s="2180"/>
      <c r="J449" s="2180"/>
      <c r="K449" s="2180"/>
      <c r="L449" s="2180"/>
      <c r="M449" s="2180"/>
      <c r="N449" s="2181"/>
      <c r="O449" s="2194"/>
      <c r="P449" s="2194"/>
    </row>
    <row r="450" spans="2:16">
      <c r="B450" s="2180"/>
      <c r="C450" s="2180"/>
      <c r="D450" s="2180"/>
      <c r="E450" s="2180"/>
      <c r="F450" s="2180"/>
      <c r="G450" s="2180"/>
      <c r="H450" s="2180"/>
      <c r="I450" s="2180"/>
      <c r="J450" s="2180"/>
      <c r="K450" s="2180"/>
      <c r="L450" s="2180"/>
      <c r="M450" s="2180"/>
      <c r="N450" s="2181"/>
      <c r="O450" s="2194"/>
      <c r="P450" s="2194"/>
    </row>
    <row r="451" spans="2:16">
      <c r="B451" s="2180"/>
      <c r="C451" s="2180"/>
      <c r="D451" s="2180"/>
      <c r="E451" s="2180"/>
      <c r="F451" s="2180"/>
      <c r="G451" s="2180"/>
      <c r="H451" s="2180"/>
      <c r="I451" s="2180"/>
      <c r="J451" s="2180"/>
      <c r="K451" s="2180"/>
      <c r="L451" s="2180"/>
      <c r="M451" s="2180"/>
      <c r="N451" s="2181"/>
      <c r="O451" s="2194"/>
      <c r="P451" s="2194"/>
    </row>
    <row r="452" spans="2:16">
      <c r="B452" s="2180"/>
      <c r="C452" s="2180"/>
      <c r="D452" s="2180"/>
      <c r="E452" s="2180"/>
      <c r="F452" s="2180"/>
      <c r="G452" s="2180"/>
      <c r="H452" s="2180"/>
      <c r="I452" s="2180"/>
      <c r="J452" s="2180"/>
      <c r="K452" s="2180"/>
      <c r="L452" s="2180"/>
      <c r="M452" s="2180"/>
      <c r="N452" s="2181"/>
      <c r="O452" s="2194"/>
      <c r="P452" s="2194"/>
    </row>
    <row r="453" spans="2:16">
      <c r="B453" s="2180"/>
      <c r="C453" s="2180"/>
      <c r="D453" s="2180"/>
      <c r="E453" s="2180"/>
      <c r="F453" s="2180"/>
      <c r="G453" s="2180"/>
      <c r="H453" s="2180"/>
      <c r="I453" s="2180"/>
      <c r="J453" s="2180"/>
      <c r="K453" s="2180"/>
      <c r="L453" s="2180"/>
      <c r="M453" s="2180"/>
      <c r="N453" s="2181"/>
      <c r="O453" s="2194"/>
      <c r="P453" s="2194"/>
    </row>
    <row r="454" spans="2:16">
      <c r="B454" s="2180"/>
      <c r="C454" s="2180"/>
      <c r="D454" s="2180"/>
      <c r="E454" s="2180"/>
      <c r="F454" s="2180"/>
      <c r="G454" s="2180"/>
      <c r="H454" s="2180"/>
      <c r="I454" s="2180"/>
      <c r="J454" s="2180"/>
      <c r="K454" s="2180"/>
      <c r="L454" s="2180"/>
      <c r="M454" s="2180"/>
      <c r="N454" s="2181"/>
      <c r="O454" s="2194"/>
      <c r="P454" s="2194"/>
    </row>
    <row r="455" spans="2:16">
      <c r="B455" s="2180"/>
      <c r="C455" s="2180"/>
      <c r="D455" s="2180"/>
      <c r="E455" s="2180"/>
      <c r="F455" s="2180"/>
      <c r="G455" s="2180"/>
      <c r="H455" s="2180"/>
      <c r="I455" s="2180"/>
      <c r="J455" s="2180"/>
      <c r="K455" s="2180"/>
      <c r="L455" s="2180"/>
      <c r="M455" s="2180"/>
      <c r="N455" s="2181"/>
      <c r="O455" s="2194"/>
      <c r="P455" s="2194"/>
    </row>
    <row r="456" spans="2:16">
      <c r="B456" s="2180"/>
      <c r="C456" s="2180"/>
      <c r="D456" s="2180"/>
      <c r="E456" s="2180"/>
      <c r="F456" s="2180"/>
      <c r="G456" s="2180"/>
      <c r="H456" s="2180"/>
      <c r="I456" s="2180"/>
      <c r="J456" s="2180"/>
      <c r="K456" s="2180"/>
      <c r="L456" s="2180"/>
      <c r="M456" s="2180"/>
      <c r="N456" s="2181"/>
      <c r="O456" s="2194"/>
      <c r="P456" s="2194"/>
    </row>
    <row r="457" spans="2:16">
      <c r="B457" s="2180"/>
      <c r="C457" s="2180"/>
      <c r="D457" s="2180"/>
      <c r="E457" s="2180"/>
      <c r="F457" s="2180"/>
      <c r="G457" s="2180"/>
      <c r="H457" s="2180"/>
      <c r="I457" s="2180"/>
      <c r="J457" s="2180"/>
      <c r="K457" s="2180"/>
      <c r="L457" s="2180"/>
      <c r="M457" s="2180"/>
      <c r="N457" s="2181"/>
      <c r="O457" s="2194"/>
      <c r="P457" s="2194"/>
    </row>
    <row r="458" spans="2:16">
      <c r="B458" s="2180"/>
      <c r="C458" s="2180"/>
      <c r="D458" s="2180"/>
      <c r="E458" s="2180"/>
      <c r="F458" s="2180"/>
      <c r="G458" s="2180"/>
      <c r="H458" s="2180"/>
      <c r="I458" s="2180"/>
      <c r="J458" s="2180"/>
      <c r="K458" s="2180"/>
      <c r="L458" s="2180"/>
      <c r="M458" s="2180"/>
      <c r="N458" s="2181"/>
      <c r="O458" s="2194"/>
      <c r="P458" s="2194"/>
    </row>
    <row r="459" spans="2:16">
      <c r="B459" s="2180"/>
      <c r="C459" s="2180"/>
      <c r="D459" s="2180"/>
      <c r="E459" s="2180"/>
      <c r="F459" s="2180"/>
      <c r="G459" s="2180"/>
      <c r="H459" s="2180"/>
      <c r="I459" s="2180"/>
      <c r="J459" s="2180"/>
      <c r="K459" s="2180"/>
      <c r="L459" s="2180"/>
      <c r="M459" s="2180"/>
      <c r="N459" s="2181"/>
      <c r="O459" s="2194"/>
      <c r="P459" s="2194"/>
    </row>
    <row r="460" spans="2:16">
      <c r="B460" s="2180"/>
      <c r="C460" s="2180"/>
      <c r="D460" s="2180"/>
      <c r="E460" s="2180"/>
      <c r="F460" s="2180"/>
      <c r="G460" s="2180"/>
      <c r="H460" s="2180"/>
      <c r="I460" s="2180"/>
      <c r="J460" s="2180"/>
      <c r="K460" s="2180"/>
      <c r="L460" s="2180"/>
      <c r="M460" s="2180"/>
      <c r="N460" s="2181"/>
      <c r="O460" s="2194"/>
      <c r="P460" s="2194"/>
    </row>
    <row r="461" spans="2:16">
      <c r="B461" s="2180"/>
      <c r="C461" s="2180"/>
      <c r="D461" s="2180"/>
      <c r="E461" s="2180"/>
      <c r="F461" s="2180"/>
      <c r="G461" s="2180"/>
      <c r="H461" s="2180"/>
      <c r="I461" s="2180"/>
      <c r="J461" s="2180"/>
      <c r="K461" s="2180"/>
      <c r="L461" s="2180"/>
      <c r="M461" s="2180"/>
      <c r="N461" s="2181"/>
      <c r="O461" s="2194"/>
      <c r="P461" s="2194"/>
    </row>
    <row r="462" spans="2:16">
      <c r="B462" s="2180"/>
      <c r="C462" s="2180"/>
      <c r="D462" s="2180"/>
      <c r="E462" s="2180"/>
      <c r="F462" s="2180"/>
      <c r="G462" s="2180"/>
      <c r="H462" s="2180"/>
      <c r="I462" s="2180"/>
      <c r="J462" s="2180"/>
      <c r="K462" s="2180"/>
      <c r="L462" s="2180"/>
      <c r="M462" s="2180"/>
      <c r="N462" s="2181"/>
      <c r="O462" s="2194"/>
      <c r="P462" s="2194"/>
    </row>
    <row r="463" spans="2:16">
      <c r="B463" s="2180"/>
      <c r="C463" s="2180"/>
      <c r="D463" s="2180"/>
      <c r="E463" s="2180"/>
      <c r="F463" s="2180"/>
      <c r="G463" s="2180"/>
      <c r="H463" s="2180"/>
      <c r="I463" s="2180"/>
      <c r="J463" s="2180"/>
      <c r="K463" s="2180"/>
      <c r="L463" s="2180"/>
      <c r="M463" s="2180"/>
      <c r="N463" s="2181"/>
      <c r="O463" s="2194"/>
      <c r="P463" s="2194"/>
    </row>
    <row r="464" spans="2:16">
      <c r="B464" s="2180"/>
      <c r="C464" s="2180"/>
      <c r="D464" s="2180"/>
      <c r="E464" s="2180"/>
      <c r="F464" s="2180"/>
      <c r="G464" s="2180"/>
      <c r="H464" s="2180"/>
      <c r="I464" s="2180"/>
      <c r="J464" s="2180"/>
      <c r="K464" s="2180"/>
      <c r="L464" s="2180"/>
      <c r="M464" s="2180"/>
      <c r="N464" s="2181"/>
      <c r="O464" s="2194"/>
      <c r="P464" s="2194"/>
    </row>
    <row r="465" spans="2:16">
      <c r="B465" s="2180"/>
      <c r="C465" s="2180"/>
      <c r="D465" s="2180"/>
      <c r="E465" s="2180"/>
      <c r="F465" s="2180"/>
      <c r="G465" s="2180"/>
      <c r="H465" s="2180"/>
      <c r="I465" s="2180"/>
      <c r="J465" s="2180"/>
      <c r="K465" s="2180"/>
      <c r="L465" s="2180"/>
      <c r="M465" s="2180"/>
      <c r="N465" s="2181"/>
      <c r="O465" s="2194"/>
      <c r="P465" s="2194"/>
    </row>
    <row r="466" spans="2:16">
      <c r="B466" s="2180"/>
      <c r="C466" s="2180"/>
      <c r="D466" s="2180"/>
      <c r="E466" s="2180"/>
      <c r="F466" s="2180"/>
      <c r="G466" s="2180"/>
      <c r="H466" s="2180"/>
      <c r="I466" s="2180"/>
      <c r="J466" s="2180"/>
      <c r="K466" s="2180"/>
      <c r="L466" s="2180"/>
      <c r="M466" s="2180"/>
      <c r="N466" s="2181"/>
      <c r="O466" s="2194"/>
      <c r="P466" s="2194"/>
    </row>
    <row r="467" spans="2:16">
      <c r="B467" s="2180"/>
      <c r="C467" s="2180"/>
      <c r="D467" s="2180"/>
      <c r="E467" s="2180"/>
      <c r="F467" s="2180"/>
      <c r="G467" s="2180"/>
      <c r="H467" s="2180"/>
      <c r="I467" s="2180"/>
      <c r="J467" s="2180"/>
      <c r="K467" s="2180"/>
      <c r="L467" s="2180"/>
      <c r="M467" s="2180"/>
      <c r="N467" s="2181"/>
      <c r="O467" s="2194"/>
      <c r="P467" s="2194"/>
    </row>
    <row r="468" spans="2:16">
      <c r="B468" s="2180"/>
      <c r="C468" s="2180"/>
      <c r="D468" s="2180"/>
      <c r="E468" s="2180"/>
      <c r="F468" s="2180"/>
      <c r="G468" s="2180"/>
      <c r="H468" s="2180"/>
      <c r="I468" s="2180"/>
      <c r="J468" s="2180"/>
      <c r="K468" s="2180"/>
      <c r="L468" s="2180"/>
      <c r="M468" s="2180"/>
      <c r="N468" s="2181"/>
      <c r="O468" s="2194"/>
      <c r="P468" s="2194"/>
    </row>
    <row r="469" spans="2:16">
      <c r="B469" s="2180"/>
      <c r="C469" s="2180"/>
      <c r="D469" s="2180"/>
      <c r="E469" s="2180"/>
      <c r="F469" s="2180"/>
      <c r="G469" s="2180"/>
      <c r="H469" s="2180"/>
      <c r="I469" s="2180"/>
      <c r="J469" s="2180"/>
      <c r="K469" s="2180"/>
      <c r="L469" s="2180"/>
      <c r="M469" s="2180"/>
      <c r="N469" s="2181"/>
      <c r="O469" s="2194"/>
      <c r="P469" s="2194"/>
    </row>
    <row r="470" spans="2:16">
      <c r="B470" s="2180"/>
      <c r="C470" s="2180"/>
      <c r="D470" s="2180"/>
      <c r="E470" s="2180"/>
      <c r="F470" s="2180"/>
      <c r="G470" s="2180"/>
      <c r="H470" s="2180"/>
      <c r="I470" s="2180"/>
      <c r="J470" s="2180"/>
      <c r="K470" s="2180"/>
      <c r="L470" s="2180"/>
      <c r="M470" s="2180"/>
      <c r="N470" s="2181"/>
      <c r="O470" s="2194"/>
      <c r="P470" s="2194"/>
    </row>
    <row r="471" spans="2:16">
      <c r="B471" s="2180"/>
      <c r="C471" s="2180"/>
      <c r="D471" s="2180"/>
      <c r="E471" s="2180"/>
      <c r="F471" s="2180"/>
      <c r="G471" s="2180"/>
      <c r="H471" s="2180"/>
      <c r="I471" s="2180"/>
      <c r="J471" s="2180"/>
      <c r="K471" s="2180"/>
      <c r="L471" s="2180"/>
      <c r="M471" s="2180"/>
      <c r="N471" s="2181"/>
      <c r="O471" s="2194"/>
      <c r="P471" s="2194"/>
    </row>
    <row r="472" spans="2:16">
      <c r="B472" s="2180"/>
      <c r="C472" s="2180"/>
      <c r="D472" s="2180"/>
      <c r="E472" s="2180"/>
      <c r="F472" s="2180"/>
      <c r="G472" s="2180"/>
      <c r="H472" s="2180"/>
      <c r="I472" s="2180"/>
      <c r="J472" s="2180"/>
      <c r="K472" s="2180"/>
      <c r="L472" s="2180"/>
      <c r="M472" s="2180"/>
      <c r="N472" s="2181"/>
      <c r="O472" s="2194"/>
      <c r="P472" s="2194"/>
    </row>
    <row r="473" spans="2:16">
      <c r="B473" s="2180"/>
      <c r="C473" s="2180"/>
      <c r="D473" s="2180"/>
      <c r="E473" s="2180"/>
      <c r="F473" s="2180"/>
      <c r="G473" s="2180"/>
      <c r="H473" s="2180"/>
      <c r="I473" s="2180"/>
      <c r="J473" s="2180"/>
      <c r="K473" s="2180"/>
      <c r="L473" s="2180"/>
      <c r="M473" s="2180"/>
      <c r="N473" s="2181"/>
      <c r="O473" s="2194"/>
      <c r="P473" s="2194"/>
    </row>
    <row r="474" spans="2:16">
      <c r="B474" s="2180"/>
      <c r="C474" s="2180"/>
      <c r="D474" s="2180"/>
      <c r="E474" s="2180"/>
      <c r="F474" s="2180"/>
      <c r="G474" s="2180"/>
      <c r="H474" s="2180"/>
      <c r="I474" s="2180"/>
      <c r="J474" s="2180"/>
      <c r="K474" s="2180"/>
      <c r="L474" s="2180"/>
      <c r="M474" s="2180"/>
      <c r="N474" s="2181"/>
      <c r="O474" s="2194"/>
      <c r="P474" s="2194"/>
    </row>
    <row r="475" spans="2:16">
      <c r="B475" s="2180"/>
      <c r="C475" s="2180"/>
      <c r="D475" s="2180"/>
      <c r="E475" s="2180"/>
      <c r="F475" s="2180"/>
      <c r="G475" s="2180"/>
      <c r="H475" s="2180"/>
      <c r="I475" s="2180"/>
      <c r="J475" s="2180"/>
      <c r="K475" s="2180"/>
      <c r="L475" s="2180"/>
      <c r="M475" s="2180"/>
      <c r="N475" s="2181"/>
      <c r="O475" s="2194"/>
      <c r="P475" s="2194"/>
    </row>
    <row r="476" spans="2:16">
      <c r="B476" s="2180"/>
      <c r="C476" s="2180"/>
      <c r="D476" s="2180"/>
      <c r="E476" s="2180"/>
      <c r="F476" s="2180"/>
      <c r="G476" s="2180"/>
      <c r="H476" s="2180"/>
      <c r="I476" s="2180"/>
      <c r="J476" s="2180"/>
      <c r="K476" s="2180"/>
      <c r="L476" s="2180"/>
      <c r="M476" s="2180"/>
      <c r="N476" s="2181"/>
      <c r="O476" s="2194"/>
      <c r="P476" s="2194"/>
    </row>
    <row r="477" spans="2:16">
      <c r="B477" s="2180"/>
      <c r="C477" s="2180"/>
      <c r="D477" s="2180"/>
      <c r="E477" s="2180"/>
      <c r="F477" s="2180"/>
      <c r="G477" s="2180"/>
      <c r="H477" s="2180"/>
      <c r="I477" s="2180"/>
      <c r="J477" s="2180"/>
      <c r="K477" s="2180"/>
      <c r="L477" s="2180"/>
      <c r="M477" s="2180"/>
      <c r="N477" s="2181"/>
      <c r="O477" s="2194"/>
      <c r="P477" s="2194"/>
    </row>
    <row r="478" spans="2:16">
      <c r="B478" s="2180"/>
      <c r="C478" s="2180"/>
      <c r="D478" s="2180"/>
      <c r="E478" s="2180"/>
      <c r="F478" s="2180"/>
      <c r="G478" s="2180"/>
      <c r="H478" s="2180"/>
      <c r="I478" s="2180"/>
      <c r="J478" s="2180"/>
      <c r="K478" s="2180"/>
      <c r="L478" s="2180"/>
      <c r="M478" s="2180"/>
      <c r="N478" s="2181"/>
      <c r="O478" s="2194"/>
      <c r="P478" s="2194"/>
    </row>
    <row r="479" spans="2:16">
      <c r="B479" s="2180"/>
      <c r="C479" s="2180"/>
      <c r="D479" s="2180"/>
      <c r="E479" s="2180"/>
      <c r="F479" s="2180"/>
      <c r="G479" s="2180"/>
      <c r="H479" s="2180"/>
      <c r="I479" s="2180"/>
      <c r="J479" s="2180"/>
      <c r="K479" s="2180"/>
      <c r="L479" s="2180"/>
      <c r="M479" s="2180"/>
      <c r="N479" s="2181"/>
      <c r="O479" s="2194"/>
      <c r="P479" s="2194"/>
    </row>
    <row r="480" spans="2:16">
      <c r="B480" s="2180"/>
      <c r="C480" s="2180"/>
      <c r="D480" s="2180"/>
      <c r="E480" s="2180"/>
      <c r="F480" s="2180"/>
      <c r="G480" s="2180"/>
      <c r="H480" s="2180"/>
      <c r="I480" s="2180"/>
      <c r="J480" s="2180"/>
      <c r="K480" s="2180"/>
      <c r="L480" s="2180"/>
      <c r="M480" s="2180"/>
      <c r="N480" s="2181"/>
      <c r="O480" s="2194"/>
      <c r="P480" s="2194"/>
    </row>
    <row r="481" spans="2:16">
      <c r="B481" s="2180"/>
      <c r="C481" s="2180"/>
      <c r="D481" s="2180"/>
      <c r="E481" s="2180"/>
      <c r="F481" s="2180"/>
      <c r="G481" s="2180"/>
      <c r="H481" s="2180"/>
      <c r="I481" s="2180"/>
      <c r="J481" s="2180"/>
      <c r="K481" s="2180"/>
      <c r="L481" s="2180"/>
      <c r="M481" s="2180"/>
      <c r="N481" s="2181"/>
      <c r="O481" s="2194"/>
      <c r="P481" s="2194"/>
    </row>
    <row r="482" spans="2:16">
      <c r="B482" s="2180"/>
      <c r="C482" s="2180"/>
      <c r="D482" s="2180"/>
      <c r="E482" s="2180"/>
      <c r="F482" s="2180"/>
      <c r="G482" s="2180"/>
      <c r="H482" s="2180"/>
      <c r="I482" s="2180"/>
      <c r="J482" s="2180"/>
      <c r="K482" s="2180"/>
      <c r="L482" s="2180"/>
      <c r="M482" s="2180"/>
      <c r="N482" s="2181"/>
      <c r="O482" s="2194"/>
      <c r="P482" s="2194"/>
    </row>
    <row r="483" spans="2:16">
      <c r="B483" s="2180"/>
      <c r="C483" s="2180"/>
      <c r="D483" s="2180"/>
      <c r="E483" s="2180"/>
      <c r="F483" s="2180"/>
      <c r="G483" s="2180"/>
      <c r="H483" s="2180"/>
      <c r="I483" s="2180"/>
      <c r="J483" s="2180"/>
      <c r="K483" s="2180"/>
      <c r="L483" s="2180"/>
      <c r="M483" s="2180"/>
      <c r="N483" s="2181"/>
      <c r="O483" s="2194"/>
      <c r="P483" s="2194"/>
    </row>
    <row r="484" spans="2:16">
      <c r="B484" s="2180"/>
      <c r="C484" s="2180"/>
      <c r="D484" s="2180"/>
      <c r="E484" s="2180"/>
      <c r="F484" s="2180"/>
      <c r="G484" s="2180"/>
      <c r="H484" s="2180"/>
      <c r="I484" s="2180"/>
      <c r="J484" s="2180"/>
      <c r="K484" s="2180"/>
      <c r="L484" s="2180"/>
      <c r="M484" s="2180"/>
      <c r="N484" s="2181"/>
      <c r="O484" s="2194"/>
      <c r="P484" s="2194"/>
    </row>
    <row r="485" spans="2:16">
      <c r="B485" s="2180"/>
      <c r="C485" s="2180"/>
      <c r="D485" s="2180"/>
      <c r="E485" s="2180"/>
      <c r="F485" s="2180"/>
      <c r="G485" s="2180"/>
      <c r="H485" s="2180"/>
      <c r="I485" s="2180"/>
      <c r="J485" s="2180"/>
      <c r="K485" s="2180"/>
      <c r="L485" s="2180"/>
      <c r="M485" s="2180"/>
      <c r="N485" s="2181"/>
      <c r="O485" s="2194"/>
      <c r="P485" s="2194"/>
    </row>
    <row r="486" spans="2:16">
      <c r="B486" s="2180"/>
      <c r="C486" s="2180"/>
      <c r="D486" s="2180"/>
      <c r="E486" s="2180"/>
      <c r="F486" s="2180"/>
      <c r="G486" s="2180"/>
      <c r="H486" s="2180"/>
      <c r="I486" s="2180"/>
      <c r="J486" s="2180"/>
      <c r="K486" s="2180"/>
      <c r="L486" s="2180"/>
      <c r="M486" s="2180"/>
      <c r="N486" s="2181"/>
      <c r="O486" s="2194"/>
      <c r="P486" s="2194"/>
    </row>
    <row r="487" spans="2:16">
      <c r="B487" s="2180"/>
      <c r="C487" s="2180"/>
      <c r="D487" s="2180"/>
      <c r="E487" s="2180"/>
      <c r="F487" s="2180"/>
      <c r="G487" s="2180"/>
      <c r="H487" s="2180"/>
      <c r="I487" s="2180"/>
      <c r="J487" s="2180"/>
      <c r="K487" s="2180"/>
      <c r="L487" s="2180"/>
      <c r="M487" s="2180"/>
      <c r="N487" s="2181"/>
      <c r="O487" s="2194"/>
      <c r="P487" s="2194"/>
    </row>
    <row r="488" spans="2:16">
      <c r="B488" s="2180"/>
      <c r="C488" s="2180"/>
      <c r="D488" s="2180"/>
      <c r="E488" s="2180"/>
      <c r="F488" s="2180"/>
      <c r="G488" s="2180"/>
      <c r="H488" s="2180"/>
      <c r="I488" s="2180"/>
      <c r="J488" s="2180"/>
      <c r="K488" s="2180"/>
      <c r="L488" s="2180"/>
      <c r="M488" s="2180"/>
      <c r="N488" s="2181"/>
      <c r="O488" s="2194"/>
      <c r="P488" s="2194"/>
    </row>
    <row r="489" spans="2:16">
      <c r="B489" s="2180"/>
      <c r="C489" s="2180"/>
      <c r="D489" s="2180"/>
      <c r="E489" s="2180"/>
      <c r="F489" s="2180"/>
      <c r="G489" s="2180"/>
      <c r="H489" s="2180"/>
      <c r="I489" s="2180"/>
      <c r="J489" s="2180"/>
      <c r="K489" s="2180"/>
      <c r="L489" s="2180"/>
      <c r="M489" s="2180"/>
      <c r="N489" s="2181"/>
      <c r="O489" s="2194"/>
      <c r="P489" s="2194"/>
    </row>
    <row r="490" spans="2:16">
      <c r="B490" s="2180"/>
      <c r="C490" s="2180"/>
      <c r="D490" s="2180"/>
      <c r="E490" s="2180"/>
      <c r="F490" s="2180"/>
      <c r="G490" s="2180"/>
      <c r="H490" s="2180"/>
      <c r="I490" s="2180"/>
      <c r="J490" s="2180"/>
      <c r="K490" s="2180"/>
      <c r="L490" s="2180"/>
      <c r="M490" s="2180"/>
      <c r="N490" s="2181"/>
      <c r="O490" s="2194"/>
      <c r="P490" s="2194"/>
    </row>
    <row r="491" spans="2:16">
      <c r="B491" s="2180"/>
      <c r="C491" s="2180"/>
      <c r="D491" s="2180"/>
      <c r="E491" s="2180"/>
      <c r="F491" s="2180"/>
      <c r="G491" s="2180"/>
      <c r="H491" s="2180"/>
      <c r="I491" s="2180"/>
      <c r="J491" s="2180"/>
      <c r="K491" s="2180"/>
      <c r="L491" s="2180"/>
      <c r="M491" s="2180"/>
      <c r="N491" s="2181"/>
      <c r="O491" s="2194"/>
      <c r="P491" s="2194"/>
    </row>
    <row r="492" spans="2:16">
      <c r="B492" s="2180"/>
      <c r="C492" s="2180"/>
      <c r="D492" s="2180"/>
      <c r="E492" s="2180"/>
      <c r="F492" s="2180"/>
      <c r="G492" s="2180"/>
      <c r="H492" s="2180"/>
      <c r="I492" s="2180"/>
      <c r="J492" s="2180"/>
      <c r="K492" s="2180"/>
      <c r="L492" s="2180"/>
      <c r="M492" s="2180"/>
      <c r="N492" s="2181"/>
      <c r="O492" s="2194"/>
      <c r="P492" s="2194"/>
    </row>
    <row r="493" spans="2:16">
      <c r="B493" s="2180"/>
      <c r="C493" s="2180"/>
      <c r="D493" s="2180"/>
      <c r="E493" s="2180"/>
      <c r="F493" s="2180"/>
      <c r="G493" s="2180"/>
      <c r="H493" s="2180"/>
      <c r="I493" s="2180"/>
      <c r="J493" s="2180"/>
      <c r="K493" s="2180"/>
      <c r="L493" s="2180"/>
      <c r="M493" s="2180"/>
      <c r="N493" s="2181"/>
      <c r="O493" s="2194"/>
      <c r="P493" s="2194"/>
    </row>
    <row r="494" spans="2:16">
      <c r="B494" s="2180"/>
      <c r="C494" s="2180"/>
      <c r="D494" s="2180"/>
      <c r="E494" s="2180"/>
      <c r="F494" s="2180"/>
      <c r="G494" s="2180"/>
      <c r="H494" s="2180"/>
      <c r="I494" s="2180"/>
      <c r="J494" s="2180"/>
      <c r="K494" s="2180"/>
      <c r="L494" s="2180"/>
      <c r="M494" s="2180"/>
      <c r="N494" s="2181"/>
      <c r="O494" s="2194"/>
      <c r="P494" s="2194"/>
    </row>
    <row r="495" spans="2:16">
      <c r="B495" s="2180"/>
      <c r="C495" s="2180"/>
      <c r="D495" s="2180"/>
      <c r="E495" s="2180"/>
      <c r="F495" s="2180"/>
      <c r="G495" s="2180"/>
      <c r="H495" s="2180"/>
      <c r="I495" s="2180"/>
      <c r="J495" s="2180"/>
      <c r="K495" s="2180"/>
      <c r="L495" s="2180"/>
      <c r="M495" s="2180"/>
      <c r="N495" s="2181"/>
      <c r="O495" s="2194"/>
      <c r="P495" s="2194"/>
    </row>
    <row r="496" spans="2:16">
      <c r="B496" s="2180"/>
      <c r="C496" s="2180"/>
      <c r="D496" s="2180"/>
      <c r="E496" s="2180"/>
      <c r="F496" s="2180"/>
      <c r="G496" s="2180"/>
      <c r="H496" s="2180"/>
      <c r="I496" s="2180"/>
      <c r="J496" s="2180"/>
      <c r="K496" s="2180"/>
      <c r="L496" s="2180"/>
      <c r="M496" s="2180"/>
      <c r="N496" s="2181"/>
      <c r="O496" s="2194"/>
      <c r="P496" s="2194"/>
    </row>
    <row r="497" spans="1:16">
      <c r="B497" s="2180"/>
      <c r="C497" s="2180"/>
      <c r="D497" s="2180"/>
      <c r="E497" s="2180"/>
      <c r="F497" s="2180"/>
      <c r="G497" s="2180"/>
      <c r="H497" s="2180"/>
      <c r="I497" s="2180"/>
      <c r="J497" s="2180"/>
      <c r="K497" s="2180"/>
      <c r="L497" s="2180"/>
      <c r="M497" s="2180"/>
      <c r="N497" s="2181"/>
      <c r="O497" s="2194"/>
      <c r="P497" s="2194"/>
    </row>
    <row r="498" spans="1:16" ht="13.5" thickBot="1">
      <c r="B498" s="2180"/>
      <c r="C498" s="2180"/>
      <c r="D498" s="2180"/>
      <c r="E498" s="2180"/>
      <c r="F498" s="2180"/>
      <c r="G498" s="2180"/>
      <c r="H498" s="2180"/>
      <c r="I498" s="2180"/>
      <c r="J498" s="2180"/>
      <c r="K498" s="2180"/>
      <c r="L498" s="2180"/>
      <c r="M498" s="2180"/>
      <c r="N498" s="2181"/>
      <c r="O498" s="2194"/>
      <c r="P498" s="2194"/>
    </row>
    <row r="499" spans="1:16" ht="33.75">
      <c r="A499" s="317"/>
      <c r="B499" s="318" t="s">
        <v>60</v>
      </c>
      <c r="C499" s="318"/>
      <c r="D499" s="2187"/>
      <c r="E499" s="2187"/>
      <c r="F499" s="2187"/>
      <c r="G499" s="2187"/>
      <c r="H499" s="2187"/>
      <c r="I499" s="2187"/>
      <c r="J499" s="2187"/>
      <c r="K499" s="2187"/>
      <c r="L499" s="2187"/>
      <c r="M499" s="2187"/>
      <c r="N499" s="2234"/>
      <c r="O499" s="2194"/>
      <c r="P499" s="2194"/>
    </row>
    <row r="500" spans="1:16">
      <c r="A500" s="319"/>
      <c r="B500" s="2180"/>
      <c r="C500" s="2180"/>
      <c r="D500" s="2180"/>
      <c r="E500" s="2180"/>
      <c r="F500" s="2180"/>
      <c r="G500" s="2180"/>
      <c r="H500" s="2180"/>
      <c r="I500" s="2180"/>
      <c r="J500" s="2180"/>
      <c r="K500" s="2180"/>
      <c r="L500" s="2180"/>
      <c r="M500" s="2180"/>
      <c r="N500" s="2235"/>
      <c r="O500" s="2194"/>
      <c r="P500" s="2194"/>
    </row>
    <row r="501" spans="1:16">
      <c r="A501" s="319"/>
      <c r="B501" s="2180"/>
      <c r="C501" s="2180"/>
      <c r="D501" s="2180"/>
      <c r="E501" s="2180"/>
      <c r="F501" s="2180"/>
      <c r="G501" s="2180"/>
      <c r="H501" s="2180"/>
      <c r="I501" s="2180"/>
      <c r="J501" s="2180"/>
      <c r="K501" s="2180"/>
      <c r="L501" s="2180"/>
      <c r="M501" s="2180"/>
      <c r="N501" s="2235"/>
      <c r="O501" s="2194"/>
      <c r="P501" s="2194"/>
    </row>
    <row r="502" spans="1:16">
      <c r="A502" s="319"/>
      <c r="B502" s="2180"/>
      <c r="C502" s="2180"/>
      <c r="D502" s="2180"/>
      <c r="E502" s="2180"/>
      <c r="F502" s="2180"/>
      <c r="G502" s="2180"/>
      <c r="H502" s="2180"/>
      <c r="I502" s="2180"/>
      <c r="J502" s="2180"/>
      <c r="K502" s="2180"/>
      <c r="L502" s="2180"/>
      <c r="M502" s="2180"/>
      <c r="N502" s="2235"/>
      <c r="O502" s="2194"/>
      <c r="P502" s="2194"/>
    </row>
    <row r="503" spans="1:16">
      <c r="A503" s="319"/>
      <c r="B503" s="2180"/>
      <c r="C503" s="2180"/>
      <c r="D503" s="2180"/>
      <c r="E503" s="2180"/>
      <c r="F503" s="2180"/>
      <c r="G503" s="2180"/>
      <c r="H503" s="2180"/>
      <c r="I503" s="2180"/>
      <c r="J503" s="2180"/>
      <c r="K503" s="2180"/>
      <c r="L503" s="2180"/>
      <c r="M503" s="2180"/>
      <c r="N503" s="2235"/>
      <c r="O503" s="2194"/>
      <c r="P503" s="2194"/>
    </row>
    <row r="504" spans="1:16">
      <c r="A504" s="319"/>
      <c r="B504" s="2180"/>
      <c r="C504" s="2180"/>
      <c r="D504" s="2180"/>
      <c r="E504" s="2180"/>
      <c r="F504" s="2180"/>
      <c r="G504" s="2180"/>
      <c r="H504" s="2180"/>
      <c r="I504" s="2180"/>
      <c r="J504" s="2180"/>
      <c r="K504" s="2180"/>
      <c r="L504" s="2180"/>
      <c r="M504" s="2180"/>
      <c r="N504" s="2235"/>
      <c r="O504" s="2194"/>
      <c r="P504" s="2194"/>
    </row>
    <row r="505" spans="1:16">
      <c r="A505" s="319"/>
      <c r="B505" s="2180"/>
      <c r="C505" s="2180"/>
      <c r="D505" s="2180"/>
      <c r="E505" s="2180"/>
      <c r="F505" s="2180"/>
      <c r="G505" s="2180"/>
      <c r="H505" s="2180"/>
      <c r="I505" s="2180"/>
      <c r="J505" s="2180"/>
      <c r="K505" s="2180"/>
      <c r="L505" s="2180"/>
      <c r="M505" s="2180"/>
      <c r="N505" s="2235"/>
      <c r="O505" s="2194"/>
      <c r="P505" s="2194"/>
    </row>
    <row r="506" spans="1:16">
      <c r="A506" s="319"/>
      <c r="B506" s="2180"/>
      <c r="C506" s="2180"/>
      <c r="D506" s="2180"/>
      <c r="E506" s="2180"/>
      <c r="F506" s="2180"/>
      <c r="G506" s="2180"/>
      <c r="H506" s="2180"/>
      <c r="I506" s="2180"/>
      <c r="J506" s="2180"/>
      <c r="K506" s="2180"/>
      <c r="L506" s="2180"/>
      <c r="M506" s="2180"/>
      <c r="N506" s="2235"/>
      <c r="O506" s="2194"/>
      <c r="P506" s="2194"/>
    </row>
    <row r="507" spans="1:16">
      <c r="A507" s="319"/>
      <c r="B507" s="2180"/>
      <c r="C507" s="2180"/>
      <c r="D507" s="2180"/>
      <c r="E507" s="2180"/>
      <c r="F507" s="2180"/>
      <c r="G507" s="2180"/>
      <c r="H507" s="2180"/>
      <c r="I507" s="2180"/>
      <c r="J507" s="2180"/>
      <c r="K507" s="2180"/>
      <c r="L507" s="2180"/>
      <c r="M507" s="2180"/>
      <c r="N507" s="2235"/>
      <c r="O507" s="2194"/>
      <c r="P507" s="2194"/>
    </row>
    <row r="508" spans="1:16">
      <c r="A508" s="319"/>
      <c r="B508" s="2180"/>
      <c r="C508" s="2180"/>
      <c r="D508" s="2180"/>
      <c r="E508" s="2180"/>
      <c r="F508" s="2180"/>
      <c r="G508" s="2180"/>
      <c r="H508" s="2180"/>
      <c r="I508" s="2180"/>
      <c r="J508" s="2180"/>
      <c r="K508" s="2180"/>
      <c r="L508" s="2180"/>
      <c r="M508" s="2180"/>
      <c r="N508" s="2235"/>
      <c r="O508" s="2194"/>
      <c r="P508" s="2194"/>
    </row>
    <row r="509" spans="1:16">
      <c r="A509" s="319"/>
      <c r="B509" s="2180"/>
      <c r="C509" s="2180"/>
      <c r="D509" s="2180"/>
      <c r="E509" s="2180"/>
      <c r="F509" s="2180"/>
      <c r="G509" s="2180"/>
      <c r="H509" s="2180"/>
      <c r="I509" s="2180"/>
      <c r="J509" s="2180"/>
      <c r="K509" s="2180"/>
      <c r="L509" s="2180"/>
      <c r="M509" s="2180"/>
      <c r="N509" s="2235"/>
      <c r="O509" s="2194"/>
      <c r="P509" s="2194"/>
    </row>
    <row r="510" spans="1:16" ht="13.5" thickBot="1">
      <c r="A510" s="320"/>
      <c r="B510" s="2183"/>
      <c r="C510" s="2183"/>
      <c r="D510" s="2183"/>
      <c r="E510" s="2183"/>
      <c r="F510" s="2183"/>
      <c r="G510" s="2183"/>
      <c r="H510" s="2183"/>
      <c r="I510" s="2183"/>
      <c r="J510" s="2183"/>
      <c r="K510" s="2183"/>
      <c r="L510" s="2183"/>
      <c r="M510" s="2183"/>
      <c r="N510" s="2236"/>
      <c r="O510" s="2194"/>
      <c r="P510" s="2194"/>
    </row>
    <row r="511" spans="1:16">
      <c r="B511" s="2180"/>
      <c r="C511" s="2180"/>
      <c r="D511" s="2180"/>
      <c r="E511" s="2180"/>
      <c r="F511" s="2180"/>
      <c r="G511" s="2180"/>
      <c r="H511" s="2180"/>
      <c r="I511" s="2180"/>
      <c r="J511" s="2180"/>
      <c r="K511" s="2180"/>
      <c r="L511" s="2180"/>
      <c r="M511" s="2180"/>
      <c r="N511" s="2181"/>
      <c r="O511" s="2194"/>
      <c r="P511" s="2194"/>
    </row>
    <row r="512" spans="1:16" ht="13.5" thickBot="1">
      <c r="B512" s="2180"/>
      <c r="C512" s="2180"/>
      <c r="D512" s="2180"/>
      <c r="E512" s="2180"/>
      <c r="F512" s="2180"/>
      <c r="G512" s="2180"/>
      <c r="H512" s="2180"/>
      <c r="I512" s="2180"/>
      <c r="J512" s="2180"/>
      <c r="K512" s="2180"/>
      <c r="L512" s="2180"/>
      <c r="M512" s="2180"/>
      <c r="N512" s="2184"/>
      <c r="O512" s="2194"/>
      <c r="P512" s="2194"/>
    </row>
    <row r="513" spans="1:16" ht="13.5" thickBot="1">
      <c r="B513" s="2180"/>
      <c r="C513" s="2180"/>
      <c r="D513" s="2180"/>
      <c r="E513" s="2180"/>
      <c r="F513" s="2180"/>
      <c r="G513" s="2180"/>
      <c r="H513" s="2180"/>
      <c r="I513" s="2180"/>
      <c r="J513" s="2180"/>
      <c r="K513" s="2180"/>
      <c r="L513" s="2180"/>
      <c r="M513" s="2180"/>
      <c r="N513" s="2186"/>
      <c r="O513" s="2194"/>
      <c r="P513" s="2194"/>
    </row>
    <row r="514" spans="1:16" ht="13.5" thickBot="1">
      <c r="B514" s="2180"/>
      <c r="C514" s="2180"/>
      <c r="D514" s="2180"/>
      <c r="E514" s="2180"/>
      <c r="F514" s="2180"/>
      <c r="G514" s="2180"/>
      <c r="H514" s="2180"/>
      <c r="I514" s="2180"/>
      <c r="J514" s="2180"/>
      <c r="K514" s="2180"/>
      <c r="L514" s="2180"/>
      <c r="M514" s="2180"/>
      <c r="N514" s="2186"/>
      <c r="O514" s="2194"/>
      <c r="P514" s="2194"/>
    </row>
    <row r="515" spans="1:16" ht="13.5" thickBot="1">
      <c r="B515" s="2180"/>
      <c r="C515" s="2180"/>
      <c r="D515" s="2180"/>
      <c r="E515" s="2180"/>
      <c r="F515" s="2180"/>
      <c r="G515" s="2180"/>
      <c r="H515" s="2180"/>
      <c r="I515" s="2180"/>
      <c r="J515" s="2180"/>
      <c r="K515" s="2180"/>
      <c r="L515" s="2180"/>
      <c r="M515" s="2180"/>
      <c r="N515" s="2186"/>
      <c r="O515" s="2194"/>
      <c r="P515" s="2194"/>
    </row>
    <row r="516" spans="1:16" ht="13.5" thickBot="1">
      <c r="B516" s="2180"/>
      <c r="C516" s="2180"/>
      <c r="D516" s="2180"/>
      <c r="E516" s="2180"/>
      <c r="F516" s="2180"/>
      <c r="G516" s="2180"/>
      <c r="H516" s="2180"/>
      <c r="I516" s="2180"/>
      <c r="J516" s="2180"/>
      <c r="K516" s="2180"/>
      <c r="L516" s="2180"/>
      <c r="M516" s="2183"/>
      <c r="N516" s="2186"/>
      <c r="O516" s="2194"/>
      <c r="P516" s="2194"/>
    </row>
    <row r="517" spans="1:16" ht="13.5" thickBot="1">
      <c r="B517" s="2180"/>
      <c r="C517" s="2180"/>
      <c r="D517" s="2180"/>
      <c r="E517" s="2180"/>
      <c r="F517" s="2180"/>
      <c r="G517" s="2180"/>
      <c r="H517" s="2180"/>
      <c r="I517" s="2180"/>
      <c r="J517" s="2180"/>
      <c r="K517" s="2180"/>
      <c r="L517" s="2180"/>
      <c r="M517" s="2185"/>
      <c r="N517" s="2186"/>
      <c r="O517" s="2194"/>
      <c r="P517" s="2194"/>
    </row>
    <row r="518" spans="1:16" ht="13.5" thickBot="1">
      <c r="B518" s="2180"/>
      <c r="C518" s="2180"/>
      <c r="D518" s="2180"/>
      <c r="E518" s="2180"/>
      <c r="F518" s="2180"/>
      <c r="G518" s="2180"/>
      <c r="H518" s="2180"/>
      <c r="I518" s="2180"/>
      <c r="J518" s="2180"/>
      <c r="K518" s="2180"/>
      <c r="L518" s="2180"/>
      <c r="M518" s="2185"/>
      <c r="N518" s="2186"/>
      <c r="O518" s="2194"/>
      <c r="P518" s="2194"/>
    </row>
    <row r="519" spans="1:16" ht="13.5" thickBot="1">
      <c r="B519" s="2180"/>
      <c r="C519" s="2180"/>
      <c r="D519" s="2180"/>
      <c r="E519" s="2180"/>
      <c r="F519" s="2180"/>
      <c r="G519" s="2180"/>
      <c r="H519" s="2180"/>
      <c r="I519" s="2180"/>
      <c r="J519" s="2180"/>
      <c r="K519" s="2180"/>
      <c r="L519" s="2180"/>
      <c r="M519" s="2185"/>
      <c r="N519" s="2186"/>
      <c r="O519" s="2194"/>
      <c r="P519" s="2194"/>
    </row>
    <row r="520" spans="1:16" ht="13.5" thickBot="1">
      <c r="B520" s="2180"/>
      <c r="C520" s="2180"/>
      <c r="D520" s="2180"/>
      <c r="E520" s="2180"/>
      <c r="F520" s="2180"/>
      <c r="G520" s="2180"/>
      <c r="H520" s="2180"/>
      <c r="I520" s="2180"/>
      <c r="J520" s="2180"/>
      <c r="K520" s="2180"/>
      <c r="L520" s="2180"/>
      <c r="M520" s="2185"/>
      <c r="N520" s="2186"/>
      <c r="O520" s="2194"/>
      <c r="P520" s="2194"/>
    </row>
    <row r="521" spans="1:16" ht="13.5" thickBot="1">
      <c r="A521" s="1678"/>
      <c r="B521" s="2183"/>
      <c r="C521" s="2183"/>
      <c r="D521" s="2183"/>
      <c r="E521" s="2183"/>
      <c r="F521" s="2183"/>
      <c r="G521" s="2183"/>
      <c r="H521" s="2183"/>
      <c r="I521" s="2183"/>
      <c r="J521" s="2183"/>
      <c r="K521" s="2183"/>
      <c r="L521" s="2183"/>
      <c r="M521" s="2185"/>
      <c r="N521" s="2186"/>
      <c r="O521" s="2194"/>
      <c r="P521" s="2194"/>
    </row>
    <row r="522" spans="1:16" ht="13.5" thickBot="1">
      <c r="A522" s="1901"/>
      <c r="B522" s="2187"/>
      <c r="C522" s="2187"/>
      <c r="D522" s="2187"/>
      <c r="E522" s="2187"/>
      <c r="F522" s="2187"/>
      <c r="G522" s="2187"/>
      <c r="H522" s="2187"/>
      <c r="I522" s="2187"/>
      <c r="J522" s="2187"/>
      <c r="K522" s="2187"/>
      <c r="L522" s="2187"/>
      <c r="M522" s="2187"/>
      <c r="N522" s="2186"/>
      <c r="O522" s="2194"/>
      <c r="P522" s="2194"/>
    </row>
    <row r="523" spans="1:16" ht="13.5" thickBot="1">
      <c r="A523" s="1901"/>
      <c r="B523" s="2180"/>
      <c r="C523" s="2180"/>
      <c r="D523" s="2180"/>
      <c r="E523" s="2180"/>
      <c r="F523" s="2180"/>
      <c r="G523" s="2180"/>
      <c r="H523" s="2180"/>
      <c r="I523" s="2180"/>
      <c r="J523" s="2180"/>
      <c r="K523" s="2180"/>
      <c r="L523" s="2180"/>
      <c r="M523" s="2180"/>
      <c r="N523" s="2186"/>
      <c r="O523" s="2194"/>
      <c r="P523" s="2194"/>
    </row>
    <row r="524" spans="1:16" ht="13.5" thickBot="1">
      <c r="A524" s="1901"/>
      <c r="B524" s="2180"/>
      <c r="C524" s="2180"/>
      <c r="D524" s="2180"/>
      <c r="E524" s="2180"/>
      <c r="F524" s="2180"/>
      <c r="G524" s="2180"/>
      <c r="H524" s="2180"/>
      <c r="I524" s="2180"/>
      <c r="J524" s="2180"/>
      <c r="K524" s="2180"/>
      <c r="L524" s="2180"/>
      <c r="M524" s="2180"/>
      <c r="N524" s="2186"/>
      <c r="O524" s="2194"/>
      <c r="P524" s="2194"/>
    </row>
    <row r="525" spans="1:16" ht="13.5" thickBot="1">
      <c r="A525" s="1901"/>
      <c r="B525" s="2180"/>
      <c r="C525" s="2180"/>
      <c r="D525" s="2180"/>
      <c r="E525" s="2180"/>
      <c r="F525" s="2180"/>
      <c r="G525" s="2180"/>
      <c r="H525" s="2180"/>
      <c r="I525" s="2180"/>
      <c r="J525" s="2180"/>
      <c r="K525" s="2180"/>
      <c r="L525" s="2180"/>
      <c r="M525" s="2180"/>
      <c r="N525" s="2186"/>
      <c r="O525" s="2194"/>
      <c r="P525" s="2194"/>
    </row>
    <row r="526" spans="1:16" ht="13.5" thickBot="1">
      <c r="A526" s="1901"/>
      <c r="B526" s="2180"/>
      <c r="C526" s="2180"/>
      <c r="D526" s="2180"/>
      <c r="E526" s="2180"/>
      <c r="F526" s="2180"/>
      <c r="G526" s="2180"/>
      <c r="H526" s="2180"/>
      <c r="I526" s="2180"/>
      <c r="J526" s="2180"/>
      <c r="K526" s="2180"/>
      <c r="L526" s="2180"/>
      <c r="M526" s="2180"/>
      <c r="N526" s="2186"/>
      <c r="O526" s="2194"/>
      <c r="P526" s="2194"/>
    </row>
    <row r="527" spans="1:16" ht="13.5" thickBot="1">
      <c r="A527" s="1901"/>
      <c r="B527" s="2180"/>
      <c r="C527" s="2180"/>
      <c r="D527" s="2180"/>
      <c r="E527" s="2180"/>
      <c r="F527" s="2180"/>
      <c r="G527" s="2180"/>
      <c r="H527" s="2180"/>
      <c r="I527" s="2180"/>
      <c r="J527" s="2180"/>
      <c r="K527" s="2180"/>
      <c r="L527" s="2180"/>
      <c r="M527" s="2180"/>
      <c r="N527" s="2186"/>
      <c r="O527" s="2194"/>
      <c r="P527" s="2194"/>
    </row>
    <row r="528" spans="1:16" ht="13.5" thickBot="1">
      <c r="A528" s="1901"/>
      <c r="B528" s="2180"/>
      <c r="C528" s="2180"/>
      <c r="D528" s="2180"/>
      <c r="E528" s="2180"/>
      <c r="F528" s="2180"/>
      <c r="G528" s="2180"/>
      <c r="H528" s="2180"/>
      <c r="I528" s="2180"/>
      <c r="J528" s="2180"/>
      <c r="K528" s="2180"/>
      <c r="L528" s="2180"/>
      <c r="M528" s="2180"/>
      <c r="N528" s="2186"/>
      <c r="O528" s="2194"/>
      <c r="P528" s="2194"/>
    </row>
    <row r="529" spans="1:16">
      <c r="A529" s="1902"/>
      <c r="B529" s="2180"/>
      <c r="C529" s="2180"/>
      <c r="D529" s="2180"/>
      <c r="E529" s="2180"/>
      <c r="F529" s="2180"/>
      <c r="G529" s="2180"/>
      <c r="H529" s="2180"/>
      <c r="I529" s="2180"/>
      <c r="J529" s="2180"/>
      <c r="K529" s="2180"/>
      <c r="L529" s="2180"/>
      <c r="M529" s="2180"/>
      <c r="N529" s="2188"/>
      <c r="O529" s="2194"/>
      <c r="P529" s="2194"/>
    </row>
  </sheetData>
  <mergeCells count="47">
    <mergeCell ref="N34:N40"/>
    <mergeCell ref="N41:N45"/>
    <mergeCell ref="A2:N2"/>
    <mergeCell ref="M16:M20"/>
    <mergeCell ref="A21:A33"/>
    <mergeCell ref="C23:C28"/>
    <mergeCell ref="C30:C33"/>
    <mergeCell ref="N21:N28"/>
    <mergeCell ref="N29:N33"/>
    <mergeCell ref="A34:A45"/>
    <mergeCell ref="C36:C40"/>
    <mergeCell ref="G3:K3"/>
    <mergeCell ref="N3:N4"/>
    <mergeCell ref="A3:A4"/>
    <mergeCell ref="B3:B4"/>
    <mergeCell ref="C3:C4"/>
    <mergeCell ref="A101:N101"/>
    <mergeCell ref="A98:N98"/>
    <mergeCell ref="A100:H100"/>
    <mergeCell ref="A99:K99"/>
    <mergeCell ref="C86:C88"/>
    <mergeCell ref="A84:A88"/>
    <mergeCell ref="A89:A93"/>
    <mergeCell ref="A94:A97"/>
    <mergeCell ref="N94:N97"/>
    <mergeCell ref="C96:C97"/>
    <mergeCell ref="N89:N93"/>
    <mergeCell ref="C91:C93"/>
    <mergeCell ref="N84:N88"/>
    <mergeCell ref="N79:N83"/>
    <mergeCell ref="C81:C83"/>
    <mergeCell ref="M60:M65"/>
    <mergeCell ref="P66:R76"/>
    <mergeCell ref="C68:C73"/>
    <mergeCell ref="C76:C78"/>
    <mergeCell ref="M75:M78"/>
    <mergeCell ref="N66:N78"/>
    <mergeCell ref="D3:D4"/>
    <mergeCell ref="L3:L4"/>
    <mergeCell ref="M29:M33"/>
    <mergeCell ref="M41:M45"/>
    <mergeCell ref="A79:A83"/>
    <mergeCell ref="M3:M4"/>
    <mergeCell ref="A46:E46"/>
    <mergeCell ref="C42:C45"/>
    <mergeCell ref="A66:A78"/>
    <mergeCell ref="F3:F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9" firstPageNumber="58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D536"/>
  <sheetViews>
    <sheetView showGridLines="0" view="pageBreakPreview" topLeftCell="E1" zoomScale="110" zoomScaleSheetLayoutView="110" workbookViewId="0">
      <pane ySplit="7" topLeftCell="A95" activePane="bottomLeft" state="frozen"/>
      <selection activeCell="L22" sqref="L22:L23"/>
      <selection pane="bottomLeft" activeCell="H144" sqref="G144:H150"/>
    </sheetView>
  </sheetViews>
  <sheetFormatPr defaultColWidth="9.140625" defaultRowHeight="11.25"/>
  <cols>
    <col min="1" max="1" width="2.85546875" style="1264" customWidth="1"/>
    <col min="2" max="2" width="57.140625" style="1265" customWidth="1"/>
    <col min="3" max="3" width="10" style="1265" customWidth="1"/>
    <col min="4" max="4" width="13.85546875" style="1265" customWidth="1"/>
    <col min="5" max="5" width="13.42578125" style="1265" customWidth="1"/>
    <col min="6" max="6" width="13.140625" style="1265" customWidth="1"/>
    <col min="7" max="7" width="9.28515625" style="1265" customWidth="1"/>
    <col min="8" max="9" width="9.5703125" style="1265" customWidth="1"/>
    <col min="10" max="10" width="10.28515625" style="1265" customWidth="1"/>
    <col min="11" max="11" width="9.5703125" style="1265" customWidth="1"/>
    <col min="12" max="12" width="7.5703125" style="1265" hidden="1" customWidth="1"/>
    <col min="13" max="13" width="12" style="1265" customWidth="1"/>
    <col min="14" max="14" width="15.7109375" style="1369" customWidth="1"/>
    <col min="15" max="24" width="0" style="1265" hidden="1" customWidth="1"/>
    <col min="25" max="16384" width="9.140625" style="1265"/>
  </cols>
  <sheetData>
    <row r="1" spans="1:15" ht="18" customHeight="1">
      <c r="H1" s="1266"/>
      <c r="I1" s="1266"/>
      <c r="J1" s="1266"/>
      <c r="K1" s="1266" t="s">
        <v>118</v>
      </c>
      <c r="M1" s="1267"/>
      <c r="N1" s="1268"/>
    </row>
    <row r="2" spans="1:15" ht="7.5" customHeight="1">
      <c r="H2" s="1267"/>
      <c r="I2" s="1267"/>
      <c r="J2" s="1267"/>
      <c r="K2" s="1267"/>
      <c r="L2" s="1267"/>
      <c r="M2" s="1267"/>
      <c r="N2" s="1268"/>
    </row>
    <row r="3" spans="1:15" ht="17.25" customHeight="1">
      <c r="F3" s="1269"/>
      <c r="G3" s="1269"/>
      <c r="H3" s="1267"/>
      <c r="I3" s="1267"/>
      <c r="J3" s="1267"/>
      <c r="K3" s="1267"/>
      <c r="L3" s="1267"/>
      <c r="M3" s="1267"/>
      <c r="N3" s="1268"/>
    </row>
    <row r="4" spans="1:15" ht="9" customHeight="1">
      <c r="F4" s="1269"/>
      <c r="G4" s="1269"/>
      <c r="H4" s="1267"/>
      <c r="I4" s="1267"/>
      <c r="J4" s="1267"/>
      <c r="K4" s="1267"/>
      <c r="L4" s="1267"/>
      <c r="M4" s="1267"/>
      <c r="N4" s="1268"/>
    </row>
    <row r="5" spans="1:15" ht="38.25" customHeight="1" thickBot="1">
      <c r="A5" s="4202" t="s">
        <v>119</v>
      </c>
      <c r="B5" s="4202"/>
      <c r="C5" s="4202"/>
      <c r="D5" s="4202"/>
      <c r="E5" s="4202"/>
      <c r="F5" s="4202"/>
      <c r="G5" s="4202"/>
      <c r="H5" s="4202"/>
      <c r="I5" s="4202"/>
      <c r="J5" s="4202"/>
      <c r="K5" s="4202"/>
      <c r="L5" s="4202"/>
      <c r="M5" s="4202"/>
      <c r="N5" s="4202"/>
    </row>
    <row r="6" spans="1:15" s="2650" customFormat="1" ht="55.5" customHeight="1">
      <c r="A6" s="4220" t="s">
        <v>266</v>
      </c>
      <c r="B6" s="4210" t="s">
        <v>66</v>
      </c>
      <c r="C6" s="4212" t="s">
        <v>62</v>
      </c>
      <c r="D6" s="4214" t="s">
        <v>120</v>
      </c>
      <c r="E6" s="2407" t="s">
        <v>240</v>
      </c>
      <c r="F6" s="3818" t="s">
        <v>572</v>
      </c>
      <c r="G6" s="3786" t="s">
        <v>540</v>
      </c>
      <c r="H6" s="3787"/>
      <c r="I6" s="3787"/>
      <c r="J6" s="3787"/>
      <c r="K6" s="3788"/>
      <c r="L6" s="3938">
        <v>2024</v>
      </c>
      <c r="M6" s="4218" t="s">
        <v>552</v>
      </c>
      <c r="N6" s="4216" t="s">
        <v>64</v>
      </c>
      <c r="O6" s="3042"/>
    </row>
    <row r="7" spans="1:15" s="2650" customFormat="1" ht="15.75" customHeight="1" thickBot="1">
      <c r="A7" s="4221"/>
      <c r="B7" s="4211"/>
      <c r="C7" s="4213"/>
      <c r="D7" s="4215"/>
      <c r="E7" s="1107" t="s">
        <v>538</v>
      </c>
      <c r="F7" s="3940"/>
      <c r="G7" s="2379" t="s">
        <v>193</v>
      </c>
      <c r="H7" s="2379" t="s">
        <v>194</v>
      </c>
      <c r="I7" s="2379" t="s">
        <v>234</v>
      </c>
      <c r="J7" s="2379" t="s">
        <v>235</v>
      </c>
      <c r="K7" s="2379" t="s">
        <v>233</v>
      </c>
      <c r="L7" s="3939"/>
      <c r="M7" s="4219"/>
      <c r="N7" s="4217"/>
      <c r="O7" s="3042"/>
    </row>
    <row r="8" spans="1:15" s="2650" customFormat="1" ht="12.75" customHeight="1">
      <c r="A8" s="2714">
        <v>1</v>
      </c>
      <c r="B8" s="2533">
        <v>2</v>
      </c>
      <c r="C8" s="2391" t="s">
        <v>108</v>
      </c>
      <c r="D8" s="2391" t="s">
        <v>109</v>
      </c>
      <c r="E8" s="2391">
        <v>5</v>
      </c>
      <c r="F8" s="2391">
        <v>6</v>
      </c>
      <c r="G8" s="2391">
        <v>7</v>
      </c>
      <c r="H8" s="2391">
        <v>8</v>
      </c>
      <c r="I8" s="2391">
        <v>9</v>
      </c>
      <c r="J8" s="2391">
        <v>10</v>
      </c>
      <c r="K8" s="2391">
        <v>11</v>
      </c>
      <c r="L8" s="2391"/>
      <c r="M8" s="1386">
        <v>12</v>
      </c>
      <c r="N8" s="1385">
        <v>13</v>
      </c>
      <c r="O8" s="3042"/>
    </row>
    <row r="9" spans="1:15" s="2650" customFormat="1" ht="17.25" customHeight="1">
      <c r="A9" s="1270"/>
      <c r="B9" s="1271" t="s">
        <v>67</v>
      </c>
      <c r="C9" s="1272"/>
      <c r="D9" s="189">
        <f>+D10+D11</f>
        <v>1389786</v>
      </c>
      <c r="E9" s="189">
        <f t="shared" ref="E9" si="0">+E10+E11</f>
        <v>759507</v>
      </c>
      <c r="F9" s="189">
        <f t="shared" ref="F9" si="1">+F10+F11</f>
        <v>206012</v>
      </c>
      <c r="G9" s="189">
        <f t="shared" ref="G9:K9" si="2">+G10+G11</f>
        <v>225187</v>
      </c>
      <c r="H9" s="189">
        <f t="shared" si="2"/>
        <v>199080</v>
      </c>
      <c r="I9" s="189">
        <f t="shared" si="2"/>
        <v>0</v>
      </c>
      <c r="J9" s="189">
        <f t="shared" si="2"/>
        <v>0</v>
      </c>
      <c r="K9" s="189">
        <f t="shared" si="2"/>
        <v>0</v>
      </c>
      <c r="L9" s="189">
        <f>+L10+L11</f>
        <v>0</v>
      </c>
      <c r="M9" s="123">
        <f>+M10+M11</f>
        <v>424267</v>
      </c>
      <c r="N9" s="1273"/>
      <c r="O9" s="3042"/>
    </row>
    <row r="10" spans="1:15" s="2650" customFormat="1" ht="13.5" customHeight="1" thickBot="1">
      <c r="A10" s="1270"/>
      <c r="B10" s="1274" t="s">
        <v>68</v>
      </c>
      <c r="C10" s="1275"/>
      <c r="D10" s="183">
        <f t="shared" ref="D10:K10" si="3">+D26+D37+D48+D55+D62+D69+D76</f>
        <v>1389786</v>
      </c>
      <c r="E10" s="183">
        <f>+E26+E37+E48+E55+E62+E69+E76</f>
        <v>759507</v>
      </c>
      <c r="F10" s="183">
        <f t="shared" si="3"/>
        <v>206012</v>
      </c>
      <c r="G10" s="183">
        <f t="shared" si="3"/>
        <v>225187</v>
      </c>
      <c r="H10" s="183">
        <f t="shared" si="3"/>
        <v>199080</v>
      </c>
      <c r="I10" s="183">
        <f t="shared" si="3"/>
        <v>0</v>
      </c>
      <c r="J10" s="183">
        <f t="shared" si="3"/>
        <v>0</v>
      </c>
      <c r="K10" s="183">
        <f t="shared" si="3"/>
        <v>0</v>
      </c>
      <c r="L10" s="183">
        <f>+L26+L37+L48+L55+L62+L69+L76</f>
        <v>0</v>
      </c>
      <c r="M10" s="14">
        <f>SUM(G10:K10)</f>
        <v>424267</v>
      </c>
      <c r="N10" s="1273"/>
      <c r="O10" s="3042"/>
    </row>
    <row r="11" spans="1:15" s="2650" customFormat="1" ht="13.5" hidden="1" customHeight="1" thickBot="1">
      <c r="A11" s="1270"/>
      <c r="B11" s="1276" t="s">
        <v>8</v>
      </c>
      <c r="C11" s="1275"/>
      <c r="D11" s="183">
        <v>0</v>
      </c>
      <c r="E11" s="183">
        <v>0</v>
      </c>
      <c r="F11" s="183">
        <v>0</v>
      </c>
      <c r="G11" s="183">
        <v>0</v>
      </c>
      <c r="H11" s="183">
        <v>0</v>
      </c>
      <c r="I11" s="183">
        <v>0</v>
      </c>
      <c r="J11" s="183">
        <v>0</v>
      </c>
      <c r="K11" s="183">
        <v>0</v>
      </c>
      <c r="L11" s="183">
        <v>0</v>
      </c>
      <c r="M11" s="14">
        <f>SUM(G11:K11)</f>
        <v>0</v>
      </c>
      <c r="N11" s="1273"/>
      <c r="O11" s="3042"/>
    </row>
    <row r="12" spans="1:15" ht="12">
      <c r="A12" s="1277"/>
      <c r="B12" s="1278" t="s">
        <v>9</v>
      </c>
      <c r="C12" s="1279"/>
      <c r="D12" s="129">
        <f>+D13+D16</f>
        <v>1389786</v>
      </c>
      <c r="E12" s="129">
        <f t="shared" ref="E12" si="4">+E13+E16</f>
        <v>759507</v>
      </c>
      <c r="F12" s="129">
        <f t="shared" ref="F12:M12" si="5">+F13+F16</f>
        <v>206012</v>
      </c>
      <c r="G12" s="129">
        <f t="shared" si="5"/>
        <v>225187</v>
      </c>
      <c r="H12" s="129">
        <f t="shared" si="5"/>
        <v>199080</v>
      </c>
      <c r="I12" s="129">
        <f t="shared" si="5"/>
        <v>0</v>
      </c>
      <c r="J12" s="129">
        <f t="shared" si="5"/>
        <v>0</v>
      </c>
      <c r="K12" s="129">
        <f t="shared" si="5"/>
        <v>0</v>
      </c>
      <c r="L12" s="129">
        <f t="shared" ref="L12" si="6">+L13+L16</f>
        <v>0</v>
      </c>
      <c r="M12" s="163">
        <f t="shared" si="5"/>
        <v>424267</v>
      </c>
      <c r="N12" s="1273"/>
    </row>
    <row r="13" spans="1:15" ht="14.25" customHeight="1">
      <c r="A13" s="1270"/>
      <c r="B13" s="1280" t="s">
        <v>10</v>
      </c>
      <c r="C13" s="2715"/>
      <c r="D13" s="1372">
        <f>SUM(D14:D15)</f>
        <v>634710</v>
      </c>
      <c r="E13" s="1372">
        <f>SUM(E14:E15)</f>
        <v>341732</v>
      </c>
      <c r="F13" s="1372">
        <f>SUM(F14:F15)</f>
        <v>93898</v>
      </c>
      <c r="G13" s="1372">
        <f t="shared" ref="G13:K13" si="7">SUM(G14:G15)</f>
        <v>99540</v>
      </c>
      <c r="H13" s="1372">
        <f t="shared" si="7"/>
        <v>99540</v>
      </c>
      <c r="I13" s="1372">
        <f t="shared" si="7"/>
        <v>0</v>
      </c>
      <c r="J13" s="1372">
        <f t="shared" si="7"/>
        <v>0</v>
      </c>
      <c r="K13" s="1372">
        <f t="shared" si="7"/>
        <v>0</v>
      </c>
      <c r="L13" s="1372">
        <f>SUM(L14:L15)</f>
        <v>0</v>
      </c>
      <c r="M13" s="1149">
        <f>SUM(M14:M15)</f>
        <v>199080</v>
      </c>
      <c r="N13" s="1281"/>
    </row>
    <row r="14" spans="1:15" ht="12">
      <c r="A14" s="1282"/>
      <c r="B14" s="1283" t="s">
        <v>11</v>
      </c>
      <c r="C14" s="1284"/>
      <c r="D14" s="1373">
        <f>+D28+D39</f>
        <v>634710</v>
      </c>
      <c r="E14" s="1373">
        <f t="shared" ref="E14" si="8">+E28+E39</f>
        <v>341732</v>
      </c>
      <c r="F14" s="1373">
        <f>+F28+F39</f>
        <v>93898</v>
      </c>
      <c r="G14" s="1373">
        <f t="shared" ref="G14:K14" si="9">+G28+G39</f>
        <v>99540</v>
      </c>
      <c r="H14" s="1373">
        <f t="shared" si="9"/>
        <v>99540</v>
      </c>
      <c r="I14" s="1373">
        <f t="shared" si="9"/>
        <v>0</v>
      </c>
      <c r="J14" s="1373">
        <f t="shared" si="9"/>
        <v>0</v>
      </c>
      <c r="K14" s="1373">
        <f t="shared" si="9"/>
        <v>0</v>
      </c>
      <c r="L14" s="1373">
        <f t="shared" ref="L14" si="10">+L28+L39</f>
        <v>0</v>
      </c>
      <c r="M14" s="1247">
        <f>+H14+G14+I14+J14+K14</f>
        <v>199080</v>
      </c>
      <c r="N14" s="1273"/>
    </row>
    <row r="15" spans="1:15" ht="12" hidden="1">
      <c r="A15" s="1282"/>
      <c r="B15" s="273" t="s">
        <v>12</v>
      </c>
      <c r="C15" s="2716"/>
      <c r="D15" s="275">
        <f>+D78</f>
        <v>0</v>
      </c>
      <c r="E15" s="275">
        <f t="shared" ref="E15:K15" si="11">+E78</f>
        <v>0</v>
      </c>
      <c r="F15" s="275">
        <f t="shared" si="11"/>
        <v>0</v>
      </c>
      <c r="G15" s="275">
        <f t="shared" si="11"/>
        <v>0</v>
      </c>
      <c r="H15" s="275">
        <f t="shared" si="11"/>
        <v>0</v>
      </c>
      <c r="I15" s="275">
        <f t="shared" si="11"/>
        <v>0</v>
      </c>
      <c r="J15" s="275">
        <f t="shared" si="11"/>
        <v>0</v>
      </c>
      <c r="K15" s="275">
        <f t="shared" si="11"/>
        <v>0</v>
      </c>
      <c r="L15" s="275">
        <f>+L78</f>
        <v>0</v>
      </c>
      <c r="M15" s="1247">
        <f>+H15+G15+I15+J15+K15</f>
        <v>0</v>
      </c>
      <c r="N15" s="1273"/>
    </row>
    <row r="16" spans="1:15" ht="14.25" customHeight="1">
      <c r="A16" s="1270"/>
      <c r="B16" s="2717" t="s">
        <v>17</v>
      </c>
      <c r="C16" s="2718"/>
      <c r="D16" s="137">
        <f t="shared" ref="D16:K16" si="12">SUM(D17:D18)</f>
        <v>755076</v>
      </c>
      <c r="E16" s="137">
        <f t="shared" si="12"/>
        <v>417775</v>
      </c>
      <c r="F16" s="137">
        <f t="shared" si="12"/>
        <v>112114</v>
      </c>
      <c r="G16" s="137">
        <f t="shared" si="12"/>
        <v>125647</v>
      </c>
      <c r="H16" s="137">
        <f t="shared" si="12"/>
        <v>99540</v>
      </c>
      <c r="I16" s="137">
        <f t="shared" si="12"/>
        <v>0</v>
      </c>
      <c r="J16" s="137">
        <f t="shared" si="12"/>
        <v>0</v>
      </c>
      <c r="K16" s="137">
        <f t="shared" si="12"/>
        <v>0</v>
      </c>
      <c r="L16" s="137">
        <f>SUM(L17:L18)</f>
        <v>0</v>
      </c>
      <c r="M16" s="1149">
        <f>SUM(M17:M18)</f>
        <v>225187</v>
      </c>
      <c r="N16" s="1281"/>
    </row>
    <row r="17" spans="1:15" ht="12" hidden="1">
      <c r="A17" s="1270"/>
      <c r="B17" s="2719" t="s">
        <v>19</v>
      </c>
      <c r="C17" s="2720"/>
      <c r="D17" s="1737">
        <f t="shared" ref="D17:K17" si="13">+D80</f>
        <v>0</v>
      </c>
      <c r="E17" s="1737">
        <f t="shared" si="13"/>
        <v>0</v>
      </c>
      <c r="F17" s="1737">
        <f t="shared" si="13"/>
        <v>0</v>
      </c>
      <c r="G17" s="1737">
        <f t="shared" si="13"/>
        <v>0</v>
      </c>
      <c r="H17" s="1737">
        <f t="shared" si="13"/>
        <v>0</v>
      </c>
      <c r="I17" s="1737">
        <f t="shared" si="13"/>
        <v>0</v>
      </c>
      <c r="J17" s="1737">
        <f t="shared" si="13"/>
        <v>0</v>
      </c>
      <c r="K17" s="1737">
        <f t="shared" si="13"/>
        <v>0</v>
      </c>
      <c r="L17" s="1737">
        <f>+L80</f>
        <v>0</v>
      </c>
      <c r="M17" s="1247">
        <f>+H17+G17+I17+J17+K17</f>
        <v>0</v>
      </c>
      <c r="N17" s="1281"/>
    </row>
    <row r="18" spans="1:15" ht="12" customHeight="1">
      <c r="A18" s="1285"/>
      <c r="B18" s="1286" t="s">
        <v>18</v>
      </c>
      <c r="C18" s="1287"/>
      <c r="D18" s="1373">
        <f>+D30+D41+D50+D57+D64+D71</f>
        <v>755076</v>
      </c>
      <c r="E18" s="1373">
        <f t="shared" ref="E18" si="14">+E30+E41+E50+E57+E64+E71</f>
        <v>417775</v>
      </c>
      <c r="F18" s="1373">
        <f t="shared" ref="F18:K18" si="15">+F30+F41+F50+F57+F64+F71</f>
        <v>112114</v>
      </c>
      <c r="G18" s="1373">
        <f t="shared" si="15"/>
        <v>125647</v>
      </c>
      <c r="H18" s="1373">
        <f t="shared" si="15"/>
        <v>99540</v>
      </c>
      <c r="I18" s="1373">
        <f t="shared" si="15"/>
        <v>0</v>
      </c>
      <c r="J18" s="1373">
        <f t="shared" si="15"/>
        <v>0</v>
      </c>
      <c r="K18" s="1373">
        <f t="shared" si="15"/>
        <v>0</v>
      </c>
      <c r="L18" s="1373">
        <f>+L30+L41+L50+L57+L64+L71</f>
        <v>0</v>
      </c>
      <c r="M18" s="1247">
        <f>+H18+G18+I18+J18+K18</f>
        <v>225187</v>
      </c>
      <c r="N18" s="1288"/>
    </row>
    <row r="19" spans="1:15" s="1290" customFormat="1" ht="12">
      <c r="A19" s="1270"/>
      <c r="B19" s="2721" t="s">
        <v>20</v>
      </c>
      <c r="C19" s="2722"/>
      <c r="D19" s="329">
        <f>+D20+D22</f>
        <v>755076</v>
      </c>
      <c r="E19" s="329">
        <f t="shared" ref="E19:K19" si="16">+E20+E22</f>
        <v>399317</v>
      </c>
      <c r="F19" s="329">
        <f t="shared" si="16"/>
        <v>99677</v>
      </c>
      <c r="G19" s="329">
        <f t="shared" si="16"/>
        <v>121422</v>
      </c>
      <c r="H19" s="329">
        <f t="shared" si="16"/>
        <v>99540</v>
      </c>
      <c r="I19" s="329">
        <f t="shared" si="16"/>
        <v>35120</v>
      </c>
      <c r="J19" s="329">
        <f t="shared" si="16"/>
        <v>0</v>
      </c>
      <c r="K19" s="329">
        <f t="shared" si="16"/>
        <v>0</v>
      </c>
      <c r="L19" s="329">
        <f>+L20+L22</f>
        <v>0</v>
      </c>
      <c r="M19" s="4228" t="s">
        <v>52</v>
      </c>
      <c r="N19" s="1289"/>
    </row>
    <row r="20" spans="1:15" s="1290" customFormat="1" ht="14.25" hidden="1" customHeight="1">
      <c r="A20" s="1270"/>
      <c r="B20" s="130" t="s">
        <v>10</v>
      </c>
      <c r="C20" s="2718"/>
      <c r="D20" s="1372">
        <f>+D21</f>
        <v>0</v>
      </c>
      <c r="E20" s="2723">
        <f t="shared" ref="E20:K20" si="17">+E21</f>
        <v>0</v>
      </c>
      <c r="F20" s="2723">
        <f t="shared" si="17"/>
        <v>0</v>
      </c>
      <c r="G20" s="2723">
        <f t="shared" si="17"/>
        <v>0</v>
      </c>
      <c r="H20" s="2723">
        <f t="shared" si="17"/>
        <v>0</v>
      </c>
      <c r="I20" s="2723">
        <f t="shared" si="17"/>
        <v>0</v>
      </c>
      <c r="J20" s="2723">
        <f t="shared" si="17"/>
        <v>0</v>
      </c>
      <c r="K20" s="2723">
        <f t="shared" si="17"/>
        <v>0</v>
      </c>
      <c r="L20" s="2723">
        <f>+L21</f>
        <v>0</v>
      </c>
      <c r="M20" s="4229"/>
      <c r="N20" s="1289"/>
    </row>
    <row r="21" spans="1:15" s="1290" customFormat="1" ht="12" hidden="1">
      <c r="A21" s="1270"/>
      <c r="B21" s="273" t="s">
        <v>12</v>
      </c>
      <c r="C21" s="2720"/>
      <c r="D21" s="2724">
        <f>+D83</f>
        <v>0</v>
      </c>
      <c r="E21" s="2725">
        <f t="shared" ref="E21:K21" si="18">+E83</f>
        <v>0</v>
      </c>
      <c r="F21" s="2725">
        <f t="shared" si="18"/>
        <v>0</v>
      </c>
      <c r="G21" s="2725">
        <f t="shared" si="18"/>
        <v>0</v>
      </c>
      <c r="H21" s="2725">
        <f t="shared" si="18"/>
        <v>0</v>
      </c>
      <c r="I21" s="2725">
        <f t="shared" si="18"/>
        <v>0</v>
      </c>
      <c r="J21" s="2725">
        <f t="shared" si="18"/>
        <v>0</v>
      </c>
      <c r="K21" s="2725">
        <f t="shared" si="18"/>
        <v>0</v>
      </c>
      <c r="L21" s="2725">
        <f>+L83</f>
        <v>0</v>
      </c>
      <c r="M21" s="4229"/>
      <c r="N21" s="1289"/>
    </row>
    <row r="22" spans="1:15" s="1290" customFormat="1" ht="14.25" customHeight="1">
      <c r="A22" s="1270"/>
      <c r="B22" s="2717" t="s">
        <v>17</v>
      </c>
      <c r="C22" s="2718"/>
      <c r="D22" s="1372">
        <f t="shared" ref="D22:I22" si="19">SUM(D23:D24)</f>
        <v>755076</v>
      </c>
      <c r="E22" s="2723">
        <f t="shared" si="19"/>
        <v>399317</v>
      </c>
      <c r="F22" s="2723">
        <f t="shared" si="19"/>
        <v>99677</v>
      </c>
      <c r="G22" s="2723">
        <f t="shared" si="19"/>
        <v>121422</v>
      </c>
      <c r="H22" s="2723">
        <f t="shared" si="19"/>
        <v>99540</v>
      </c>
      <c r="I22" s="2723">
        <f t="shared" si="19"/>
        <v>35120</v>
      </c>
      <c r="J22" s="1372">
        <f t="shared" ref="J22:K22" si="20">+J24</f>
        <v>0</v>
      </c>
      <c r="K22" s="1372">
        <f t="shared" si="20"/>
        <v>0</v>
      </c>
      <c r="L22" s="2723">
        <f>SUM(L23:L24)</f>
        <v>0</v>
      </c>
      <c r="M22" s="4229"/>
      <c r="N22" s="1281"/>
    </row>
    <row r="23" spans="1:15" s="1290" customFormat="1" ht="12" hidden="1">
      <c r="A23" s="1270"/>
      <c r="B23" s="2719" t="s">
        <v>19</v>
      </c>
      <c r="C23" s="2720"/>
      <c r="D23" s="2724">
        <f t="shared" ref="D23:K23" si="21">+D84</f>
        <v>0</v>
      </c>
      <c r="E23" s="2725">
        <f t="shared" si="21"/>
        <v>0</v>
      </c>
      <c r="F23" s="2725">
        <f t="shared" si="21"/>
        <v>0</v>
      </c>
      <c r="G23" s="2725">
        <f t="shared" si="21"/>
        <v>0</v>
      </c>
      <c r="H23" s="2725">
        <f t="shared" si="21"/>
        <v>0</v>
      </c>
      <c r="I23" s="2725">
        <f t="shared" si="21"/>
        <v>0</v>
      </c>
      <c r="J23" s="2725">
        <f t="shared" si="21"/>
        <v>0</v>
      </c>
      <c r="K23" s="2725">
        <f t="shared" si="21"/>
        <v>0</v>
      </c>
      <c r="L23" s="2725">
        <f>+L84</f>
        <v>0</v>
      </c>
      <c r="M23" s="4229"/>
      <c r="N23" s="1281"/>
    </row>
    <row r="24" spans="1:15" s="1740" customFormat="1" ht="12.75" customHeight="1" thickBot="1">
      <c r="A24" s="1738"/>
      <c r="B24" s="2719" t="s">
        <v>18</v>
      </c>
      <c r="C24" s="2720"/>
      <c r="D24" s="1741">
        <f>+D35+D46+D53+D60+D67+D74</f>
        <v>755076</v>
      </c>
      <c r="E24" s="1742">
        <f t="shared" ref="E24" si="22">+E35+E46+E53+E60+E67+E74</f>
        <v>399317</v>
      </c>
      <c r="F24" s="1741">
        <f t="shared" ref="F24:K24" si="23">+F35+F46+F53+F60+F67+F74</f>
        <v>99677</v>
      </c>
      <c r="G24" s="1741">
        <f t="shared" si="23"/>
        <v>121422</v>
      </c>
      <c r="H24" s="1741">
        <f t="shared" si="23"/>
        <v>99540</v>
      </c>
      <c r="I24" s="1741">
        <f t="shared" si="23"/>
        <v>35120</v>
      </c>
      <c r="J24" s="1741">
        <f t="shared" si="23"/>
        <v>0</v>
      </c>
      <c r="K24" s="1741">
        <f t="shared" si="23"/>
        <v>0</v>
      </c>
      <c r="L24" s="1742">
        <f>+L35+L46+L53+L60+L67+L74</f>
        <v>0</v>
      </c>
      <c r="M24" s="4230"/>
      <c r="N24" s="1739"/>
      <c r="O24" s="1740">
        <f>D24-D18</f>
        <v>0</v>
      </c>
    </row>
    <row r="25" spans="1:15" ht="39" hidden="1" customHeight="1">
      <c r="A25" s="4186" t="s">
        <v>54</v>
      </c>
      <c r="B25" s="1291" t="s">
        <v>216</v>
      </c>
      <c r="C25" s="1292" t="s">
        <v>99</v>
      </c>
      <c r="D25" s="1374"/>
      <c r="E25" s="1375"/>
      <c r="F25" s="1375"/>
      <c r="G25" s="1375"/>
      <c r="H25" s="1375"/>
      <c r="I25" s="1375"/>
      <c r="J25" s="1375"/>
      <c r="K25" s="1375"/>
      <c r="L25" s="1375"/>
      <c r="M25" s="1376"/>
      <c r="N25" s="4231"/>
    </row>
    <row r="26" spans="1:15" ht="15" hidden="1" customHeight="1">
      <c r="A26" s="4187"/>
      <c r="B26" s="2726" t="s">
        <v>9</v>
      </c>
      <c r="C26" s="2727"/>
      <c r="D26" s="1140"/>
      <c r="E26" s="1140">
        <f t="shared" ref="E26" si="24">+E27+E29</f>
        <v>0</v>
      </c>
      <c r="F26" s="1140">
        <f>+F27+F29</f>
        <v>0</v>
      </c>
      <c r="G26" s="1140">
        <f>+G27+G29</f>
        <v>0</v>
      </c>
      <c r="H26" s="1140">
        <f>+H27+H29</f>
        <v>0</v>
      </c>
      <c r="I26" s="1140"/>
      <c r="J26" s="1140"/>
      <c r="K26" s="1140"/>
      <c r="L26" s="1140">
        <f>+L27+L29</f>
        <v>0</v>
      </c>
      <c r="M26" s="1257">
        <f>M27+M29</f>
        <v>0</v>
      </c>
      <c r="N26" s="4232"/>
    </row>
    <row r="27" spans="1:15" ht="12.75" hidden="1" customHeight="1">
      <c r="A27" s="4187"/>
      <c r="B27" s="2728" t="s">
        <v>22</v>
      </c>
      <c r="C27" s="4209" t="s">
        <v>122</v>
      </c>
      <c r="D27" s="1130"/>
      <c r="E27" s="1130">
        <f t="shared" ref="E27:H27" si="25">+E28</f>
        <v>0</v>
      </c>
      <c r="F27" s="1130">
        <f t="shared" si="25"/>
        <v>0</v>
      </c>
      <c r="G27" s="1130">
        <f t="shared" si="25"/>
        <v>0</v>
      </c>
      <c r="H27" s="1130">
        <f t="shared" si="25"/>
        <v>0</v>
      </c>
      <c r="I27" s="1130"/>
      <c r="J27" s="1130"/>
      <c r="K27" s="1130"/>
      <c r="L27" s="1130">
        <f>+L28</f>
        <v>0</v>
      </c>
      <c r="M27" s="1131">
        <f>+M28</f>
        <v>0</v>
      </c>
      <c r="N27" s="4232"/>
    </row>
    <row r="28" spans="1:15" ht="12.75" hidden="1" customHeight="1">
      <c r="A28" s="4187"/>
      <c r="B28" s="1294" t="s">
        <v>11</v>
      </c>
      <c r="C28" s="4178"/>
      <c r="D28" s="1133"/>
      <c r="E28" s="1133">
        <v>0</v>
      </c>
      <c r="F28" s="146">
        <v>0</v>
      </c>
      <c r="G28" s="146">
        <v>0</v>
      </c>
      <c r="H28" s="146">
        <v>0</v>
      </c>
      <c r="I28" s="146"/>
      <c r="J28" s="146"/>
      <c r="K28" s="146"/>
      <c r="L28" s="146">
        <v>0</v>
      </c>
      <c r="M28" s="1377">
        <f>SUM(G28:K28)</f>
        <v>0</v>
      </c>
      <c r="N28" s="4232"/>
    </row>
    <row r="29" spans="1:15" ht="12.75" hidden="1" customHeight="1">
      <c r="A29" s="4187"/>
      <c r="B29" s="2729" t="s">
        <v>17</v>
      </c>
      <c r="C29" s="4178"/>
      <c r="D29" s="1135"/>
      <c r="E29" s="1135">
        <f t="shared" ref="E29:H29" si="26">E30</f>
        <v>0</v>
      </c>
      <c r="F29" s="1135">
        <f t="shared" si="26"/>
        <v>0</v>
      </c>
      <c r="G29" s="1135">
        <f t="shared" si="26"/>
        <v>0</v>
      </c>
      <c r="H29" s="1135">
        <f t="shared" si="26"/>
        <v>0</v>
      </c>
      <c r="I29" s="1135"/>
      <c r="J29" s="1135"/>
      <c r="K29" s="1135"/>
      <c r="L29" s="1135">
        <f>L30</f>
        <v>0</v>
      </c>
      <c r="M29" s="1131">
        <f>+M30</f>
        <v>0</v>
      </c>
      <c r="N29" s="4232"/>
    </row>
    <row r="30" spans="1:15" ht="12.75" hidden="1" thickBot="1">
      <c r="A30" s="4187"/>
      <c r="B30" s="1296" t="s">
        <v>18</v>
      </c>
      <c r="C30" s="4179"/>
      <c r="D30" s="2730"/>
      <c r="E30" s="1378">
        <v>0</v>
      </c>
      <c r="F30" s="110">
        <v>0</v>
      </c>
      <c r="G30" s="110">
        <v>0</v>
      </c>
      <c r="H30" s="110">
        <v>0</v>
      </c>
      <c r="I30" s="110"/>
      <c r="J30" s="110"/>
      <c r="K30" s="110"/>
      <c r="L30" s="110">
        <v>0</v>
      </c>
      <c r="M30" s="1377">
        <f>SUM(G30:K30)</f>
        <v>0</v>
      </c>
      <c r="N30" s="4232"/>
    </row>
    <row r="31" spans="1:15" ht="12.75" hidden="1" customHeight="1">
      <c r="A31" s="4208"/>
      <c r="B31" s="2726" t="s">
        <v>20</v>
      </c>
      <c r="C31" s="2731"/>
      <c r="D31" s="1140"/>
      <c r="E31" s="1140">
        <f t="shared" ref="E31" si="27">E32+E34</f>
        <v>0</v>
      </c>
      <c r="F31" s="1174">
        <f>F32+F34</f>
        <v>0</v>
      </c>
      <c r="G31" s="1174">
        <f>G32+G34</f>
        <v>0</v>
      </c>
      <c r="H31" s="1174">
        <f>H32+H34</f>
        <v>0</v>
      </c>
      <c r="I31" s="1379"/>
      <c r="J31" s="1379"/>
      <c r="K31" s="1379"/>
      <c r="L31" s="1140">
        <f>L32+L34</f>
        <v>0</v>
      </c>
      <c r="M31" s="4203" t="s">
        <v>52</v>
      </c>
      <c r="N31" s="4232"/>
    </row>
    <row r="32" spans="1:15" ht="12" hidden="1" customHeight="1">
      <c r="A32" s="4208"/>
      <c r="B32" s="1297" t="s">
        <v>22</v>
      </c>
      <c r="C32" s="4209" t="s">
        <v>122</v>
      </c>
      <c r="D32" s="1130"/>
      <c r="E32" s="1130"/>
      <c r="F32" s="1175">
        <f t="shared" ref="F32:H32" si="28">F33</f>
        <v>0</v>
      </c>
      <c r="G32" s="1175">
        <f t="shared" si="28"/>
        <v>0</v>
      </c>
      <c r="H32" s="1175">
        <f t="shared" si="28"/>
        <v>0</v>
      </c>
      <c r="I32" s="1380"/>
      <c r="J32" s="1380"/>
      <c r="K32" s="1380"/>
      <c r="L32" s="1130">
        <f>L33</f>
        <v>0</v>
      </c>
      <c r="M32" s="4204"/>
      <c r="N32" s="4232"/>
    </row>
    <row r="33" spans="1:14" ht="12" hidden="1" customHeight="1">
      <c r="A33" s="4208"/>
      <c r="B33" s="1298" t="s">
        <v>12</v>
      </c>
      <c r="C33" s="4178"/>
      <c r="D33" s="1133"/>
      <c r="E33" s="1142"/>
      <c r="F33" s="1142">
        <v>0</v>
      </c>
      <c r="G33" s="1142">
        <v>0</v>
      </c>
      <c r="H33" s="1142">
        <v>0</v>
      </c>
      <c r="I33" s="195"/>
      <c r="J33" s="195"/>
      <c r="K33" s="195"/>
      <c r="L33" s="1142">
        <v>0</v>
      </c>
      <c r="M33" s="4204"/>
      <c r="N33" s="4232"/>
    </row>
    <row r="34" spans="1:14" ht="13.5" hidden="1" customHeight="1">
      <c r="A34" s="4208"/>
      <c r="B34" s="1300" t="s">
        <v>17</v>
      </c>
      <c r="C34" s="4178"/>
      <c r="D34" s="1135"/>
      <c r="E34" s="1135">
        <f t="shared" ref="E34:H34" si="29">E35</f>
        <v>0</v>
      </c>
      <c r="F34" s="1159">
        <f t="shared" si="29"/>
        <v>0</v>
      </c>
      <c r="G34" s="1159">
        <f t="shared" si="29"/>
        <v>0</v>
      </c>
      <c r="H34" s="1159">
        <f t="shared" si="29"/>
        <v>0</v>
      </c>
      <c r="I34" s="485"/>
      <c r="J34" s="485"/>
      <c r="K34" s="485"/>
      <c r="L34" s="1135">
        <f>L35</f>
        <v>0</v>
      </c>
      <c r="M34" s="4204"/>
      <c r="N34" s="4232"/>
    </row>
    <row r="35" spans="1:14" ht="13.5" hidden="1" customHeight="1" thickBot="1">
      <c r="A35" s="4188"/>
      <c r="B35" s="1301" t="s">
        <v>18</v>
      </c>
      <c r="C35" s="4189"/>
      <c r="D35" s="1381"/>
      <c r="E35" s="1382">
        <v>0</v>
      </c>
      <c r="F35" s="1382">
        <v>0</v>
      </c>
      <c r="G35" s="1382">
        <v>0</v>
      </c>
      <c r="H35" s="1382">
        <v>0</v>
      </c>
      <c r="I35" s="91"/>
      <c r="J35" s="91"/>
      <c r="K35" s="91"/>
      <c r="L35" s="1382">
        <v>0</v>
      </c>
      <c r="M35" s="4205"/>
      <c r="N35" s="4233"/>
    </row>
    <row r="36" spans="1:14" ht="24.75" customHeight="1">
      <c r="A36" s="4186" t="s">
        <v>54</v>
      </c>
      <c r="B36" s="1291" t="s">
        <v>587</v>
      </c>
      <c r="C36" s="1292" t="s">
        <v>99</v>
      </c>
      <c r="D36" s="159"/>
      <c r="E36" s="323"/>
      <c r="F36" s="323"/>
      <c r="G36" s="323"/>
      <c r="H36" s="323"/>
      <c r="I36" s="323"/>
      <c r="J36" s="323"/>
      <c r="K36" s="1831"/>
      <c r="L36" s="323"/>
      <c r="M36" s="1376"/>
      <c r="N36" s="4231" t="s">
        <v>121</v>
      </c>
    </row>
    <row r="37" spans="1:14" ht="13.5" customHeight="1">
      <c r="A37" s="4187"/>
      <c r="B37" s="2726" t="s">
        <v>9</v>
      </c>
      <c r="C37" s="2727"/>
      <c r="D37" s="1140">
        <f>+D38+D40</f>
        <v>1330015</v>
      </c>
      <c r="E37" s="1140">
        <f t="shared" ref="E37" si="30">+E38+E40</f>
        <v>738413</v>
      </c>
      <c r="F37" s="1140">
        <f t="shared" ref="F37:I37" si="31">+F38+F40</f>
        <v>193438</v>
      </c>
      <c r="G37" s="3209">
        <f t="shared" si="31"/>
        <v>199084</v>
      </c>
      <c r="H37" s="3209">
        <f t="shared" si="31"/>
        <v>199080</v>
      </c>
      <c r="I37" s="3209">
        <f t="shared" si="31"/>
        <v>0</v>
      </c>
      <c r="J37" s="3209"/>
      <c r="K37" s="3209"/>
      <c r="L37" s="1140"/>
      <c r="M37" s="1257">
        <f>M38+M40</f>
        <v>398164</v>
      </c>
      <c r="N37" s="4232"/>
    </row>
    <row r="38" spans="1:14" ht="11.25" customHeight="1">
      <c r="A38" s="4187"/>
      <c r="B38" s="2728" t="s">
        <v>22</v>
      </c>
      <c r="C38" s="4209" t="s">
        <v>122</v>
      </c>
      <c r="D38" s="1130">
        <f>+D39</f>
        <v>634710</v>
      </c>
      <c r="E38" s="1130">
        <f t="shared" ref="E38:I38" si="32">+E39</f>
        <v>341732</v>
      </c>
      <c r="F38" s="1130">
        <f t="shared" si="32"/>
        <v>93898</v>
      </c>
      <c r="G38" s="3210">
        <f t="shared" si="32"/>
        <v>99540</v>
      </c>
      <c r="H38" s="3210">
        <f t="shared" si="32"/>
        <v>99540</v>
      </c>
      <c r="I38" s="3210">
        <f t="shared" si="32"/>
        <v>0</v>
      </c>
      <c r="J38" s="3210"/>
      <c r="K38" s="3210"/>
      <c r="L38" s="1130"/>
      <c r="M38" s="1131">
        <f>+M39</f>
        <v>199080</v>
      </c>
      <c r="N38" s="4232"/>
    </row>
    <row r="39" spans="1:14" ht="13.5" customHeight="1">
      <c r="A39" s="4187"/>
      <c r="B39" s="1294" t="s">
        <v>11</v>
      </c>
      <c r="C39" s="4178"/>
      <c r="D39" s="1115">
        <f>E39+L39+F39+G39+H39+I39+J39+K39</f>
        <v>634710</v>
      </c>
      <c r="E39" s="1383">
        <f>274500+67232</f>
        <v>341732</v>
      </c>
      <c r="F39" s="146">
        <f>99540-5642</f>
        <v>93898</v>
      </c>
      <c r="G39" s="3211">
        <v>99540</v>
      </c>
      <c r="H39" s="3211">
        <v>99540</v>
      </c>
      <c r="I39" s="3211">
        <v>0</v>
      </c>
      <c r="J39" s="3211"/>
      <c r="K39" s="3211"/>
      <c r="L39" s="146"/>
      <c r="M39" s="1377">
        <f>SUM(G39:K39)</f>
        <v>199080</v>
      </c>
      <c r="N39" s="4232"/>
    </row>
    <row r="40" spans="1:14" ht="13.5" customHeight="1">
      <c r="A40" s="4187"/>
      <c r="B40" s="2729" t="s">
        <v>17</v>
      </c>
      <c r="C40" s="4178"/>
      <c r="D40" s="1135">
        <f>+D41</f>
        <v>695305</v>
      </c>
      <c r="E40" s="1135">
        <f t="shared" ref="E40:I40" si="33">E41</f>
        <v>396681</v>
      </c>
      <c r="F40" s="1135">
        <f t="shared" si="33"/>
        <v>99540</v>
      </c>
      <c r="G40" s="3212">
        <f t="shared" si="33"/>
        <v>99544</v>
      </c>
      <c r="H40" s="3212">
        <f t="shared" si="33"/>
        <v>99540</v>
      </c>
      <c r="I40" s="3212">
        <f t="shared" si="33"/>
        <v>0</v>
      </c>
      <c r="J40" s="3212"/>
      <c r="K40" s="3212"/>
      <c r="L40" s="1135"/>
      <c r="M40" s="1131">
        <f>+M41</f>
        <v>199084</v>
      </c>
      <c r="N40" s="4232"/>
    </row>
    <row r="41" spans="1:14" ht="12">
      <c r="A41" s="4187"/>
      <c r="B41" s="1296" t="s">
        <v>18</v>
      </c>
      <c r="C41" s="4179"/>
      <c r="D41" s="1115">
        <f>E41+L41+F41+G41+H41+I41+J41+K41</f>
        <v>695305</v>
      </c>
      <c r="E41" s="1383">
        <f>319387+77294</f>
        <v>396681</v>
      </c>
      <c r="F41" s="110">
        <v>99540</v>
      </c>
      <c r="G41" s="3213">
        <f>99540+4</f>
        <v>99544</v>
      </c>
      <c r="H41" s="3213">
        <v>99540</v>
      </c>
      <c r="I41" s="3213">
        <v>0</v>
      </c>
      <c r="J41" s="3213"/>
      <c r="K41" s="3213"/>
      <c r="L41" s="110"/>
      <c r="M41" s="1377">
        <f>SUM(G41:K41)</f>
        <v>199084</v>
      </c>
      <c r="N41" s="4232"/>
    </row>
    <row r="42" spans="1:14" ht="13.5" customHeight="1">
      <c r="A42" s="4208"/>
      <c r="B42" s="2726" t="s">
        <v>20</v>
      </c>
      <c r="C42" s="2731"/>
      <c r="D42" s="1140">
        <f>+D45</f>
        <v>695305</v>
      </c>
      <c r="E42" s="1140">
        <f t="shared" ref="E42" si="34">E43+E45</f>
        <v>370466</v>
      </c>
      <c r="F42" s="1140">
        <f t="shared" ref="F42:I42" si="35">F43+F45</f>
        <v>90639</v>
      </c>
      <c r="G42" s="3209">
        <f t="shared" si="35"/>
        <v>99540</v>
      </c>
      <c r="H42" s="3209">
        <f t="shared" si="35"/>
        <v>99540</v>
      </c>
      <c r="I42" s="3209">
        <f t="shared" si="35"/>
        <v>35120</v>
      </c>
      <c r="J42" s="3209"/>
      <c r="K42" s="3209"/>
      <c r="L42" s="1140"/>
      <c r="M42" s="4203" t="s">
        <v>52</v>
      </c>
      <c r="N42" s="4232"/>
    </row>
    <row r="43" spans="1:14" ht="12" hidden="1" customHeight="1">
      <c r="A43" s="4208"/>
      <c r="B43" s="1297" t="s">
        <v>22</v>
      </c>
      <c r="C43" s="4209" t="s">
        <v>122</v>
      </c>
      <c r="D43" s="1130">
        <f t="shared" ref="D43:F43" si="36">D44</f>
        <v>0</v>
      </c>
      <c r="E43" s="1130">
        <f t="shared" si="36"/>
        <v>0</v>
      </c>
      <c r="F43" s="1130">
        <f t="shared" si="36"/>
        <v>0</v>
      </c>
      <c r="G43" s="3210"/>
      <c r="H43" s="3210"/>
      <c r="I43" s="3210"/>
      <c r="J43" s="3210"/>
      <c r="K43" s="3210"/>
      <c r="L43" s="1130"/>
      <c r="M43" s="4204"/>
      <c r="N43" s="4232"/>
    </row>
    <row r="44" spans="1:14" ht="12" hidden="1" customHeight="1">
      <c r="A44" s="4208"/>
      <c r="B44" s="1298" t="s">
        <v>12</v>
      </c>
      <c r="C44" s="4178"/>
      <c r="D44" s="1115">
        <f>E44+L44+F44+G44+H44+I44+J44+K44</f>
        <v>0</v>
      </c>
      <c r="E44" s="1142"/>
      <c r="F44" s="146">
        <v>0</v>
      </c>
      <c r="G44" s="3211"/>
      <c r="H44" s="3211"/>
      <c r="I44" s="3211"/>
      <c r="J44" s="3211"/>
      <c r="K44" s="3211"/>
      <c r="L44" s="1142"/>
      <c r="M44" s="4204"/>
      <c r="N44" s="4232"/>
    </row>
    <row r="45" spans="1:14" ht="13.5" customHeight="1">
      <c r="A45" s="4208"/>
      <c r="B45" s="1300" t="s">
        <v>17</v>
      </c>
      <c r="C45" s="4178"/>
      <c r="D45" s="1135">
        <f>+D46</f>
        <v>695305</v>
      </c>
      <c r="E45" s="1135">
        <f t="shared" ref="E45:I45" si="37">E46</f>
        <v>370466</v>
      </c>
      <c r="F45" s="1135">
        <f t="shared" si="37"/>
        <v>90639</v>
      </c>
      <c r="G45" s="3212">
        <f t="shared" si="37"/>
        <v>99540</v>
      </c>
      <c r="H45" s="3212">
        <f t="shared" si="37"/>
        <v>99540</v>
      </c>
      <c r="I45" s="3212">
        <f t="shared" si="37"/>
        <v>35120</v>
      </c>
      <c r="J45" s="3212"/>
      <c r="K45" s="3212"/>
      <c r="L45" s="1135"/>
      <c r="M45" s="4204"/>
      <c r="N45" s="4232"/>
    </row>
    <row r="46" spans="1:14" ht="12.75" customHeight="1" thickBot="1">
      <c r="A46" s="4188"/>
      <c r="B46" s="1301" t="s">
        <v>18</v>
      </c>
      <c r="C46" s="4189"/>
      <c r="D46" s="1115">
        <f>E46+L46+F46+G46+H46+I46+J46+K46</f>
        <v>695305</v>
      </c>
      <c r="E46" s="1383">
        <f>291312+79154</f>
        <v>370466</v>
      </c>
      <c r="F46" s="1382">
        <f>24105-909+1881+69678+1142-5258</f>
        <v>90639</v>
      </c>
      <c r="G46" s="3214">
        <v>99540</v>
      </c>
      <c r="H46" s="3214">
        <v>99540</v>
      </c>
      <c r="I46" s="3214">
        <f>29862+5258</f>
        <v>35120</v>
      </c>
      <c r="J46" s="3214"/>
      <c r="K46" s="3214"/>
      <c r="L46" s="1382"/>
      <c r="M46" s="4205"/>
      <c r="N46" s="4233"/>
    </row>
    <row r="47" spans="1:14" ht="36" hidden="1" customHeight="1">
      <c r="A47" s="4186" t="s">
        <v>55</v>
      </c>
      <c r="B47" s="1291" t="s">
        <v>272</v>
      </c>
      <c r="C47" s="1292" t="s">
        <v>99</v>
      </c>
      <c r="D47" s="1374"/>
      <c r="E47" s="1375"/>
      <c r="F47" s="1375"/>
      <c r="G47" s="1375"/>
      <c r="H47" s="1375"/>
      <c r="I47" s="1375"/>
      <c r="J47" s="1375"/>
      <c r="K47" s="1375"/>
      <c r="L47" s="1375"/>
      <c r="M47" s="1376"/>
      <c r="N47" s="4163" t="s">
        <v>123</v>
      </c>
    </row>
    <row r="48" spans="1:14" ht="15" hidden="1" customHeight="1">
      <c r="A48" s="4187"/>
      <c r="B48" s="2726" t="s">
        <v>9</v>
      </c>
      <c r="C48" s="2727"/>
      <c r="D48" s="1140"/>
      <c r="E48" s="1140">
        <v>0</v>
      </c>
      <c r="F48" s="1140">
        <f t="shared" ref="F48:K48" si="38">+F49+F51</f>
        <v>0</v>
      </c>
      <c r="G48" s="1140">
        <f t="shared" si="38"/>
        <v>0</v>
      </c>
      <c r="H48" s="1140">
        <f t="shared" si="38"/>
        <v>0</v>
      </c>
      <c r="I48" s="1140">
        <f t="shared" si="38"/>
        <v>0</v>
      </c>
      <c r="J48" s="1140">
        <f t="shared" si="38"/>
        <v>0</v>
      </c>
      <c r="K48" s="1140">
        <f t="shared" si="38"/>
        <v>0</v>
      </c>
      <c r="L48" s="1140">
        <f>L49</f>
        <v>0</v>
      </c>
      <c r="M48" s="1257">
        <f>M49</f>
        <v>0</v>
      </c>
      <c r="N48" s="4164"/>
    </row>
    <row r="49" spans="1:14" ht="12.75" hidden="1" thickBot="1">
      <c r="A49" s="4187"/>
      <c r="B49" s="1302" t="s">
        <v>17</v>
      </c>
      <c r="C49" s="4177" t="s">
        <v>124</v>
      </c>
      <c r="D49" s="1135"/>
      <c r="E49" s="1135">
        <v>0</v>
      </c>
      <c r="F49" s="1135">
        <f t="shared" ref="F49:I49" si="39">F50</f>
        <v>0</v>
      </c>
      <c r="G49" s="1135">
        <f t="shared" si="39"/>
        <v>0</v>
      </c>
      <c r="H49" s="1135">
        <f t="shared" si="39"/>
        <v>0</v>
      </c>
      <c r="I49" s="1135">
        <f t="shared" si="39"/>
        <v>0</v>
      </c>
      <c r="J49" s="1135">
        <f>J50</f>
        <v>0</v>
      </c>
      <c r="K49" s="1135">
        <f>K50</f>
        <v>0</v>
      </c>
      <c r="L49" s="1135">
        <f>L50</f>
        <v>0</v>
      </c>
      <c r="M49" s="1131">
        <f>+M50</f>
        <v>0</v>
      </c>
      <c r="N49" s="4164"/>
    </row>
    <row r="50" spans="1:14" ht="12.75" hidden="1" thickBot="1">
      <c r="A50" s="4187"/>
      <c r="B50" s="1303" t="s">
        <v>18</v>
      </c>
      <c r="C50" s="4179"/>
      <c r="D50" s="1133"/>
      <c r="E50" s="1133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377">
        <f>SUM(G50:K50)</f>
        <v>0</v>
      </c>
      <c r="N50" s="4164"/>
    </row>
    <row r="51" spans="1:14" ht="15" hidden="1" customHeight="1">
      <c r="A51" s="4187"/>
      <c r="B51" s="1304" t="s">
        <v>20</v>
      </c>
      <c r="C51" s="1305"/>
      <c r="D51" s="1140"/>
      <c r="E51" s="1140">
        <v>0</v>
      </c>
      <c r="F51" s="1140">
        <f t="shared" ref="F51:K51" si="40">F52+F102</f>
        <v>0</v>
      </c>
      <c r="G51" s="1140">
        <f t="shared" si="40"/>
        <v>0</v>
      </c>
      <c r="H51" s="1140">
        <f t="shared" si="40"/>
        <v>0</v>
      </c>
      <c r="I51" s="1140">
        <f t="shared" si="40"/>
        <v>0</v>
      </c>
      <c r="J51" s="1140">
        <f t="shared" si="40"/>
        <v>0</v>
      </c>
      <c r="K51" s="1140">
        <f t="shared" si="40"/>
        <v>0</v>
      </c>
      <c r="L51" s="1140">
        <f>L52</f>
        <v>0</v>
      </c>
      <c r="M51" s="4203" t="s">
        <v>52</v>
      </c>
      <c r="N51" s="4164"/>
    </row>
    <row r="52" spans="1:14" ht="12" hidden="1" customHeight="1">
      <c r="A52" s="4187"/>
      <c r="B52" s="1302" t="s">
        <v>17</v>
      </c>
      <c r="C52" s="4177" t="s">
        <v>124</v>
      </c>
      <c r="D52" s="1135"/>
      <c r="E52" s="1135">
        <v>0</v>
      </c>
      <c r="F52" s="1135">
        <f t="shared" ref="F52:K52" si="41">F53</f>
        <v>0</v>
      </c>
      <c r="G52" s="1135">
        <f t="shared" si="41"/>
        <v>0</v>
      </c>
      <c r="H52" s="1135">
        <f t="shared" si="41"/>
        <v>0</v>
      </c>
      <c r="I52" s="1135">
        <f t="shared" si="41"/>
        <v>0</v>
      </c>
      <c r="J52" s="1135">
        <f t="shared" si="41"/>
        <v>0</v>
      </c>
      <c r="K52" s="1135">
        <f t="shared" si="41"/>
        <v>0</v>
      </c>
      <c r="L52" s="1135">
        <f>L53</f>
        <v>0</v>
      </c>
      <c r="M52" s="4204"/>
      <c r="N52" s="4164"/>
    </row>
    <row r="53" spans="1:14" ht="12.75" hidden="1" customHeight="1" thickBot="1">
      <c r="A53" s="4188"/>
      <c r="B53" s="1306" t="s">
        <v>18</v>
      </c>
      <c r="C53" s="4189"/>
      <c r="D53" s="1133"/>
      <c r="E53" s="1133">
        <v>0</v>
      </c>
      <c r="F53" s="1382">
        <v>0</v>
      </c>
      <c r="G53" s="1382">
        <v>0</v>
      </c>
      <c r="H53" s="1382">
        <v>0</v>
      </c>
      <c r="I53" s="1382">
        <v>0</v>
      </c>
      <c r="J53" s="1382">
        <v>0</v>
      </c>
      <c r="K53" s="1382">
        <v>0</v>
      </c>
      <c r="L53" s="1382">
        <v>0</v>
      </c>
      <c r="M53" s="4205"/>
      <c r="N53" s="4165"/>
    </row>
    <row r="54" spans="1:14" ht="42.75" hidden="1" customHeight="1">
      <c r="A54" s="4186" t="s">
        <v>55</v>
      </c>
      <c r="B54" s="1291" t="s">
        <v>414</v>
      </c>
      <c r="C54" s="1292" t="s">
        <v>99</v>
      </c>
      <c r="D54" s="1374"/>
      <c r="E54" s="1375"/>
      <c r="F54" s="1375"/>
      <c r="G54" s="1375"/>
      <c r="H54" s="1375"/>
      <c r="I54" s="1375"/>
      <c r="J54" s="1375"/>
      <c r="K54" s="1375"/>
      <c r="L54" s="1375"/>
      <c r="M54" s="1376"/>
      <c r="N54" s="4163" t="s">
        <v>123</v>
      </c>
    </row>
    <row r="55" spans="1:14" ht="15" hidden="1" customHeight="1">
      <c r="A55" s="4187"/>
      <c r="B55" s="2726" t="s">
        <v>9</v>
      </c>
      <c r="C55" s="2727"/>
      <c r="D55" s="1140">
        <f>D56</f>
        <v>0</v>
      </c>
      <c r="E55" s="1140">
        <f t="shared" ref="E55:I56" si="42">E56</f>
        <v>0</v>
      </c>
      <c r="F55" s="1140">
        <f t="shared" ref="F55:K55" si="43">+F56+F58</f>
        <v>0</v>
      </c>
      <c r="G55" s="1140">
        <f t="shared" si="43"/>
        <v>0</v>
      </c>
      <c r="H55" s="1140">
        <f t="shared" si="43"/>
        <v>0</v>
      </c>
      <c r="I55" s="1140">
        <f t="shared" si="43"/>
        <v>0</v>
      </c>
      <c r="J55" s="1140">
        <f t="shared" si="43"/>
        <v>0</v>
      </c>
      <c r="K55" s="1140">
        <f t="shared" si="43"/>
        <v>0</v>
      </c>
      <c r="L55" s="1140">
        <f>L56</f>
        <v>0</v>
      </c>
      <c r="M55" s="1257">
        <f>M56</f>
        <v>0</v>
      </c>
      <c r="N55" s="4164"/>
    </row>
    <row r="56" spans="1:14" ht="12.75" hidden="1" thickBot="1">
      <c r="A56" s="4187"/>
      <c r="B56" s="1302" t="s">
        <v>17</v>
      </c>
      <c r="C56" s="4177" t="s">
        <v>124</v>
      </c>
      <c r="D56" s="1135">
        <f>+D57</f>
        <v>0</v>
      </c>
      <c r="E56" s="1135">
        <f t="shared" si="42"/>
        <v>0</v>
      </c>
      <c r="F56" s="1135">
        <f t="shared" si="42"/>
        <v>0</v>
      </c>
      <c r="G56" s="1135">
        <f t="shared" si="42"/>
        <v>0</v>
      </c>
      <c r="H56" s="1135">
        <f t="shared" si="42"/>
        <v>0</v>
      </c>
      <c r="I56" s="1135">
        <f t="shared" si="42"/>
        <v>0</v>
      </c>
      <c r="J56" s="1135">
        <f>J57</f>
        <v>0</v>
      </c>
      <c r="K56" s="1135">
        <f>K57</f>
        <v>0</v>
      </c>
      <c r="L56" s="1135">
        <f>L57</f>
        <v>0</v>
      </c>
      <c r="M56" s="1131">
        <f>+M57</f>
        <v>0</v>
      </c>
      <c r="N56" s="4164"/>
    </row>
    <row r="57" spans="1:14" ht="12.75" hidden="1" thickBot="1">
      <c r="A57" s="4187"/>
      <c r="B57" s="1303" t="s">
        <v>18</v>
      </c>
      <c r="C57" s="4179"/>
      <c r="D57" s="1115">
        <v>0</v>
      </c>
      <c r="E57" s="1383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377">
        <f>SUM(F57:K57)</f>
        <v>0</v>
      </c>
      <c r="N57" s="4164"/>
    </row>
    <row r="58" spans="1:14" ht="15" hidden="1" customHeight="1">
      <c r="A58" s="4187"/>
      <c r="B58" s="1304" t="s">
        <v>20</v>
      </c>
      <c r="C58" s="1305"/>
      <c r="D58" s="1140">
        <f>+D59</f>
        <v>0</v>
      </c>
      <c r="E58" s="1140">
        <f t="shared" ref="E58" si="44">+E59</f>
        <v>0</v>
      </c>
      <c r="F58" s="1140">
        <f t="shared" ref="F58:H58" si="45">F59</f>
        <v>0</v>
      </c>
      <c r="G58" s="1140">
        <f t="shared" si="45"/>
        <v>0</v>
      </c>
      <c r="H58" s="1140">
        <f t="shared" si="45"/>
        <v>0</v>
      </c>
      <c r="I58" s="1140"/>
      <c r="J58" s="1140"/>
      <c r="K58" s="1140"/>
      <c r="L58" s="1140">
        <f>L59</f>
        <v>0</v>
      </c>
      <c r="M58" s="4203" t="s">
        <v>52</v>
      </c>
      <c r="N58" s="4164"/>
    </row>
    <row r="59" spans="1:14" ht="12" hidden="1" customHeight="1">
      <c r="A59" s="4187"/>
      <c r="B59" s="1302" t="s">
        <v>17</v>
      </c>
      <c r="C59" s="4177" t="s">
        <v>124</v>
      </c>
      <c r="D59" s="1135">
        <f>+D60</f>
        <v>0</v>
      </c>
      <c r="E59" s="1135">
        <f t="shared" ref="E59:K59" si="46">E60</f>
        <v>0</v>
      </c>
      <c r="F59" s="1135">
        <f t="shared" si="46"/>
        <v>0</v>
      </c>
      <c r="G59" s="1135">
        <f t="shared" si="46"/>
        <v>0</v>
      </c>
      <c r="H59" s="1135">
        <f t="shared" si="46"/>
        <v>0</v>
      </c>
      <c r="I59" s="1135">
        <f t="shared" si="46"/>
        <v>0</v>
      </c>
      <c r="J59" s="1135">
        <f t="shared" si="46"/>
        <v>0</v>
      </c>
      <c r="K59" s="1135">
        <f t="shared" si="46"/>
        <v>0</v>
      </c>
      <c r="L59" s="1135">
        <f>L60</f>
        <v>0</v>
      </c>
      <c r="M59" s="4204"/>
      <c r="N59" s="4164"/>
    </row>
    <row r="60" spans="1:14" ht="12.75" hidden="1" customHeight="1" thickBot="1">
      <c r="A60" s="4188"/>
      <c r="B60" s="1306" t="s">
        <v>18</v>
      </c>
      <c r="C60" s="4189"/>
      <c r="D60" s="1115">
        <f>E60+L60+F60+G60+H60+I60+J60+K60</f>
        <v>0</v>
      </c>
      <c r="E60" s="1383">
        <v>0</v>
      </c>
      <c r="F60" s="1382">
        <v>0</v>
      </c>
      <c r="G60" s="1382">
        <v>0</v>
      </c>
      <c r="H60" s="1382">
        <v>0</v>
      </c>
      <c r="I60" s="1382">
        <v>0</v>
      </c>
      <c r="J60" s="1382">
        <v>0</v>
      </c>
      <c r="K60" s="1382">
        <v>0</v>
      </c>
      <c r="L60" s="1382">
        <v>0</v>
      </c>
      <c r="M60" s="4205"/>
      <c r="N60" s="4165"/>
    </row>
    <row r="61" spans="1:14" ht="26.25" hidden="1" customHeight="1">
      <c r="A61" s="4186" t="s">
        <v>56</v>
      </c>
      <c r="B61" s="1291" t="s">
        <v>310</v>
      </c>
      <c r="C61" s="1292" t="s">
        <v>99</v>
      </c>
      <c r="D61" s="1374"/>
      <c r="E61" s="1375"/>
      <c r="F61" s="1375"/>
      <c r="G61" s="1375"/>
      <c r="H61" s="1375"/>
      <c r="I61" s="1375"/>
      <c r="J61" s="1375"/>
      <c r="K61" s="1375"/>
      <c r="L61" s="1375"/>
      <c r="M61" s="1376"/>
      <c r="N61" s="4163" t="s">
        <v>238</v>
      </c>
    </row>
    <row r="62" spans="1:14" ht="15" hidden="1" customHeight="1">
      <c r="A62" s="4187"/>
      <c r="B62" s="2726" t="s">
        <v>9</v>
      </c>
      <c r="C62" s="2727"/>
      <c r="D62" s="1140"/>
      <c r="E62" s="1140">
        <v>0</v>
      </c>
      <c r="F62" s="1140">
        <f t="shared" ref="F62:K62" si="47">+F63+F65</f>
        <v>0</v>
      </c>
      <c r="G62" s="1140">
        <f t="shared" si="47"/>
        <v>0</v>
      </c>
      <c r="H62" s="1140">
        <f t="shared" si="47"/>
        <v>0</v>
      </c>
      <c r="I62" s="1140">
        <f t="shared" si="47"/>
        <v>0</v>
      </c>
      <c r="J62" s="1140">
        <f t="shared" si="47"/>
        <v>0</v>
      </c>
      <c r="K62" s="1140">
        <f t="shared" si="47"/>
        <v>0</v>
      </c>
      <c r="L62" s="1140">
        <f>L63</f>
        <v>0</v>
      </c>
      <c r="M62" s="1257">
        <f>M63</f>
        <v>0</v>
      </c>
      <c r="N62" s="4164"/>
    </row>
    <row r="63" spans="1:14" ht="12.75" hidden="1" thickBot="1">
      <c r="A63" s="4187"/>
      <c r="B63" s="1302" t="s">
        <v>17</v>
      </c>
      <c r="C63" s="4177" t="s">
        <v>239</v>
      </c>
      <c r="D63" s="1135"/>
      <c r="E63" s="1135">
        <v>0</v>
      </c>
      <c r="F63" s="1135">
        <f t="shared" ref="F63:I63" si="48">F64</f>
        <v>0</v>
      </c>
      <c r="G63" s="1135">
        <f t="shared" si="48"/>
        <v>0</v>
      </c>
      <c r="H63" s="1135">
        <f t="shared" si="48"/>
        <v>0</v>
      </c>
      <c r="I63" s="1135">
        <f t="shared" si="48"/>
        <v>0</v>
      </c>
      <c r="J63" s="1135">
        <f>J64</f>
        <v>0</v>
      </c>
      <c r="K63" s="1135">
        <f>K64</f>
        <v>0</v>
      </c>
      <c r="L63" s="1135">
        <f>L64</f>
        <v>0</v>
      </c>
      <c r="M63" s="1131">
        <f>+M64</f>
        <v>0</v>
      </c>
      <c r="N63" s="4164"/>
    </row>
    <row r="64" spans="1:14" ht="12.75" hidden="1" thickBot="1">
      <c r="A64" s="4187"/>
      <c r="B64" s="1303" t="s">
        <v>18</v>
      </c>
      <c r="C64" s="4179"/>
      <c r="D64" s="2732"/>
      <c r="E64" s="1383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377">
        <f>SUM(F64:K64)</f>
        <v>0</v>
      </c>
      <c r="N64" s="4164"/>
    </row>
    <row r="65" spans="1:15" ht="15" hidden="1" customHeight="1">
      <c r="A65" s="4187"/>
      <c r="B65" s="1304" t="s">
        <v>20</v>
      </c>
      <c r="C65" s="1305"/>
      <c r="D65" s="1384"/>
      <c r="E65" s="1140">
        <v>0</v>
      </c>
      <c r="F65" s="1140">
        <f t="shared" ref="F65:K65" si="49">F66+F116</f>
        <v>0</v>
      </c>
      <c r="G65" s="1140">
        <f t="shared" si="49"/>
        <v>0</v>
      </c>
      <c r="H65" s="1140">
        <f t="shared" si="49"/>
        <v>0</v>
      </c>
      <c r="I65" s="1140">
        <f t="shared" si="49"/>
        <v>0</v>
      </c>
      <c r="J65" s="1140">
        <f t="shared" si="49"/>
        <v>0</v>
      </c>
      <c r="K65" s="1140">
        <f t="shared" si="49"/>
        <v>0</v>
      </c>
      <c r="L65" s="1140">
        <f>L66</f>
        <v>0</v>
      </c>
      <c r="M65" s="4203" t="s">
        <v>52</v>
      </c>
      <c r="N65" s="4164"/>
    </row>
    <row r="66" spans="1:15" ht="12.75" hidden="1" customHeight="1">
      <c r="A66" s="4187"/>
      <c r="B66" s="1302" t="s">
        <v>17</v>
      </c>
      <c r="C66" s="4177" t="s">
        <v>239</v>
      </c>
      <c r="D66" s="1135"/>
      <c r="E66" s="1135">
        <v>0</v>
      </c>
      <c r="F66" s="1135">
        <f t="shared" ref="F66:K66" si="50">F67</f>
        <v>0</v>
      </c>
      <c r="G66" s="1135">
        <f t="shared" si="50"/>
        <v>0</v>
      </c>
      <c r="H66" s="1135">
        <f t="shared" si="50"/>
        <v>0</v>
      </c>
      <c r="I66" s="1135">
        <f t="shared" si="50"/>
        <v>0</v>
      </c>
      <c r="J66" s="1135">
        <f t="shared" si="50"/>
        <v>0</v>
      </c>
      <c r="K66" s="1135">
        <f t="shared" si="50"/>
        <v>0</v>
      </c>
      <c r="L66" s="1135">
        <f>L67</f>
        <v>0</v>
      </c>
      <c r="M66" s="4204"/>
      <c r="N66" s="4164"/>
    </row>
    <row r="67" spans="1:15" ht="12.75" hidden="1" customHeight="1" thickBot="1">
      <c r="A67" s="4188"/>
      <c r="B67" s="1306" t="s">
        <v>18</v>
      </c>
      <c r="C67" s="4189"/>
      <c r="D67" s="2732"/>
      <c r="E67" s="1383">
        <v>0</v>
      </c>
      <c r="F67" s="1382">
        <v>0</v>
      </c>
      <c r="G67" s="1382">
        <v>0</v>
      </c>
      <c r="H67" s="1382">
        <v>0</v>
      </c>
      <c r="I67" s="1382">
        <v>0</v>
      </c>
      <c r="J67" s="1382">
        <v>0</v>
      </c>
      <c r="K67" s="1382">
        <v>0</v>
      </c>
      <c r="L67" s="1382">
        <v>0</v>
      </c>
      <c r="M67" s="4205"/>
      <c r="N67" s="4165"/>
    </row>
    <row r="68" spans="1:15" ht="26.25" customHeight="1">
      <c r="A68" s="4186" t="s">
        <v>55</v>
      </c>
      <c r="B68" s="1291" t="s">
        <v>588</v>
      </c>
      <c r="C68" s="1292" t="s">
        <v>99</v>
      </c>
      <c r="D68" s="159"/>
      <c r="E68" s="323"/>
      <c r="F68" s="323"/>
      <c r="G68" s="323"/>
      <c r="H68" s="323"/>
      <c r="I68" s="323"/>
      <c r="J68" s="323"/>
      <c r="K68" s="1831"/>
      <c r="L68" s="323"/>
      <c r="M68" s="1376"/>
      <c r="N68" s="4163" t="s">
        <v>121</v>
      </c>
    </row>
    <row r="69" spans="1:15" ht="12">
      <c r="A69" s="4187"/>
      <c r="B69" s="2726" t="s">
        <v>9</v>
      </c>
      <c r="C69" s="2727"/>
      <c r="D69" s="1140">
        <f>+D70</f>
        <v>59771</v>
      </c>
      <c r="E69" s="1140">
        <f t="shared" ref="E69:E70" si="51">+E70</f>
        <v>21094</v>
      </c>
      <c r="F69" s="1140">
        <f t="shared" ref="F69:G70" si="52">+F70</f>
        <v>12574</v>
      </c>
      <c r="G69" s="1140">
        <f t="shared" si="52"/>
        <v>26103</v>
      </c>
      <c r="H69" s="1140"/>
      <c r="I69" s="1140"/>
      <c r="J69" s="1140"/>
      <c r="K69" s="1140"/>
      <c r="L69" s="1140"/>
      <c r="M69" s="1257">
        <f>+M70</f>
        <v>26103</v>
      </c>
      <c r="N69" s="4164"/>
    </row>
    <row r="70" spans="1:15" ht="12">
      <c r="A70" s="4187"/>
      <c r="B70" s="1302" t="s">
        <v>17</v>
      </c>
      <c r="C70" s="4177" t="s">
        <v>122</v>
      </c>
      <c r="D70" s="1135">
        <f>+D71</f>
        <v>59771</v>
      </c>
      <c r="E70" s="1135">
        <f t="shared" si="51"/>
        <v>21094</v>
      </c>
      <c r="F70" s="1135">
        <f t="shared" si="52"/>
        <v>12574</v>
      </c>
      <c r="G70" s="1135">
        <f t="shared" si="52"/>
        <v>26103</v>
      </c>
      <c r="H70" s="1135"/>
      <c r="I70" s="1135"/>
      <c r="J70" s="1135"/>
      <c r="K70" s="1135"/>
      <c r="L70" s="1135"/>
      <c r="M70" s="1131">
        <f>+M71</f>
        <v>26103</v>
      </c>
      <c r="N70" s="4164"/>
    </row>
    <row r="71" spans="1:15" ht="12">
      <c r="A71" s="4187"/>
      <c r="B71" s="1303" t="s">
        <v>18</v>
      </c>
      <c r="C71" s="4179"/>
      <c r="D71" s="1160">
        <f>E71+L71+F71+G71+H71+I71+J71+K71</f>
        <v>59771</v>
      </c>
      <c r="E71" s="1383">
        <f>803+20291</f>
        <v>21094</v>
      </c>
      <c r="F71" s="110">
        <f>21882+7757-17065</f>
        <v>12574</v>
      </c>
      <c r="G71" s="110">
        <f>21882+4221</f>
        <v>26103</v>
      </c>
      <c r="H71" s="110"/>
      <c r="I71" s="110"/>
      <c r="J71" s="110"/>
      <c r="K71" s="110"/>
      <c r="L71" s="110"/>
      <c r="M71" s="1377">
        <f>SUM(G71:K71)</f>
        <v>26103</v>
      </c>
      <c r="N71" s="4164"/>
    </row>
    <row r="72" spans="1:15" ht="12">
      <c r="A72" s="4187"/>
      <c r="B72" s="1304" t="s">
        <v>20</v>
      </c>
      <c r="C72" s="1305"/>
      <c r="D72" s="1384">
        <f>+D73</f>
        <v>59771</v>
      </c>
      <c r="E72" s="1384">
        <f t="shared" ref="E72:E73" si="53">+E73</f>
        <v>28851</v>
      </c>
      <c r="F72" s="1140">
        <f t="shared" ref="F72:G73" si="54">+F73</f>
        <v>9038</v>
      </c>
      <c r="G72" s="1140">
        <f t="shared" si="54"/>
        <v>21882</v>
      </c>
      <c r="H72" s="1140"/>
      <c r="I72" s="1140"/>
      <c r="J72" s="1140"/>
      <c r="K72" s="1140"/>
      <c r="L72" s="1140"/>
      <c r="M72" s="4203" t="s">
        <v>52</v>
      </c>
      <c r="N72" s="4164"/>
    </row>
    <row r="73" spans="1:15" ht="12">
      <c r="A73" s="4187"/>
      <c r="B73" s="1302" t="s">
        <v>17</v>
      </c>
      <c r="C73" s="4177" t="s">
        <v>122</v>
      </c>
      <c r="D73" s="1135">
        <f>+D74</f>
        <v>59771</v>
      </c>
      <c r="E73" s="1135">
        <f t="shared" si="53"/>
        <v>28851</v>
      </c>
      <c r="F73" s="1135">
        <f t="shared" si="54"/>
        <v>9038</v>
      </c>
      <c r="G73" s="1135">
        <f t="shared" si="54"/>
        <v>21882</v>
      </c>
      <c r="H73" s="1135"/>
      <c r="I73" s="1135"/>
      <c r="J73" s="1135"/>
      <c r="K73" s="1135"/>
      <c r="L73" s="1135"/>
      <c r="M73" s="4204"/>
      <c r="N73" s="4164"/>
    </row>
    <row r="74" spans="1:15" ht="12.75" thickBot="1">
      <c r="A74" s="4188"/>
      <c r="B74" s="1306" t="s">
        <v>18</v>
      </c>
      <c r="C74" s="4189"/>
      <c r="D74" s="1636">
        <f>E74+L74+F74+G74+H74+I74+J74+K74</f>
        <v>59771</v>
      </c>
      <c r="E74" s="3215">
        <f>803+28048</f>
        <v>28851</v>
      </c>
      <c r="F74" s="1382">
        <f>21882-12844</f>
        <v>9038</v>
      </c>
      <c r="G74" s="1382">
        <v>21882</v>
      </c>
      <c r="H74" s="1382"/>
      <c r="I74" s="1382"/>
      <c r="J74" s="1382"/>
      <c r="K74" s="1382"/>
      <c r="L74" s="1382"/>
      <c r="M74" s="4205"/>
      <c r="N74" s="4165"/>
    </row>
    <row r="75" spans="1:15" ht="27" hidden="1" customHeight="1">
      <c r="A75" s="4186" t="s">
        <v>56</v>
      </c>
      <c r="B75" s="1291"/>
      <c r="C75" s="1292" t="s">
        <v>99</v>
      </c>
      <c r="D75" s="159"/>
      <c r="E75" s="323"/>
      <c r="F75" s="323"/>
      <c r="G75" s="323"/>
      <c r="H75" s="323"/>
      <c r="I75" s="323"/>
      <c r="J75" s="323"/>
      <c r="K75" s="1831"/>
      <c r="L75" s="323"/>
      <c r="M75" s="1376"/>
      <c r="N75" s="4163" t="s">
        <v>286</v>
      </c>
    </row>
    <row r="76" spans="1:15" ht="12.75" hidden="1" thickBot="1">
      <c r="A76" s="4187"/>
      <c r="B76" s="1722" t="s">
        <v>9</v>
      </c>
      <c r="C76" s="2727"/>
      <c r="D76" s="1140">
        <f t="shared" ref="D76:K76" si="55">+D77+D79</f>
        <v>0</v>
      </c>
      <c r="E76" s="1140">
        <f t="shared" si="55"/>
        <v>0</v>
      </c>
      <c r="F76" s="1140">
        <f t="shared" si="55"/>
        <v>0</v>
      </c>
      <c r="G76" s="1140">
        <f t="shared" si="55"/>
        <v>0</v>
      </c>
      <c r="H76" s="1140">
        <f t="shared" si="55"/>
        <v>0</v>
      </c>
      <c r="I76" s="1140">
        <f t="shared" si="55"/>
        <v>0</v>
      </c>
      <c r="J76" s="1140">
        <f t="shared" si="55"/>
        <v>0</v>
      </c>
      <c r="K76" s="1140">
        <f t="shared" si="55"/>
        <v>0</v>
      </c>
      <c r="L76" s="1140">
        <f>+L77+L79</f>
        <v>0</v>
      </c>
      <c r="M76" s="1257">
        <f>+M77+M79</f>
        <v>0</v>
      </c>
      <c r="N76" s="4164"/>
      <c r="O76" s="1265" t="s">
        <v>474</v>
      </c>
    </row>
    <row r="77" spans="1:15" ht="12.75" hidden="1" thickBot="1">
      <c r="A77" s="4187"/>
      <c r="B77" s="1743" t="s">
        <v>22</v>
      </c>
      <c r="C77" s="4224" t="s">
        <v>138</v>
      </c>
      <c r="D77" s="1151">
        <f>+D78</f>
        <v>0</v>
      </c>
      <c r="E77" s="1151">
        <f>+E78</f>
        <v>0</v>
      </c>
      <c r="F77" s="1151">
        <f t="shared" ref="F77:K77" si="56">+F78</f>
        <v>0</v>
      </c>
      <c r="G77" s="1151">
        <f t="shared" si="56"/>
        <v>0</v>
      </c>
      <c r="H77" s="1151">
        <f t="shared" si="56"/>
        <v>0</v>
      </c>
      <c r="I77" s="1151">
        <f t="shared" si="56"/>
        <v>0</v>
      </c>
      <c r="J77" s="1151">
        <f t="shared" si="56"/>
        <v>0</v>
      </c>
      <c r="K77" s="1151">
        <f t="shared" si="56"/>
        <v>0</v>
      </c>
      <c r="L77" s="1151">
        <f>+L78</f>
        <v>0</v>
      </c>
      <c r="M77" s="1131">
        <f>+M78</f>
        <v>0</v>
      </c>
      <c r="N77" s="4164"/>
    </row>
    <row r="78" spans="1:15" ht="12.75" hidden="1" thickBot="1">
      <c r="A78" s="4187"/>
      <c r="B78" s="145" t="s">
        <v>12</v>
      </c>
      <c r="C78" s="4225"/>
      <c r="D78" s="1160">
        <f>E78+L78+F78+G78+H78+I78+J78+K78</f>
        <v>0</v>
      </c>
      <c r="E78" s="1160">
        <v>0</v>
      </c>
      <c r="F78" s="1160"/>
      <c r="G78" s="1160"/>
      <c r="H78" s="1160"/>
      <c r="I78" s="1160"/>
      <c r="J78" s="1160"/>
      <c r="K78" s="1160"/>
      <c r="L78" s="1160">
        <v>0</v>
      </c>
      <c r="M78" s="1377">
        <f>SUM(G78:K78)</f>
        <v>0</v>
      </c>
      <c r="N78" s="4164"/>
    </row>
    <row r="79" spans="1:15" ht="12.75" hidden="1" thickBot="1">
      <c r="A79" s="4187"/>
      <c r="B79" s="1691" t="s">
        <v>17</v>
      </c>
      <c r="C79" s="4225"/>
      <c r="D79" s="1151">
        <f>+D80</f>
        <v>0</v>
      </c>
      <c r="E79" s="1151">
        <f t="shared" ref="E79:K79" si="57">+E80</f>
        <v>0</v>
      </c>
      <c r="F79" s="1151">
        <f t="shared" si="57"/>
        <v>0</v>
      </c>
      <c r="G79" s="1151">
        <f t="shared" si="57"/>
        <v>0</v>
      </c>
      <c r="H79" s="1151">
        <f t="shared" si="57"/>
        <v>0</v>
      </c>
      <c r="I79" s="1151">
        <f t="shared" si="57"/>
        <v>0</v>
      </c>
      <c r="J79" s="1151">
        <f t="shared" si="57"/>
        <v>0</v>
      </c>
      <c r="K79" s="1151">
        <f t="shared" si="57"/>
        <v>0</v>
      </c>
      <c r="L79" s="1151">
        <f>+L80</f>
        <v>0</v>
      </c>
      <c r="M79" s="1131">
        <f>+M80</f>
        <v>0</v>
      </c>
      <c r="N79" s="4164"/>
    </row>
    <row r="80" spans="1:15" ht="12.75" hidden="1" thickBot="1">
      <c r="A80" s="4187"/>
      <c r="B80" s="1173" t="s">
        <v>19</v>
      </c>
      <c r="C80" s="4226"/>
      <c r="D80" s="1160">
        <f>E80+L80+F80+G80+H80+I80+J80+K80</f>
        <v>0</v>
      </c>
      <c r="E80" s="1160">
        <v>0</v>
      </c>
      <c r="F80" s="1160"/>
      <c r="G80" s="1160"/>
      <c r="H80" s="1160"/>
      <c r="I80" s="1160"/>
      <c r="J80" s="1160"/>
      <c r="K80" s="1160"/>
      <c r="L80" s="1160">
        <v>0</v>
      </c>
      <c r="M80" s="1377">
        <f>SUM(G80:K80)</f>
        <v>0</v>
      </c>
      <c r="N80" s="4164"/>
    </row>
    <row r="81" spans="1:26" ht="12.75" hidden="1" customHeight="1">
      <c r="A81" s="4187"/>
      <c r="B81" s="1304" t="s">
        <v>20</v>
      </c>
      <c r="C81" s="1305"/>
      <c r="D81" s="1384">
        <f>+D82+D84</f>
        <v>0</v>
      </c>
      <c r="E81" s="1384">
        <f t="shared" ref="E81:K81" si="58">+E82+E84</f>
        <v>0</v>
      </c>
      <c r="F81" s="1384">
        <f t="shared" si="58"/>
        <v>0</v>
      </c>
      <c r="G81" s="1384">
        <f t="shared" si="58"/>
        <v>0</v>
      </c>
      <c r="H81" s="1384">
        <f t="shared" si="58"/>
        <v>0</v>
      </c>
      <c r="I81" s="1384">
        <f t="shared" si="58"/>
        <v>0</v>
      </c>
      <c r="J81" s="1384">
        <f t="shared" si="58"/>
        <v>0</v>
      </c>
      <c r="K81" s="1384">
        <f t="shared" si="58"/>
        <v>0</v>
      </c>
      <c r="L81" s="1384">
        <f>+L82+L84</f>
        <v>0</v>
      </c>
      <c r="M81" s="4203" t="s">
        <v>52</v>
      </c>
      <c r="N81" s="4164"/>
    </row>
    <row r="82" spans="1:26" ht="12.75" hidden="1" thickBot="1">
      <c r="A82" s="4187"/>
      <c r="B82" s="1233" t="s">
        <v>22</v>
      </c>
      <c r="C82" s="4224" t="s">
        <v>138</v>
      </c>
      <c r="D82" s="1780">
        <f>+D83</f>
        <v>0</v>
      </c>
      <c r="E82" s="1780">
        <f t="shared" ref="E82:K82" si="59">+E83</f>
        <v>0</v>
      </c>
      <c r="F82" s="1780">
        <f t="shared" si="59"/>
        <v>0</v>
      </c>
      <c r="G82" s="1780">
        <f t="shared" si="59"/>
        <v>0</v>
      </c>
      <c r="H82" s="1780">
        <f t="shared" si="59"/>
        <v>0</v>
      </c>
      <c r="I82" s="1780">
        <f t="shared" si="59"/>
        <v>0</v>
      </c>
      <c r="J82" s="1780">
        <f t="shared" si="59"/>
        <v>0</v>
      </c>
      <c r="K82" s="1780">
        <f t="shared" si="59"/>
        <v>0</v>
      </c>
      <c r="L82" s="1780">
        <f>+L83</f>
        <v>0</v>
      </c>
      <c r="M82" s="4071"/>
      <c r="N82" s="4222"/>
    </row>
    <row r="83" spans="1:26" ht="12.75" hidden="1" thickBot="1">
      <c r="A83" s="4187"/>
      <c r="B83" s="149" t="s">
        <v>12</v>
      </c>
      <c r="C83" s="4225"/>
      <c r="D83" s="1160">
        <f>E83+L83+F83+G83+H83+I83+J83+K83</f>
        <v>0</v>
      </c>
      <c r="E83" s="1613">
        <v>0</v>
      </c>
      <c r="F83" s="2733"/>
      <c r="G83" s="2733"/>
      <c r="H83" s="2733"/>
      <c r="I83" s="2733"/>
      <c r="J83" s="2733"/>
      <c r="K83" s="2733"/>
      <c r="L83" s="2733">
        <v>0</v>
      </c>
      <c r="M83" s="4071"/>
      <c r="N83" s="4164"/>
    </row>
    <row r="84" spans="1:26" ht="12" hidden="1" customHeight="1">
      <c r="A84" s="4187"/>
      <c r="B84" s="1143" t="s">
        <v>17</v>
      </c>
      <c r="C84" s="4225"/>
      <c r="D84" s="2734">
        <f>+D85</f>
        <v>0</v>
      </c>
      <c r="E84" s="2734">
        <f t="shared" ref="E84:K84" si="60">+E85</f>
        <v>0</v>
      </c>
      <c r="F84" s="2734">
        <f t="shared" si="60"/>
        <v>0</v>
      </c>
      <c r="G84" s="2734">
        <f t="shared" si="60"/>
        <v>0</v>
      </c>
      <c r="H84" s="2734">
        <f t="shared" si="60"/>
        <v>0</v>
      </c>
      <c r="I84" s="2734">
        <f t="shared" si="60"/>
        <v>0</v>
      </c>
      <c r="J84" s="2734">
        <f t="shared" si="60"/>
        <v>0</v>
      </c>
      <c r="K84" s="2734">
        <f t="shared" si="60"/>
        <v>0</v>
      </c>
      <c r="L84" s="2734">
        <f>+L85</f>
        <v>0</v>
      </c>
      <c r="M84" s="4071"/>
      <c r="N84" s="4164"/>
    </row>
    <row r="85" spans="1:26" ht="12.75" hidden="1" thickBot="1">
      <c r="A85" s="4188"/>
      <c r="B85" s="292" t="s">
        <v>19</v>
      </c>
      <c r="C85" s="4227"/>
      <c r="D85" s="1410">
        <f>E85+L85+F85+G85+H85+I85+J85+K85</f>
        <v>0</v>
      </c>
      <c r="E85" s="1781">
        <v>0</v>
      </c>
      <c r="F85" s="1782"/>
      <c r="G85" s="1782"/>
      <c r="H85" s="1782"/>
      <c r="I85" s="1782"/>
      <c r="J85" s="1782"/>
      <c r="K85" s="1782"/>
      <c r="L85" s="1782">
        <v>0</v>
      </c>
      <c r="M85" s="4223"/>
      <c r="N85" s="4165"/>
    </row>
    <row r="86" spans="1:26" s="258" customFormat="1" ht="30" customHeight="1" thickBot="1">
      <c r="A86" s="164" t="s">
        <v>476</v>
      </c>
      <c r="B86" s="165"/>
      <c r="C86" s="165"/>
      <c r="D86" s="165"/>
      <c r="E86" s="1112"/>
      <c r="F86" s="165"/>
      <c r="G86" s="165"/>
      <c r="H86" s="165"/>
      <c r="I86" s="165"/>
      <c r="J86" s="165"/>
      <c r="K86" s="165"/>
      <c r="L86" s="165"/>
      <c r="M86" s="743"/>
      <c r="N86" s="2735"/>
    </row>
    <row r="87" spans="1:26" s="1208" customFormat="1" ht="12.75">
      <c r="A87" s="1062"/>
      <c r="B87" s="178" t="s">
        <v>67</v>
      </c>
      <c r="C87" s="179"/>
      <c r="D87" s="2189">
        <f>D88+D89</f>
        <v>1140000</v>
      </c>
      <c r="E87" s="2988">
        <f t="shared" ref="E87:K87" si="61">E88+E89</f>
        <v>0</v>
      </c>
      <c r="F87" s="180">
        <f t="shared" si="61"/>
        <v>22500</v>
      </c>
      <c r="G87" s="180">
        <f t="shared" si="61"/>
        <v>290000</v>
      </c>
      <c r="H87" s="180">
        <f t="shared" si="61"/>
        <v>535000</v>
      </c>
      <c r="I87" s="180">
        <f t="shared" si="61"/>
        <v>135000</v>
      </c>
      <c r="J87" s="180">
        <f t="shared" si="61"/>
        <v>112500</v>
      </c>
      <c r="K87" s="180">
        <f t="shared" si="61"/>
        <v>45000</v>
      </c>
      <c r="L87" s="180">
        <f>L88+L89</f>
        <v>0</v>
      </c>
      <c r="M87" s="2190">
        <f>M88+M89</f>
        <v>1117500</v>
      </c>
      <c r="N87" s="3959"/>
      <c r="O87" s="261"/>
    </row>
    <row r="88" spans="1:26" s="1208" customFormat="1" ht="13.5" customHeight="1">
      <c r="A88" s="162"/>
      <c r="B88" s="181" t="s">
        <v>68</v>
      </c>
      <c r="C88" s="182"/>
      <c r="D88" s="2191">
        <f>D95</f>
        <v>540000</v>
      </c>
      <c r="E88" s="911">
        <f t="shared" ref="E88:K88" si="62">E95</f>
        <v>0</v>
      </c>
      <c r="F88" s="189">
        <f t="shared" si="62"/>
        <v>22500</v>
      </c>
      <c r="G88" s="189">
        <f t="shared" si="62"/>
        <v>90000</v>
      </c>
      <c r="H88" s="189">
        <f t="shared" si="62"/>
        <v>135000</v>
      </c>
      <c r="I88" s="189">
        <f t="shared" si="62"/>
        <v>135000</v>
      </c>
      <c r="J88" s="189">
        <f t="shared" si="62"/>
        <v>112500</v>
      </c>
      <c r="K88" s="189">
        <f t="shared" si="62"/>
        <v>45000</v>
      </c>
      <c r="L88" s="189">
        <f>L95</f>
        <v>0</v>
      </c>
      <c r="M88" s="1929">
        <f>SUM(G88:K88)</f>
        <v>517500</v>
      </c>
      <c r="N88" s="4185"/>
    </row>
    <row r="89" spans="1:26" s="1208" customFormat="1" ht="13.5" customHeight="1" thickBot="1">
      <c r="A89" s="162"/>
      <c r="B89" s="190" t="s">
        <v>8</v>
      </c>
      <c r="C89" s="182"/>
      <c r="D89" s="189">
        <f t="shared" ref="D89:K89" si="63">D99</f>
        <v>600000</v>
      </c>
      <c r="E89" s="2989">
        <f t="shared" si="63"/>
        <v>0</v>
      </c>
      <c r="F89" s="303">
        <f t="shared" si="63"/>
        <v>0</v>
      </c>
      <c r="G89" s="303">
        <f t="shared" si="63"/>
        <v>200000</v>
      </c>
      <c r="H89" s="303">
        <f t="shared" si="63"/>
        <v>400000</v>
      </c>
      <c r="I89" s="303">
        <f t="shared" si="63"/>
        <v>0</v>
      </c>
      <c r="J89" s="303">
        <f t="shared" si="63"/>
        <v>0</v>
      </c>
      <c r="K89" s="303">
        <f t="shared" si="63"/>
        <v>0</v>
      </c>
      <c r="L89" s="183">
        <v>0</v>
      </c>
      <c r="M89" s="1504">
        <f>SUM(G89:K89)</f>
        <v>600000</v>
      </c>
      <c r="N89" s="4185"/>
    </row>
    <row r="90" spans="1:26" s="307" customFormat="1" ht="13.5" customHeight="1">
      <c r="A90" s="304"/>
      <c r="B90" s="154" t="s">
        <v>9</v>
      </c>
      <c r="C90" s="155"/>
      <c r="D90" s="129">
        <f>D91</f>
        <v>540000</v>
      </c>
      <c r="E90" s="2991">
        <f t="shared" ref="E90:K91" si="64">E91</f>
        <v>0</v>
      </c>
      <c r="F90" s="129">
        <f t="shared" si="64"/>
        <v>22500</v>
      </c>
      <c r="G90" s="129">
        <f t="shared" si="64"/>
        <v>90000</v>
      </c>
      <c r="H90" s="129">
        <f t="shared" si="64"/>
        <v>135000</v>
      </c>
      <c r="I90" s="129">
        <f t="shared" si="64"/>
        <v>135000</v>
      </c>
      <c r="J90" s="129">
        <f t="shared" si="64"/>
        <v>112500</v>
      </c>
      <c r="K90" s="129">
        <f t="shared" si="64"/>
        <v>45000</v>
      </c>
      <c r="L90" s="129">
        <f>L91</f>
        <v>0</v>
      </c>
      <c r="M90" s="1953">
        <f>M91</f>
        <v>517500</v>
      </c>
      <c r="N90" s="4185"/>
      <c r="O90" s="306"/>
      <c r="P90" s="306"/>
    </row>
    <row r="91" spans="1:26" s="310" customFormat="1" ht="13.5" customHeight="1">
      <c r="A91" s="168"/>
      <c r="B91" s="130" t="s">
        <v>10</v>
      </c>
      <c r="C91" s="4159" t="s">
        <v>52</v>
      </c>
      <c r="D91" s="1244">
        <f>D92</f>
        <v>540000</v>
      </c>
      <c r="E91" s="2992">
        <f t="shared" si="64"/>
        <v>0</v>
      </c>
      <c r="F91" s="1244">
        <f t="shared" si="64"/>
        <v>22500</v>
      </c>
      <c r="G91" s="1244">
        <f t="shared" si="64"/>
        <v>90000</v>
      </c>
      <c r="H91" s="1244">
        <f t="shared" si="64"/>
        <v>135000</v>
      </c>
      <c r="I91" s="1244">
        <f t="shared" si="64"/>
        <v>135000</v>
      </c>
      <c r="J91" s="1244">
        <f t="shared" si="64"/>
        <v>112500</v>
      </c>
      <c r="K91" s="1244">
        <f t="shared" si="64"/>
        <v>45000</v>
      </c>
      <c r="L91" s="1244">
        <f>L92</f>
        <v>0</v>
      </c>
      <c r="M91" s="2041">
        <f>+M92</f>
        <v>517500</v>
      </c>
      <c r="N91" s="4185"/>
      <c r="O91" s="308"/>
      <c r="P91" s="309"/>
      <c r="Q91" s="308"/>
      <c r="R91" s="308"/>
      <c r="S91" s="308"/>
      <c r="T91" s="308"/>
      <c r="U91" s="308"/>
      <c r="V91" s="308"/>
      <c r="W91" s="308"/>
      <c r="X91" s="308"/>
      <c r="Y91" s="308"/>
      <c r="Z91" s="308"/>
    </row>
    <row r="92" spans="1:26" s="272" customFormat="1" ht="12.75">
      <c r="A92" s="168"/>
      <c r="B92" s="133" t="s">
        <v>11</v>
      </c>
      <c r="C92" s="3964"/>
      <c r="D92" s="1246">
        <f>D97</f>
        <v>540000</v>
      </c>
      <c r="E92" s="2995">
        <f t="shared" ref="E92:K93" si="65">E97</f>
        <v>0</v>
      </c>
      <c r="F92" s="1246">
        <f t="shared" si="65"/>
        <v>22500</v>
      </c>
      <c r="G92" s="1246">
        <f t="shared" si="65"/>
        <v>90000</v>
      </c>
      <c r="H92" s="1246">
        <f t="shared" si="65"/>
        <v>135000</v>
      </c>
      <c r="I92" s="1246">
        <f t="shared" si="65"/>
        <v>135000</v>
      </c>
      <c r="J92" s="1246">
        <f t="shared" si="65"/>
        <v>112500</v>
      </c>
      <c r="K92" s="1246">
        <f t="shared" si="65"/>
        <v>45000</v>
      </c>
      <c r="L92" s="1246">
        <f>L97</f>
        <v>0</v>
      </c>
      <c r="M92" s="2644">
        <f>SUM(G92:K92)</f>
        <v>517500</v>
      </c>
      <c r="N92" s="4185"/>
      <c r="O92" s="261"/>
    </row>
    <row r="93" spans="1:26" s="272" customFormat="1" ht="13.5" thickBot="1">
      <c r="A93" s="2707"/>
      <c r="B93" s="2708" t="s">
        <v>127</v>
      </c>
      <c r="C93" s="3054"/>
      <c r="D93" s="1859">
        <f>D101</f>
        <v>600000</v>
      </c>
      <c r="E93" s="2996">
        <f t="shared" si="65"/>
        <v>0</v>
      </c>
      <c r="F93" s="1859">
        <f t="shared" si="65"/>
        <v>0</v>
      </c>
      <c r="G93" s="1859">
        <f>G101</f>
        <v>200000</v>
      </c>
      <c r="H93" s="1859">
        <f>H101</f>
        <v>400000</v>
      </c>
      <c r="I93" s="1859">
        <f t="shared" si="65"/>
        <v>0</v>
      </c>
      <c r="J93" s="1859">
        <f t="shared" si="65"/>
        <v>0</v>
      </c>
      <c r="K93" s="1859">
        <f t="shared" si="65"/>
        <v>0</v>
      </c>
      <c r="L93" s="1859">
        <f>L98</f>
        <v>0</v>
      </c>
      <c r="M93" s="2709">
        <f>SUM(G93:K93)</f>
        <v>600000</v>
      </c>
      <c r="N93" s="3960"/>
      <c r="O93" s="261"/>
    </row>
    <row r="94" spans="1:26" ht="36.75" thickBot="1">
      <c r="A94" s="4058" t="s">
        <v>54</v>
      </c>
      <c r="B94" s="312" t="s">
        <v>477</v>
      </c>
      <c r="C94" s="313" t="s">
        <v>99</v>
      </c>
      <c r="D94" s="322"/>
      <c r="E94" s="321"/>
      <c r="F94" s="321"/>
      <c r="G94" s="321"/>
      <c r="H94" s="321"/>
      <c r="I94" s="321"/>
      <c r="J94" s="321"/>
      <c r="K94" s="1108"/>
      <c r="L94" s="321"/>
      <c r="M94" s="296"/>
      <c r="N94" s="4156" t="s">
        <v>162</v>
      </c>
      <c r="O94" s="4150" t="s">
        <v>427</v>
      </c>
    </row>
    <row r="95" spans="1:26" ht="12.75" thickBot="1">
      <c r="A95" s="4058"/>
      <c r="B95" s="68" t="s">
        <v>9</v>
      </c>
      <c r="C95" s="4153" t="s">
        <v>589</v>
      </c>
      <c r="D95" s="1140">
        <f>+D96</f>
        <v>540000</v>
      </c>
      <c r="E95" s="1231">
        <f t="shared" ref="E95:M96" si="66">+E96</f>
        <v>0</v>
      </c>
      <c r="F95" s="1140">
        <f t="shared" si="66"/>
        <v>22500</v>
      </c>
      <c r="G95" s="1140">
        <f t="shared" si="66"/>
        <v>90000</v>
      </c>
      <c r="H95" s="1140">
        <f t="shared" si="66"/>
        <v>135000</v>
      </c>
      <c r="I95" s="1140">
        <f t="shared" si="66"/>
        <v>135000</v>
      </c>
      <c r="J95" s="1140">
        <f t="shared" si="66"/>
        <v>112500</v>
      </c>
      <c r="K95" s="1140">
        <f t="shared" si="66"/>
        <v>45000</v>
      </c>
      <c r="L95" s="1231">
        <f t="shared" si="66"/>
        <v>0</v>
      </c>
      <c r="M95" s="2711">
        <f t="shared" si="66"/>
        <v>517500</v>
      </c>
      <c r="N95" s="4156"/>
      <c r="O95" s="4151"/>
    </row>
    <row r="96" spans="1:26" ht="16.5" customHeight="1" thickBot="1">
      <c r="A96" s="4058"/>
      <c r="B96" s="1743" t="s">
        <v>22</v>
      </c>
      <c r="C96" s="4154"/>
      <c r="D96" s="1249">
        <f>+D97</f>
        <v>540000</v>
      </c>
      <c r="E96" s="2997">
        <f t="shared" si="66"/>
        <v>0</v>
      </c>
      <c r="F96" s="1148">
        <f t="shared" si="66"/>
        <v>22500</v>
      </c>
      <c r="G96" s="1148">
        <f t="shared" si="66"/>
        <v>90000</v>
      </c>
      <c r="H96" s="1148">
        <f t="shared" si="66"/>
        <v>135000</v>
      </c>
      <c r="I96" s="1148">
        <f t="shared" si="66"/>
        <v>135000</v>
      </c>
      <c r="J96" s="1148">
        <f t="shared" si="66"/>
        <v>112500</v>
      </c>
      <c r="K96" s="1148">
        <f t="shared" si="66"/>
        <v>45000</v>
      </c>
      <c r="L96" s="3000">
        <v>0</v>
      </c>
      <c r="M96" s="2712">
        <f t="shared" si="66"/>
        <v>517500</v>
      </c>
      <c r="N96" s="4157"/>
      <c r="O96" s="4151"/>
    </row>
    <row r="97" spans="1:108" ht="17.25" customHeight="1" thickBot="1">
      <c r="A97" s="4058"/>
      <c r="B97" s="978" t="s">
        <v>11</v>
      </c>
      <c r="C97" s="4155"/>
      <c r="D97" s="1410">
        <f>E97+L97+F97+G97+H97+I97+J97+K97</f>
        <v>540000</v>
      </c>
      <c r="E97" s="2998">
        <v>0</v>
      </c>
      <c r="F97" s="2283">
        <v>22500</v>
      </c>
      <c r="G97" s="2283">
        <v>90000</v>
      </c>
      <c r="H97" s="2283">
        <v>135000</v>
      </c>
      <c r="I97" s="2283">
        <v>135000</v>
      </c>
      <c r="J97" s="2283">
        <v>112500</v>
      </c>
      <c r="K97" s="2283">
        <v>45000</v>
      </c>
      <c r="L97" s="3001">
        <v>0</v>
      </c>
      <c r="M97" s="2047">
        <f>SUM(G97:K97)</f>
        <v>517500</v>
      </c>
      <c r="N97" s="4158"/>
      <c r="O97" s="4152"/>
    </row>
    <row r="98" spans="1:108" ht="39" customHeight="1" thickBot="1">
      <c r="A98" s="4058" t="s">
        <v>55</v>
      </c>
      <c r="B98" s="312" t="s">
        <v>549</v>
      </c>
      <c r="C98" s="313" t="s">
        <v>72</v>
      </c>
      <c r="D98" s="322"/>
      <c r="E98" s="2999"/>
      <c r="F98" s="321"/>
      <c r="G98" s="321"/>
      <c r="H98" s="321"/>
      <c r="I98" s="321"/>
      <c r="J98" s="321"/>
      <c r="K98" s="1108"/>
      <c r="L98" s="321"/>
      <c r="M98" s="296"/>
      <c r="N98" s="4156" t="s">
        <v>162</v>
      </c>
      <c r="O98" s="1736"/>
    </row>
    <row r="99" spans="1:108" ht="12.75" thickBot="1">
      <c r="A99" s="4058"/>
      <c r="B99" s="68" t="s">
        <v>9</v>
      </c>
      <c r="C99" s="2710"/>
      <c r="D99" s="1140">
        <f>+D100</f>
        <v>600000</v>
      </c>
      <c r="E99" s="1231">
        <f t="shared" ref="E99:M100" si="67">+E100</f>
        <v>0</v>
      </c>
      <c r="F99" s="1231">
        <f t="shared" si="67"/>
        <v>0</v>
      </c>
      <c r="G99" s="1140">
        <f t="shared" si="67"/>
        <v>200000</v>
      </c>
      <c r="H99" s="1140">
        <f t="shared" si="67"/>
        <v>400000</v>
      </c>
      <c r="I99" s="1231">
        <f t="shared" si="67"/>
        <v>0</v>
      </c>
      <c r="J99" s="1231">
        <f t="shared" si="67"/>
        <v>0</v>
      </c>
      <c r="K99" s="1231">
        <f t="shared" si="67"/>
        <v>0</v>
      </c>
      <c r="L99" s="1231">
        <f t="shared" si="67"/>
        <v>0</v>
      </c>
      <c r="M99" s="2711">
        <f t="shared" si="67"/>
        <v>600000</v>
      </c>
      <c r="N99" s="4156"/>
      <c r="O99" s="1736"/>
    </row>
    <row r="100" spans="1:108" ht="12.75" thickBot="1">
      <c r="A100" s="4058"/>
      <c r="B100" s="1743" t="s">
        <v>22</v>
      </c>
      <c r="C100" s="4206" t="s">
        <v>564</v>
      </c>
      <c r="D100" s="1249">
        <f>+D101</f>
        <v>600000</v>
      </c>
      <c r="E100" s="2997">
        <f t="shared" si="67"/>
        <v>0</v>
      </c>
      <c r="F100" s="3000">
        <v>0</v>
      </c>
      <c r="G100" s="1148">
        <f t="shared" si="67"/>
        <v>200000</v>
      </c>
      <c r="H100" s="1148">
        <f t="shared" si="67"/>
        <v>400000</v>
      </c>
      <c r="I100" s="3000">
        <v>0</v>
      </c>
      <c r="J100" s="3000">
        <v>0</v>
      </c>
      <c r="K100" s="3000">
        <v>0</v>
      </c>
      <c r="L100" s="3000">
        <v>0</v>
      </c>
      <c r="M100" s="2712">
        <f t="shared" si="67"/>
        <v>600000</v>
      </c>
      <c r="N100" s="4157"/>
      <c r="O100" s="1736"/>
    </row>
    <row r="101" spans="1:108" ht="12.75" thickBot="1">
      <c r="A101" s="4058"/>
      <c r="B101" s="978" t="s">
        <v>127</v>
      </c>
      <c r="C101" s="4207"/>
      <c r="D101" s="1410">
        <f>E101+L101+F101+G101+H101+I101+J101+K101</f>
        <v>600000</v>
      </c>
      <c r="E101" s="2998">
        <v>0</v>
      </c>
      <c r="F101" s="3001">
        <v>0</v>
      </c>
      <c r="G101" s="2283">
        <v>200000</v>
      </c>
      <c r="H101" s="2283">
        <v>400000</v>
      </c>
      <c r="I101" s="3001">
        <v>0</v>
      </c>
      <c r="J101" s="3001">
        <v>0</v>
      </c>
      <c r="K101" s="3001">
        <v>0</v>
      </c>
      <c r="L101" s="3001">
        <v>0</v>
      </c>
      <c r="M101" s="2205">
        <f>SUM(G101:K101)</f>
        <v>600000</v>
      </c>
      <c r="N101" s="4158"/>
      <c r="O101" s="1736"/>
    </row>
    <row r="102" spans="1:108" s="1309" customFormat="1" ht="26.25" hidden="1" customHeight="1" thickBot="1">
      <c r="A102" s="4201" t="s">
        <v>125</v>
      </c>
      <c r="B102" s="4202"/>
      <c r="C102" s="4202"/>
      <c r="D102" s="4202"/>
      <c r="E102" s="4202"/>
      <c r="F102" s="4202"/>
      <c r="G102" s="4202"/>
      <c r="H102" s="4202"/>
      <c r="I102" s="4202"/>
      <c r="J102" s="4202"/>
      <c r="K102" s="4202"/>
      <c r="L102" s="2417"/>
      <c r="M102" s="2038"/>
      <c r="N102" s="2736"/>
      <c r="O102" s="1308"/>
      <c r="P102" s="1308"/>
      <c r="Q102" s="1308"/>
      <c r="R102" s="1308"/>
      <c r="S102" s="1308"/>
      <c r="T102" s="1308"/>
      <c r="U102" s="1308"/>
      <c r="V102" s="1308"/>
      <c r="W102" s="1308"/>
      <c r="X102" s="1308"/>
      <c r="Y102" s="1308"/>
      <c r="Z102" s="1308"/>
      <c r="AA102" s="1308"/>
      <c r="AB102" s="1308"/>
      <c r="AC102" s="1308"/>
      <c r="AD102" s="1308"/>
      <c r="AE102" s="1308"/>
      <c r="AF102" s="1308"/>
      <c r="AG102" s="1308"/>
      <c r="AH102" s="1308"/>
      <c r="AI102" s="1308"/>
      <c r="AJ102" s="1308"/>
      <c r="AK102" s="1308"/>
      <c r="AL102" s="1308"/>
      <c r="AM102" s="1308"/>
      <c r="AN102" s="1308"/>
      <c r="AO102" s="1308"/>
      <c r="AP102" s="1308"/>
      <c r="AQ102" s="1308"/>
      <c r="AR102" s="1308"/>
      <c r="AS102" s="1308"/>
      <c r="AT102" s="1308"/>
      <c r="AU102" s="1308"/>
      <c r="AV102" s="1308"/>
      <c r="AW102" s="1308"/>
      <c r="AX102" s="1308"/>
      <c r="AY102" s="1308"/>
      <c r="AZ102" s="1308"/>
      <c r="BA102" s="1308"/>
      <c r="BB102" s="1308"/>
      <c r="BC102" s="1308"/>
      <c r="BD102" s="1308"/>
      <c r="BE102" s="1308"/>
      <c r="BF102" s="1308"/>
      <c r="BG102" s="1308"/>
      <c r="BH102" s="1308"/>
      <c r="BI102" s="1308"/>
      <c r="BJ102" s="1308"/>
      <c r="BK102" s="1308"/>
      <c r="BL102" s="1308"/>
      <c r="BM102" s="1308"/>
      <c r="BN102" s="1308"/>
      <c r="BO102" s="1308"/>
      <c r="BP102" s="1308"/>
      <c r="BQ102" s="1308"/>
      <c r="BR102" s="1308"/>
      <c r="BS102" s="1308"/>
      <c r="BT102" s="1308"/>
      <c r="BU102" s="1308"/>
      <c r="BV102" s="1308"/>
      <c r="BW102" s="1308"/>
      <c r="BX102" s="1308"/>
      <c r="BY102" s="1308"/>
      <c r="BZ102" s="1308"/>
      <c r="CA102" s="1308"/>
      <c r="CB102" s="1308"/>
      <c r="CC102" s="1308"/>
      <c r="CD102" s="1308"/>
      <c r="CE102" s="1308"/>
      <c r="CF102" s="1308"/>
      <c r="CG102" s="1308"/>
      <c r="CH102" s="1308"/>
      <c r="CI102" s="1308"/>
      <c r="CJ102" s="1308"/>
      <c r="CK102" s="1308"/>
      <c r="CL102" s="1308"/>
      <c r="CM102" s="1308"/>
      <c r="CN102" s="1308"/>
      <c r="CO102" s="1308"/>
      <c r="CP102" s="1308"/>
      <c r="CQ102" s="1308"/>
      <c r="CR102" s="1308"/>
      <c r="CS102" s="1308"/>
      <c r="CT102" s="1308"/>
      <c r="CU102" s="1308"/>
      <c r="CV102" s="1308"/>
      <c r="CW102" s="1308"/>
      <c r="CX102" s="1308"/>
      <c r="CY102" s="1308"/>
      <c r="CZ102" s="1308"/>
      <c r="DA102" s="1308"/>
      <c r="DB102" s="1308"/>
      <c r="DC102" s="1308"/>
      <c r="DD102" s="1308"/>
    </row>
    <row r="103" spans="1:108" s="2650" customFormat="1" ht="14.25" hidden="1" customHeight="1" thickBot="1">
      <c r="A103" s="1916"/>
      <c r="B103" s="2005" t="s">
        <v>67</v>
      </c>
      <c r="C103" s="1923"/>
      <c r="D103" s="2014">
        <f>+D104+D105</f>
        <v>0</v>
      </c>
      <c r="E103" s="2014">
        <f t="shared" ref="E103:K103" si="68">+E104+E105</f>
        <v>0</v>
      </c>
      <c r="F103" s="2014">
        <f t="shared" si="68"/>
        <v>0</v>
      </c>
      <c r="G103" s="2014">
        <f t="shared" si="68"/>
        <v>0</v>
      </c>
      <c r="H103" s="2014">
        <f t="shared" si="68"/>
        <v>0</v>
      </c>
      <c r="I103" s="2014">
        <f t="shared" si="68"/>
        <v>0</v>
      </c>
      <c r="J103" s="2014">
        <f t="shared" si="68"/>
        <v>0</v>
      </c>
      <c r="K103" s="2014">
        <f t="shared" si="68"/>
        <v>0</v>
      </c>
      <c r="L103" s="2418"/>
      <c r="M103" s="2039">
        <f>+M104+M105</f>
        <v>0</v>
      </c>
      <c r="N103" s="4196"/>
      <c r="O103" s="3042"/>
    </row>
    <row r="104" spans="1:108" s="2650" customFormat="1" ht="13.5" hidden="1" customHeight="1" thickBot="1">
      <c r="A104" s="1916"/>
      <c r="B104" s="2000" t="s">
        <v>68</v>
      </c>
      <c r="C104" s="1923"/>
      <c r="D104" s="2009">
        <v>0</v>
      </c>
      <c r="E104" s="2009">
        <v>0</v>
      </c>
      <c r="F104" s="2009">
        <v>0</v>
      </c>
      <c r="G104" s="2009">
        <v>0</v>
      </c>
      <c r="H104" s="2009">
        <v>0</v>
      </c>
      <c r="I104" s="2009">
        <v>0</v>
      </c>
      <c r="J104" s="2009">
        <v>0</v>
      </c>
      <c r="K104" s="2009">
        <v>0</v>
      </c>
      <c r="L104" s="2419"/>
      <c r="M104" s="1949">
        <f>SUM(F104:G104)</f>
        <v>0</v>
      </c>
      <c r="N104" s="4197"/>
      <c r="O104" s="3042"/>
    </row>
    <row r="105" spans="1:108" s="2650" customFormat="1" ht="13.5" hidden="1" customHeight="1">
      <c r="A105" s="1285"/>
      <c r="B105" s="1956" t="s">
        <v>8</v>
      </c>
      <c r="C105" s="1957"/>
      <c r="D105" s="1958">
        <f>+D122+D126+D131+D143</f>
        <v>0</v>
      </c>
      <c r="E105" s="1958">
        <f t="shared" ref="E105" si="69">+E122+E126+E131+E143</f>
        <v>0</v>
      </c>
      <c r="F105" s="1958">
        <f t="shared" ref="F105:K105" si="70">+F122+F126+F131+F143</f>
        <v>0</v>
      </c>
      <c r="G105" s="1958">
        <f t="shared" si="70"/>
        <v>0</v>
      </c>
      <c r="H105" s="1958">
        <f t="shared" si="70"/>
        <v>0</v>
      </c>
      <c r="I105" s="1958">
        <f t="shared" si="70"/>
        <v>0</v>
      </c>
      <c r="J105" s="1958">
        <f t="shared" si="70"/>
        <v>0</v>
      </c>
      <c r="K105" s="1958">
        <f t="shared" si="70"/>
        <v>0</v>
      </c>
      <c r="L105" s="2420"/>
      <c r="M105" s="1959">
        <f>SUM(F105:G105)</f>
        <v>0</v>
      </c>
      <c r="N105" s="4198"/>
      <c r="O105" s="3042"/>
    </row>
    <row r="106" spans="1:108" s="1309" customFormat="1" ht="13.5" hidden="1" customHeight="1">
      <c r="A106" s="2737"/>
      <c r="B106" s="1980" t="s">
        <v>9</v>
      </c>
      <c r="C106" s="1980"/>
      <c r="D106" s="1981">
        <f>D107+D111</f>
        <v>0</v>
      </c>
      <c r="E106" s="1981">
        <f>+E107+E111</f>
        <v>0</v>
      </c>
      <c r="F106" s="1981">
        <f t="shared" ref="F106:K106" si="71">+F107+F111</f>
        <v>0</v>
      </c>
      <c r="G106" s="1981">
        <f t="shared" si="71"/>
        <v>0</v>
      </c>
      <c r="H106" s="1981">
        <f t="shared" si="71"/>
        <v>0</v>
      </c>
      <c r="I106" s="1981">
        <f t="shared" si="71"/>
        <v>0</v>
      </c>
      <c r="J106" s="1981">
        <f t="shared" si="71"/>
        <v>0</v>
      </c>
      <c r="K106" s="1981">
        <f t="shared" si="71"/>
        <v>0</v>
      </c>
      <c r="L106" s="1981"/>
      <c r="M106" s="1982">
        <f>+M107</f>
        <v>0</v>
      </c>
      <c r="N106" s="4199"/>
      <c r="O106" s="1308"/>
      <c r="P106" s="1308"/>
      <c r="Q106" s="1308"/>
      <c r="R106" s="1308"/>
      <c r="S106" s="1308"/>
      <c r="T106" s="1308"/>
      <c r="U106" s="1308"/>
      <c r="V106" s="1308"/>
      <c r="W106" s="1308"/>
      <c r="X106" s="1308"/>
      <c r="Y106" s="1308"/>
      <c r="Z106" s="1308"/>
      <c r="AA106" s="1308"/>
      <c r="AB106" s="1308"/>
      <c r="AC106" s="1308"/>
      <c r="AD106" s="1308"/>
      <c r="AE106" s="1308"/>
      <c r="AF106" s="1308"/>
      <c r="AG106" s="1308"/>
      <c r="AH106" s="1308"/>
      <c r="AI106" s="1308"/>
      <c r="AJ106" s="1308"/>
      <c r="AK106" s="1308"/>
      <c r="AL106" s="1308"/>
      <c r="AM106" s="1308"/>
      <c r="AN106" s="1308"/>
      <c r="AO106" s="1308"/>
      <c r="AP106" s="1308"/>
      <c r="AQ106" s="1308"/>
      <c r="AR106" s="1308"/>
      <c r="AS106" s="1308"/>
      <c r="AT106" s="1308"/>
      <c r="AU106" s="1308"/>
      <c r="AV106" s="1308"/>
      <c r="AW106" s="1308"/>
      <c r="AX106" s="1308"/>
      <c r="AY106" s="1308"/>
      <c r="AZ106" s="1308"/>
      <c r="BA106" s="1308"/>
      <c r="BB106" s="1308"/>
      <c r="BC106" s="1308"/>
      <c r="BD106" s="1308"/>
      <c r="BE106" s="1308"/>
      <c r="BF106" s="1308"/>
      <c r="BG106" s="1308"/>
      <c r="BH106" s="1308"/>
      <c r="BI106" s="1308"/>
      <c r="BJ106" s="1308"/>
      <c r="BK106" s="1308"/>
      <c r="BL106" s="1308"/>
      <c r="BM106" s="1308"/>
      <c r="BN106" s="1308"/>
      <c r="BO106" s="1308"/>
      <c r="BP106" s="1308"/>
      <c r="BQ106" s="1308"/>
      <c r="BR106" s="1308"/>
      <c r="BS106" s="1308"/>
      <c r="BT106" s="1308"/>
      <c r="BU106" s="1308"/>
      <c r="BV106" s="1308"/>
      <c r="BW106" s="1308"/>
      <c r="BX106" s="1308"/>
      <c r="BY106" s="1308"/>
      <c r="BZ106" s="1308"/>
      <c r="CA106" s="1308"/>
      <c r="CB106" s="1308"/>
      <c r="CC106" s="1308"/>
      <c r="CD106" s="1308"/>
      <c r="CE106" s="1308"/>
      <c r="CF106" s="1308"/>
      <c r="CG106" s="1308"/>
      <c r="CH106" s="1308"/>
      <c r="CI106" s="1308"/>
      <c r="CJ106" s="1308"/>
      <c r="CK106" s="1308"/>
      <c r="CL106" s="1308"/>
      <c r="CM106" s="1308"/>
      <c r="CN106" s="1308"/>
      <c r="CO106" s="1308"/>
      <c r="CP106" s="1308"/>
      <c r="CQ106" s="1308"/>
      <c r="CR106" s="1308"/>
      <c r="CS106" s="1308"/>
      <c r="CT106" s="1308"/>
      <c r="CU106" s="1308"/>
      <c r="CV106" s="1308"/>
      <c r="CW106" s="1308"/>
      <c r="CX106" s="1308"/>
      <c r="CY106" s="1308"/>
      <c r="CZ106" s="1308"/>
      <c r="DA106" s="1308"/>
      <c r="DB106" s="1308"/>
      <c r="DC106" s="1308"/>
      <c r="DD106" s="1308"/>
    </row>
    <row r="107" spans="1:108" s="1309" customFormat="1" ht="13.5" hidden="1" customHeight="1">
      <c r="A107" s="2737"/>
      <c r="B107" s="1983" t="s">
        <v>10</v>
      </c>
      <c r="C107" s="1984"/>
      <c r="D107" s="1984">
        <f>+D108+D109+D110</f>
        <v>0</v>
      </c>
      <c r="E107" s="1984">
        <f t="shared" ref="E107:K107" si="72">+E108+E109+E110</f>
        <v>0</v>
      </c>
      <c r="F107" s="1984">
        <f t="shared" si="72"/>
        <v>0</v>
      </c>
      <c r="G107" s="1984">
        <f t="shared" si="72"/>
        <v>0</v>
      </c>
      <c r="H107" s="1984">
        <f t="shared" si="72"/>
        <v>0</v>
      </c>
      <c r="I107" s="1984">
        <f t="shared" si="72"/>
        <v>0</v>
      </c>
      <c r="J107" s="1984">
        <f t="shared" si="72"/>
        <v>0</v>
      </c>
      <c r="K107" s="1984">
        <f t="shared" si="72"/>
        <v>0</v>
      </c>
      <c r="L107" s="1984"/>
      <c r="M107" s="1985">
        <f>+M110+M109</f>
        <v>0</v>
      </c>
      <c r="N107" s="4199"/>
      <c r="O107" s="1308"/>
      <c r="P107" s="1308"/>
      <c r="Q107" s="1308"/>
      <c r="R107" s="1308"/>
      <c r="S107" s="1308"/>
      <c r="T107" s="1308"/>
      <c r="U107" s="1308"/>
      <c r="V107" s="1308"/>
      <c r="W107" s="1308"/>
      <c r="X107" s="1308"/>
      <c r="Y107" s="1308"/>
      <c r="Z107" s="1308"/>
      <c r="AA107" s="1308"/>
      <c r="AB107" s="1308"/>
      <c r="AC107" s="1308"/>
      <c r="AD107" s="1308"/>
      <c r="AE107" s="1308"/>
      <c r="AF107" s="1308"/>
      <c r="AG107" s="1308"/>
      <c r="AH107" s="1308"/>
      <c r="AI107" s="1308"/>
      <c r="AJ107" s="1308"/>
      <c r="AK107" s="1308"/>
      <c r="AL107" s="1308"/>
      <c r="AM107" s="1308"/>
      <c r="AN107" s="1308"/>
      <c r="AO107" s="1308"/>
      <c r="AP107" s="1308"/>
      <c r="AQ107" s="1308"/>
      <c r="AR107" s="1308"/>
      <c r="AS107" s="1308"/>
      <c r="AT107" s="1308"/>
      <c r="AU107" s="1308"/>
      <c r="AV107" s="1308"/>
      <c r="AW107" s="1308"/>
      <c r="AX107" s="1308"/>
      <c r="AY107" s="1308"/>
      <c r="AZ107" s="1308"/>
      <c r="BA107" s="1308"/>
      <c r="BB107" s="1308"/>
      <c r="BC107" s="1308"/>
      <c r="BD107" s="1308"/>
      <c r="BE107" s="1308"/>
      <c r="BF107" s="1308"/>
      <c r="BG107" s="1308"/>
      <c r="BH107" s="1308"/>
      <c r="BI107" s="1308"/>
      <c r="BJ107" s="1308"/>
      <c r="BK107" s="1308"/>
      <c r="BL107" s="1308"/>
      <c r="BM107" s="1308"/>
      <c r="BN107" s="1308"/>
      <c r="BO107" s="1308"/>
      <c r="BP107" s="1308"/>
      <c r="BQ107" s="1308"/>
      <c r="BR107" s="1308"/>
      <c r="BS107" s="1308"/>
      <c r="BT107" s="1308"/>
      <c r="BU107" s="1308"/>
      <c r="BV107" s="1308"/>
      <c r="BW107" s="1308"/>
      <c r="BX107" s="1308"/>
      <c r="BY107" s="1308"/>
      <c r="BZ107" s="1308"/>
      <c r="CA107" s="1308"/>
      <c r="CB107" s="1308"/>
      <c r="CC107" s="1308"/>
      <c r="CD107" s="1308"/>
      <c r="CE107" s="1308"/>
      <c r="CF107" s="1308"/>
      <c r="CG107" s="1308"/>
      <c r="CH107" s="1308"/>
      <c r="CI107" s="1308"/>
      <c r="CJ107" s="1308"/>
      <c r="CK107" s="1308"/>
      <c r="CL107" s="1308"/>
      <c r="CM107" s="1308"/>
      <c r="CN107" s="1308"/>
      <c r="CO107" s="1308"/>
      <c r="CP107" s="1308"/>
      <c r="CQ107" s="1308"/>
      <c r="CR107" s="1308"/>
      <c r="CS107" s="1308"/>
      <c r="CT107" s="1308"/>
      <c r="CU107" s="1308"/>
      <c r="CV107" s="1308"/>
      <c r="CW107" s="1308"/>
      <c r="CX107" s="1308"/>
      <c r="CY107" s="1308"/>
      <c r="CZ107" s="1308"/>
      <c r="DA107" s="1308"/>
      <c r="DB107" s="1308"/>
      <c r="DC107" s="1308"/>
      <c r="DD107" s="1308"/>
    </row>
    <row r="108" spans="1:108" s="1309" customFormat="1" ht="13.5" hidden="1" customHeight="1">
      <c r="A108" s="2737"/>
      <c r="B108" s="2030" t="s">
        <v>126</v>
      </c>
      <c r="C108" s="2030"/>
      <c r="D108" s="2030">
        <f>+D130</f>
        <v>0</v>
      </c>
      <c r="E108" s="2030">
        <f t="shared" ref="E108" si="73">+E130</f>
        <v>0</v>
      </c>
      <c r="F108" s="2030">
        <v>0</v>
      </c>
      <c r="G108" s="2030">
        <v>0</v>
      </c>
      <c r="H108" s="2030">
        <v>0</v>
      </c>
      <c r="I108" s="2030">
        <v>0</v>
      </c>
      <c r="J108" s="2030">
        <v>0</v>
      </c>
      <c r="K108" s="2030">
        <v>0</v>
      </c>
      <c r="L108" s="2030"/>
      <c r="M108" s="2031" t="s">
        <v>52</v>
      </c>
      <c r="N108" s="4199"/>
      <c r="O108" s="1308"/>
      <c r="P108" s="1308"/>
      <c r="Q108" s="1308"/>
      <c r="R108" s="1308"/>
      <c r="S108" s="1308"/>
      <c r="T108" s="1308"/>
      <c r="U108" s="1308"/>
      <c r="V108" s="1308"/>
      <c r="W108" s="1308"/>
      <c r="X108" s="1308"/>
      <c r="Y108" s="1308"/>
      <c r="Z108" s="1308"/>
      <c r="AA108" s="1308"/>
      <c r="AB108" s="1308"/>
      <c r="AC108" s="1308"/>
      <c r="AD108" s="1308"/>
      <c r="AE108" s="1308"/>
      <c r="AF108" s="1308"/>
      <c r="AG108" s="1308"/>
      <c r="AH108" s="1308"/>
      <c r="AI108" s="1308"/>
      <c r="AJ108" s="1308"/>
      <c r="AK108" s="1308"/>
      <c r="AL108" s="1308"/>
      <c r="AM108" s="1308"/>
      <c r="AN108" s="1308"/>
      <c r="AO108" s="1308"/>
      <c r="AP108" s="1308"/>
      <c r="AQ108" s="1308"/>
      <c r="AR108" s="1308"/>
      <c r="AS108" s="1308"/>
      <c r="AT108" s="1308"/>
      <c r="AU108" s="1308"/>
      <c r="AV108" s="1308"/>
      <c r="AW108" s="1308"/>
      <c r="AX108" s="1308"/>
      <c r="AY108" s="1308"/>
      <c r="AZ108" s="1308"/>
      <c r="BA108" s="1308"/>
      <c r="BB108" s="1308"/>
      <c r="BC108" s="1308"/>
      <c r="BD108" s="1308"/>
      <c r="BE108" s="1308"/>
      <c r="BF108" s="1308"/>
      <c r="BG108" s="1308"/>
      <c r="BH108" s="1308"/>
      <c r="BI108" s="1308"/>
      <c r="BJ108" s="1308"/>
      <c r="BK108" s="1308"/>
      <c r="BL108" s="1308"/>
      <c r="BM108" s="1308"/>
      <c r="BN108" s="1308"/>
      <c r="BO108" s="1308"/>
      <c r="BP108" s="1308"/>
      <c r="BQ108" s="1308"/>
      <c r="BR108" s="1308"/>
      <c r="BS108" s="1308"/>
      <c r="BT108" s="1308"/>
      <c r="BU108" s="1308"/>
      <c r="BV108" s="1308"/>
      <c r="BW108" s="1308"/>
      <c r="BX108" s="1308"/>
      <c r="BY108" s="1308"/>
      <c r="BZ108" s="1308"/>
      <c r="CA108" s="1308"/>
      <c r="CB108" s="1308"/>
      <c r="CC108" s="1308"/>
      <c r="CD108" s="1308"/>
      <c r="CE108" s="1308"/>
      <c r="CF108" s="1308"/>
      <c r="CG108" s="1308"/>
      <c r="CH108" s="1308"/>
      <c r="CI108" s="1308"/>
      <c r="CJ108" s="1308"/>
      <c r="CK108" s="1308"/>
      <c r="CL108" s="1308"/>
      <c r="CM108" s="1308"/>
      <c r="CN108" s="1308"/>
      <c r="CO108" s="1308"/>
      <c r="CP108" s="1308"/>
      <c r="CQ108" s="1308"/>
      <c r="CR108" s="1308"/>
      <c r="CS108" s="1308"/>
      <c r="CT108" s="1308"/>
      <c r="CU108" s="1308"/>
      <c r="CV108" s="1308"/>
      <c r="CW108" s="1308"/>
      <c r="CX108" s="1308"/>
      <c r="CY108" s="1308"/>
      <c r="CZ108" s="1308"/>
      <c r="DA108" s="1308"/>
      <c r="DB108" s="1308"/>
      <c r="DC108" s="1308"/>
      <c r="DD108" s="1308"/>
    </row>
    <row r="109" spans="1:108" s="1309" customFormat="1" ht="13.5" hidden="1" customHeight="1" thickBot="1">
      <c r="A109" s="1948"/>
      <c r="B109" s="1966" t="s">
        <v>127</v>
      </c>
      <c r="C109" s="1967"/>
      <c r="D109" s="1967">
        <f>+D131+D143</f>
        <v>0</v>
      </c>
      <c r="E109" s="1967">
        <f t="shared" ref="E109:H109" si="74">+E131+E143</f>
        <v>0</v>
      </c>
      <c r="F109" s="1967">
        <f t="shared" si="74"/>
        <v>0</v>
      </c>
      <c r="G109" s="1967">
        <f t="shared" si="74"/>
        <v>0</v>
      </c>
      <c r="H109" s="1967">
        <f t="shared" si="74"/>
        <v>0</v>
      </c>
      <c r="I109" s="1967">
        <v>0</v>
      </c>
      <c r="J109" s="1967">
        <v>0</v>
      </c>
      <c r="K109" s="1967">
        <v>0</v>
      </c>
      <c r="L109" s="2030"/>
      <c r="M109" s="2021">
        <f>+H109+G109+F109</f>
        <v>0</v>
      </c>
      <c r="N109" s="4197"/>
      <c r="O109" s="1308"/>
      <c r="P109" s="1308"/>
      <c r="Q109" s="1308"/>
      <c r="R109" s="1308"/>
      <c r="S109" s="1308"/>
      <c r="T109" s="1308"/>
      <c r="U109" s="1308"/>
      <c r="V109" s="1308"/>
      <c r="W109" s="1308"/>
      <c r="X109" s="1308"/>
      <c r="Y109" s="1308"/>
      <c r="Z109" s="1308"/>
      <c r="AA109" s="1308"/>
      <c r="AB109" s="1308"/>
      <c r="AC109" s="1308"/>
      <c r="AD109" s="1308"/>
      <c r="AE109" s="1308"/>
      <c r="AF109" s="1308"/>
      <c r="AG109" s="1308"/>
      <c r="AH109" s="1308"/>
      <c r="AI109" s="1308"/>
      <c r="AJ109" s="1308"/>
      <c r="AK109" s="1308"/>
      <c r="AL109" s="1308"/>
      <c r="AM109" s="1308"/>
      <c r="AN109" s="1308"/>
      <c r="AO109" s="1308"/>
      <c r="AP109" s="1308"/>
      <c r="AQ109" s="1308"/>
      <c r="AR109" s="1308"/>
      <c r="AS109" s="1308"/>
      <c r="AT109" s="1308"/>
      <c r="AU109" s="1308"/>
      <c r="AV109" s="1308"/>
      <c r="AW109" s="1308"/>
      <c r="AX109" s="1308"/>
      <c r="AY109" s="1308"/>
      <c r="AZ109" s="1308"/>
      <c r="BA109" s="1308"/>
      <c r="BB109" s="1308"/>
      <c r="BC109" s="1308"/>
      <c r="BD109" s="1308"/>
      <c r="BE109" s="1308"/>
      <c r="BF109" s="1308"/>
      <c r="BG109" s="1308"/>
      <c r="BH109" s="1308"/>
      <c r="BI109" s="1308"/>
      <c r="BJ109" s="1308"/>
      <c r="BK109" s="1308"/>
      <c r="BL109" s="1308"/>
      <c r="BM109" s="1308"/>
      <c r="BN109" s="1308"/>
      <c r="BO109" s="1308"/>
      <c r="BP109" s="1308"/>
      <c r="BQ109" s="1308"/>
      <c r="BR109" s="1308"/>
      <c r="BS109" s="1308"/>
      <c r="BT109" s="1308"/>
      <c r="BU109" s="1308"/>
      <c r="BV109" s="1308"/>
      <c r="BW109" s="1308"/>
      <c r="BX109" s="1308"/>
      <c r="BY109" s="1308"/>
      <c r="BZ109" s="1308"/>
      <c r="CA109" s="1308"/>
      <c r="CB109" s="1308"/>
      <c r="CC109" s="1308"/>
      <c r="CD109" s="1308"/>
      <c r="CE109" s="1308"/>
      <c r="CF109" s="1308"/>
      <c r="CG109" s="1308"/>
      <c r="CH109" s="1308"/>
      <c r="CI109" s="1308"/>
      <c r="CJ109" s="1308"/>
      <c r="CK109" s="1308"/>
      <c r="CL109" s="1308"/>
      <c r="CM109" s="1308"/>
      <c r="CN109" s="1308"/>
      <c r="CO109" s="1308"/>
      <c r="CP109" s="1308"/>
      <c r="CQ109" s="1308"/>
      <c r="CR109" s="1308"/>
      <c r="CS109" s="1308"/>
      <c r="CT109" s="1308"/>
      <c r="CU109" s="1308"/>
      <c r="CV109" s="1308"/>
      <c r="CW109" s="1308"/>
      <c r="CX109" s="1308"/>
      <c r="CY109" s="1308"/>
      <c r="CZ109" s="1308"/>
      <c r="DA109" s="1308"/>
      <c r="DB109" s="1308"/>
      <c r="DC109" s="1308"/>
      <c r="DD109" s="1308"/>
    </row>
    <row r="110" spans="1:108" s="1316" customFormat="1" ht="13.5" hidden="1" customHeight="1" thickBot="1">
      <c r="A110" s="1917"/>
      <c r="B110" s="2738" t="s">
        <v>11</v>
      </c>
      <c r="C110" s="1313"/>
      <c r="D110" s="1313">
        <f>+D122+D126</f>
        <v>0</v>
      </c>
      <c r="E110" s="1313">
        <f t="shared" ref="E110" si="75">+E122+E126</f>
        <v>0</v>
      </c>
      <c r="F110" s="1313">
        <v>0</v>
      </c>
      <c r="G110" s="1313">
        <v>0</v>
      </c>
      <c r="H110" s="1313">
        <v>0</v>
      </c>
      <c r="I110" s="1313"/>
      <c r="J110" s="1313"/>
      <c r="K110" s="1313"/>
      <c r="L110" s="2421"/>
      <c r="M110" s="2739">
        <f>SUM(F110:F110)</f>
        <v>0</v>
      </c>
      <c r="N110" s="4200"/>
      <c r="O110" s="1315"/>
      <c r="P110" s="1315"/>
      <c r="Q110" s="1315"/>
      <c r="R110" s="1315"/>
      <c r="S110" s="1315"/>
      <c r="T110" s="1315"/>
      <c r="U110" s="1315"/>
      <c r="V110" s="1315"/>
      <c r="W110" s="1315"/>
      <c r="X110" s="1315"/>
      <c r="Y110" s="1315"/>
      <c r="Z110" s="1315"/>
      <c r="AA110" s="1315"/>
      <c r="AB110" s="1315"/>
      <c r="AC110" s="1315"/>
      <c r="AD110" s="1315"/>
      <c r="AE110" s="1315"/>
      <c r="AF110" s="1315"/>
      <c r="AG110" s="1315"/>
      <c r="AH110" s="1315"/>
      <c r="AI110" s="1315"/>
      <c r="AJ110" s="1315"/>
      <c r="AK110" s="1315"/>
      <c r="AL110" s="1315"/>
      <c r="AM110" s="1315"/>
      <c r="AN110" s="1315"/>
      <c r="AO110" s="1315"/>
      <c r="AP110" s="1315"/>
      <c r="AQ110" s="1315"/>
      <c r="AR110" s="1315"/>
      <c r="AS110" s="1315"/>
      <c r="AT110" s="1315"/>
      <c r="AU110" s="1315"/>
      <c r="AV110" s="1315"/>
      <c r="AW110" s="1315"/>
      <c r="AX110" s="1315"/>
      <c r="AY110" s="1315"/>
      <c r="AZ110" s="1315"/>
      <c r="BA110" s="1315"/>
      <c r="BB110" s="1315"/>
      <c r="BC110" s="1315"/>
      <c r="BD110" s="1315"/>
      <c r="BE110" s="1315"/>
      <c r="BF110" s="1315"/>
      <c r="BG110" s="1315"/>
      <c r="BH110" s="1315"/>
      <c r="BI110" s="1315"/>
      <c r="BJ110" s="1315"/>
      <c r="BK110" s="1315"/>
      <c r="BL110" s="1315"/>
      <c r="BM110" s="1315"/>
      <c r="BN110" s="1315"/>
      <c r="BO110" s="1315"/>
      <c r="BP110" s="1315"/>
      <c r="BQ110" s="1315"/>
      <c r="BR110" s="1315"/>
      <c r="BS110" s="1315"/>
      <c r="BT110" s="1315"/>
      <c r="BU110" s="1315"/>
      <c r="BV110" s="1315"/>
      <c r="BW110" s="1315"/>
      <c r="BX110" s="1315"/>
      <c r="BY110" s="1315"/>
      <c r="BZ110" s="1315"/>
      <c r="CA110" s="1315"/>
      <c r="CB110" s="1315"/>
      <c r="CC110" s="1315"/>
      <c r="CD110" s="1315"/>
      <c r="CE110" s="1315"/>
      <c r="CF110" s="1315"/>
      <c r="CG110" s="1315"/>
      <c r="CH110" s="1315"/>
      <c r="CI110" s="1315"/>
      <c r="CJ110" s="1315"/>
      <c r="CK110" s="1315"/>
      <c r="CL110" s="1315"/>
      <c r="CM110" s="1315"/>
      <c r="CN110" s="1315"/>
      <c r="CO110" s="1315"/>
      <c r="CP110" s="1315"/>
      <c r="CQ110" s="1315"/>
      <c r="CR110" s="1315"/>
      <c r="CS110" s="1315"/>
      <c r="CT110" s="1315"/>
      <c r="CU110" s="1315"/>
      <c r="CV110" s="1315"/>
      <c r="CW110" s="1315"/>
      <c r="CX110" s="1315"/>
      <c r="CY110" s="1315"/>
      <c r="CZ110" s="1315"/>
      <c r="DA110" s="1315"/>
      <c r="DB110" s="1315"/>
      <c r="DC110" s="1315"/>
      <c r="DD110" s="1315"/>
    </row>
    <row r="111" spans="1:108" s="1309" customFormat="1" ht="13.5" hidden="1" customHeight="1" thickBot="1">
      <c r="A111" s="1916"/>
      <c r="B111" s="1310" t="s">
        <v>17</v>
      </c>
      <c r="C111" s="1317"/>
      <c r="D111" s="1318">
        <f>D112</f>
        <v>0</v>
      </c>
      <c r="E111" s="1318">
        <f t="shared" ref="E111:K111" si="76">E112</f>
        <v>0</v>
      </c>
      <c r="F111" s="1317">
        <f t="shared" si="76"/>
        <v>0</v>
      </c>
      <c r="G111" s="1317">
        <f t="shared" si="76"/>
        <v>0</v>
      </c>
      <c r="H111" s="1317">
        <f t="shared" si="76"/>
        <v>0</v>
      </c>
      <c r="I111" s="1317">
        <f t="shared" si="76"/>
        <v>0</v>
      </c>
      <c r="J111" s="1317">
        <f t="shared" si="76"/>
        <v>0</v>
      </c>
      <c r="K111" s="1317">
        <f t="shared" si="76"/>
        <v>0</v>
      </c>
      <c r="L111" s="2422"/>
      <c r="M111" s="2740" t="s">
        <v>52</v>
      </c>
      <c r="N111" s="1941"/>
      <c r="O111" s="1308"/>
      <c r="P111" s="1308"/>
      <c r="Q111" s="1308"/>
      <c r="R111" s="1308"/>
      <c r="S111" s="1308"/>
      <c r="T111" s="1308"/>
      <c r="U111" s="1308"/>
      <c r="V111" s="1308"/>
      <c r="W111" s="1308"/>
      <c r="X111" s="1308"/>
      <c r="Y111" s="1308"/>
      <c r="Z111" s="1308"/>
      <c r="AA111" s="1308"/>
      <c r="AB111" s="1308"/>
      <c r="AC111" s="1308"/>
      <c r="AD111" s="1308"/>
      <c r="AE111" s="1308"/>
      <c r="AF111" s="1308"/>
      <c r="AG111" s="1308"/>
      <c r="AH111" s="1308"/>
      <c r="AI111" s="1308"/>
      <c r="AJ111" s="1308"/>
      <c r="AK111" s="1308"/>
      <c r="AL111" s="1308"/>
      <c r="AM111" s="1308"/>
      <c r="AN111" s="1308"/>
      <c r="AO111" s="1308"/>
      <c r="AP111" s="1308"/>
      <c r="AQ111" s="1308"/>
      <c r="AR111" s="1308"/>
      <c r="AS111" s="1308"/>
      <c r="AT111" s="1308"/>
      <c r="AU111" s="1308"/>
      <c r="AV111" s="1308"/>
      <c r="AW111" s="1308"/>
      <c r="AX111" s="1308"/>
      <c r="AY111" s="1308"/>
      <c r="AZ111" s="1308"/>
      <c r="BA111" s="1308"/>
      <c r="BB111" s="1308"/>
      <c r="BC111" s="1308"/>
      <c r="BD111" s="1308"/>
      <c r="BE111" s="1308"/>
      <c r="BF111" s="1308"/>
      <c r="BG111" s="1308"/>
      <c r="BH111" s="1308"/>
      <c r="BI111" s="1308"/>
      <c r="BJ111" s="1308"/>
      <c r="BK111" s="1308"/>
      <c r="BL111" s="1308"/>
      <c r="BM111" s="1308"/>
      <c r="BN111" s="1308"/>
      <c r="BO111" s="1308"/>
      <c r="BP111" s="1308"/>
      <c r="BQ111" s="1308"/>
      <c r="BR111" s="1308"/>
      <c r="BS111" s="1308"/>
      <c r="BT111" s="1308"/>
      <c r="BU111" s="1308"/>
      <c r="BV111" s="1308"/>
      <c r="BW111" s="1308"/>
      <c r="BX111" s="1308"/>
      <c r="BY111" s="1308"/>
      <c r="BZ111" s="1308"/>
      <c r="CA111" s="1308"/>
      <c r="CB111" s="1308"/>
      <c r="CC111" s="1308"/>
      <c r="CD111" s="1308"/>
      <c r="CE111" s="1308"/>
      <c r="CF111" s="1308"/>
      <c r="CG111" s="1308"/>
      <c r="CH111" s="1308"/>
      <c r="CI111" s="1308"/>
      <c r="CJ111" s="1308"/>
      <c r="CK111" s="1308"/>
      <c r="CL111" s="1308"/>
      <c r="CM111" s="1308"/>
      <c r="CN111" s="1308"/>
      <c r="CO111" s="1308"/>
      <c r="CP111" s="1308"/>
      <c r="CQ111" s="1308"/>
      <c r="CR111" s="1308"/>
      <c r="CS111" s="1308"/>
      <c r="CT111" s="1308"/>
      <c r="CU111" s="1308"/>
      <c r="CV111" s="1308"/>
      <c r="CW111" s="1308"/>
      <c r="CX111" s="1308"/>
      <c r="CY111" s="1308"/>
      <c r="CZ111" s="1308"/>
      <c r="DA111" s="1308"/>
      <c r="DB111" s="1308"/>
      <c r="DC111" s="1308"/>
      <c r="DD111" s="1308"/>
    </row>
    <row r="112" spans="1:108" s="1309" customFormat="1" ht="13.5" hidden="1" customHeight="1" thickBot="1">
      <c r="A112" s="1916"/>
      <c r="B112" s="2741" t="s">
        <v>33</v>
      </c>
      <c r="C112" s="1311"/>
      <c r="D112" s="1321">
        <f>D133</f>
        <v>0</v>
      </c>
      <c r="E112" s="1321">
        <f>E133</f>
        <v>0</v>
      </c>
      <c r="F112" s="1311">
        <v>0</v>
      </c>
      <c r="G112" s="1311">
        <v>0</v>
      </c>
      <c r="H112" s="1311">
        <v>0</v>
      </c>
      <c r="I112" s="1311">
        <v>0</v>
      </c>
      <c r="J112" s="1311">
        <v>0</v>
      </c>
      <c r="K112" s="1311">
        <v>0</v>
      </c>
      <c r="L112" s="2423"/>
      <c r="M112" s="2742" t="s">
        <v>52</v>
      </c>
      <c r="N112" s="1941"/>
      <c r="O112" s="1308"/>
      <c r="P112" s="1308"/>
      <c r="Q112" s="1308"/>
      <c r="R112" s="1308"/>
      <c r="S112" s="1308"/>
      <c r="T112" s="1308"/>
      <c r="U112" s="1308"/>
      <c r="V112" s="1308"/>
      <c r="W112" s="1308"/>
      <c r="X112" s="1308"/>
      <c r="Y112" s="1308"/>
      <c r="Z112" s="1308"/>
      <c r="AA112" s="1308"/>
      <c r="AB112" s="1308"/>
      <c r="AC112" s="1308"/>
      <c r="AD112" s="1308"/>
      <c r="AE112" s="1308"/>
      <c r="AF112" s="1308"/>
      <c r="AG112" s="1308"/>
      <c r="AH112" s="1308"/>
      <c r="AI112" s="1308"/>
      <c r="AJ112" s="1308"/>
      <c r="AK112" s="1308"/>
      <c r="AL112" s="1308"/>
      <c r="AM112" s="1308"/>
      <c r="AN112" s="1308"/>
      <c r="AO112" s="1308"/>
      <c r="AP112" s="1308"/>
      <c r="AQ112" s="1308"/>
      <c r="AR112" s="1308"/>
      <c r="AS112" s="1308"/>
      <c r="AT112" s="1308"/>
      <c r="AU112" s="1308"/>
      <c r="AV112" s="1308"/>
      <c r="AW112" s="1308"/>
      <c r="AX112" s="1308"/>
      <c r="AY112" s="1308"/>
      <c r="AZ112" s="1308"/>
      <c r="BA112" s="1308"/>
      <c r="BB112" s="1308"/>
      <c r="BC112" s="1308"/>
      <c r="BD112" s="1308"/>
      <c r="BE112" s="1308"/>
      <c r="BF112" s="1308"/>
      <c r="BG112" s="1308"/>
      <c r="BH112" s="1308"/>
      <c r="BI112" s="1308"/>
      <c r="BJ112" s="1308"/>
      <c r="BK112" s="1308"/>
      <c r="BL112" s="1308"/>
      <c r="BM112" s="1308"/>
      <c r="BN112" s="1308"/>
      <c r="BO112" s="1308"/>
      <c r="BP112" s="1308"/>
      <c r="BQ112" s="1308"/>
      <c r="BR112" s="1308"/>
      <c r="BS112" s="1308"/>
      <c r="BT112" s="1308"/>
      <c r="BU112" s="1308"/>
      <c r="BV112" s="1308"/>
      <c r="BW112" s="1308"/>
      <c r="BX112" s="1308"/>
      <c r="BY112" s="1308"/>
      <c r="BZ112" s="1308"/>
      <c r="CA112" s="1308"/>
      <c r="CB112" s="1308"/>
      <c r="CC112" s="1308"/>
      <c r="CD112" s="1308"/>
      <c r="CE112" s="1308"/>
      <c r="CF112" s="1308"/>
      <c r="CG112" s="1308"/>
      <c r="CH112" s="1308"/>
      <c r="CI112" s="1308"/>
      <c r="CJ112" s="1308"/>
      <c r="CK112" s="1308"/>
      <c r="CL112" s="1308"/>
      <c r="CM112" s="1308"/>
      <c r="CN112" s="1308"/>
      <c r="CO112" s="1308"/>
      <c r="CP112" s="1308"/>
      <c r="CQ112" s="1308"/>
      <c r="CR112" s="1308"/>
      <c r="CS112" s="1308"/>
      <c r="CT112" s="1308"/>
      <c r="CU112" s="1308"/>
      <c r="CV112" s="1308"/>
      <c r="CW112" s="1308"/>
      <c r="CX112" s="1308"/>
      <c r="CY112" s="1308"/>
      <c r="CZ112" s="1308"/>
      <c r="DA112" s="1308"/>
      <c r="DB112" s="1308"/>
      <c r="DC112" s="1308"/>
      <c r="DD112" s="1308"/>
    </row>
    <row r="113" spans="1:108" s="1309" customFormat="1" ht="13.5" hidden="1" customHeight="1" thickBot="1">
      <c r="A113" s="1916"/>
      <c r="B113" s="1322" t="s">
        <v>20</v>
      </c>
      <c r="C113" s="1323"/>
      <c r="D113" s="1324">
        <f>D114+D117</f>
        <v>0</v>
      </c>
      <c r="E113" s="1324">
        <f t="shared" ref="E113:K113" si="77">E114+E117</f>
        <v>0</v>
      </c>
      <c r="F113" s="1324">
        <f t="shared" si="77"/>
        <v>0</v>
      </c>
      <c r="G113" s="1324">
        <f t="shared" si="77"/>
        <v>0</v>
      </c>
      <c r="H113" s="1324">
        <f t="shared" si="77"/>
        <v>0</v>
      </c>
      <c r="I113" s="1324">
        <f t="shared" si="77"/>
        <v>0</v>
      </c>
      <c r="J113" s="1324">
        <f t="shared" si="77"/>
        <v>0</v>
      </c>
      <c r="K113" s="1324">
        <f t="shared" si="77"/>
        <v>0</v>
      </c>
      <c r="L113" s="2424"/>
      <c r="M113" s="1933"/>
      <c r="N113" s="1941"/>
      <c r="O113" s="1308"/>
      <c r="P113" s="1308"/>
      <c r="Q113" s="1308"/>
      <c r="R113" s="1308"/>
      <c r="S113" s="1308"/>
      <c r="T113" s="1308"/>
      <c r="U113" s="1308"/>
      <c r="V113" s="1308"/>
      <c r="W113" s="1308"/>
      <c r="X113" s="1308"/>
      <c r="Y113" s="1308"/>
      <c r="Z113" s="1308"/>
      <c r="AA113" s="1308"/>
      <c r="AB113" s="1308"/>
      <c r="AC113" s="1308"/>
      <c r="AD113" s="1308"/>
      <c r="AE113" s="1308"/>
      <c r="AF113" s="1308"/>
      <c r="AG113" s="1308"/>
      <c r="AH113" s="1308"/>
      <c r="AI113" s="1308"/>
      <c r="AJ113" s="1308"/>
      <c r="AK113" s="1308"/>
      <c r="AL113" s="1308"/>
      <c r="AM113" s="1308"/>
      <c r="AN113" s="1308"/>
      <c r="AO113" s="1308"/>
      <c r="AP113" s="1308"/>
      <c r="AQ113" s="1308"/>
      <c r="AR113" s="1308"/>
      <c r="AS113" s="1308"/>
      <c r="AT113" s="1308"/>
      <c r="AU113" s="1308"/>
      <c r="AV113" s="1308"/>
      <c r="AW113" s="1308"/>
      <c r="AX113" s="1308"/>
      <c r="AY113" s="1308"/>
      <c r="AZ113" s="1308"/>
      <c r="BA113" s="1308"/>
      <c r="BB113" s="1308"/>
      <c r="BC113" s="1308"/>
      <c r="BD113" s="1308"/>
      <c r="BE113" s="1308"/>
      <c r="BF113" s="1308"/>
      <c r="BG113" s="1308"/>
      <c r="BH113" s="1308"/>
      <c r="BI113" s="1308"/>
      <c r="BJ113" s="1308"/>
      <c r="BK113" s="1308"/>
      <c r="BL113" s="1308"/>
      <c r="BM113" s="1308"/>
      <c r="BN113" s="1308"/>
      <c r="BO113" s="1308"/>
      <c r="BP113" s="1308"/>
      <c r="BQ113" s="1308"/>
      <c r="BR113" s="1308"/>
      <c r="BS113" s="1308"/>
      <c r="BT113" s="1308"/>
      <c r="BU113" s="1308"/>
      <c r="BV113" s="1308"/>
      <c r="BW113" s="1308"/>
      <c r="BX113" s="1308"/>
      <c r="BY113" s="1308"/>
      <c r="BZ113" s="1308"/>
      <c r="CA113" s="1308"/>
      <c r="CB113" s="1308"/>
      <c r="CC113" s="1308"/>
      <c r="CD113" s="1308"/>
      <c r="CE113" s="1308"/>
      <c r="CF113" s="1308"/>
      <c r="CG113" s="1308"/>
      <c r="CH113" s="1308"/>
      <c r="CI113" s="1308"/>
      <c r="CJ113" s="1308"/>
      <c r="CK113" s="1308"/>
      <c r="CL113" s="1308"/>
      <c r="CM113" s="1308"/>
      <c r="CN113" s="1308"/>
      <c r="CO113" s="1308"/>
      <c r="CP113" s="1308"/>
      <c r="CQ113" s="1308"/>
      <c r="CR113" s="1308"/>
      <c r="CS113" s="1308"/>
      <c r="CT113" s="1308"/>
      <c r="CU113" s="1308"/>
      <c r="CV113" s="1308"/>
      <c r="CW113" s="1308"/>
      <c r="CX113" s="1308"/>
      <c r="CY113" s="1308"/>
      <c r="CZ113" s="1308"/>
      <c r="DA113" s="1308"/>
      <c r="DB113" s="1308"/>
      <c r="DC113" s="1308"/>
      <c r="DD113" s="1308"/>
    </row>
    <row r="114" spans="1:108" s="1309" customFormat="1" ht="13.5" hidden="1" customHeight="1" thickBot="1">
      <c r="A114" s="1916"/>
      <c r="B114" s="1326" t="s">
        <v>22</v>
      </c>
      <c r="C114" s="1327"/>
      <c r="D114" s="1328">
        <f>+D115+D116</f>
        <v>0</v>
      </c>
      <c r="E114" s="1328">
        <f t="shared" ref="E114:H114" si="78">+E115+E116</f>
        <v>0</v>
      </c>
      <c r="F114" s="1313">
        <f t="shared" si="78"/>
        <v>0</v>
      </c>
      <c r="G114" s="1313">
        <f t="shared" si="78"/>
        <v>0</v>
      </c>
      <c r="H114" s="1313">
        <f t="shared" si="78"/>
        <v>0</v>
      </c>
      <c r="I114" s="1313">
        <v>0</v>
      </c>
      <c r="J114" s="1313">
        <v>0</v>
      </c>
      <c r="K114" s="1313">
        <v>0</v>
      </c>
      <c r="L114" s="2425"/>
      <c r="M114" s="4183" t="s">
        <v>52</v>
      </c>
      <c r="N114" s="1941"/>
      <c r="O114" s="1308"/>
      <c r="P114" s="1308"/>
      <c r="Q114" s="1308"/>
      <c r="R114" s="1308"/>
      <c r="S114" s="1308"/>
      <c r="T114" s="1308"/>
      <c r="U114" s="1308"/>
      <c r="V114" s="1308"/>
      <c r="W114" s="1308"/>
      <c r="X114" s="1308"/>
      <c r="Y114" s="1308"/>
      <c r="Z114" s="1308"/>
      <c r="AA114" s="1308"/>
      <c r="AB114" s="1308"/>
      <c r="AC114" s="1308"/>
      <c r="AD114" s="1308"/>
      <c r="AE114" s="1308"/>
      <c r="AF114" s="1308"/>
      <c r="AG114" s="1308"/>
      <c r="AH114" s="1308"/>
      <c r="AI114" s="1308"/>
      <c r="AJ114" s="1308"/>
      <c r="AK114" s="1308"/>
      <c r="AL114" s="1308"/>
      <c r="AM114" s="1308"/>
      <c r="AN114" s="1308"/>
      <c r="AO114" s="1308"/>
      <c r="AP114" s="1308"/>
      <c r="AQ114" s="1308"/>
      <c r="AR114" s="1308"/>
      <c r="AS114" s="1308"/>
      <c r="AT114" s="1308"/>
      <c r="AU114" s="1308"/>
      <c r="AV114" s="1308"/>
      <c r="AW114" s="1308"/>
      <c r="AX114" s="1308"/>
      <c r="AY114" s="1308"/>
      <c r="AZ114" s="1308"/>
      <c r="BA114" s="1308"/>
      <c r="BB114" s="1308"/>
      <c r="BC114" s="1308"/>
      <c r="BD114" s="1308"/>
      <c r="BE114" s="1308"/>
      <c r="BF114" s="1308"/>
      <c r="BG114" s="1308"/>
      <c r="BH114" s="1308"/>
      <c r="BI114" s="1308"/>
      <c r="BJ114" s="1308"/>
      <c r="BK114" s="1308"/>
      <c r="BL114" s="1308"/>
      <c r="BM114" s="1308"/>
      <c r="BN114" s="1308"/>
      <c r="BO114" s="1308"/>
      <c r="BP114" s="1308"/>
      <c r="BQ114" s="1308"/>
      <c r="BR114" s="1308"/>
      <c r="BS114" s="1308"/>
      <c r="BT114" s="1308"/>
      <c r="BU114" s="1308"/>
      <c r="BV114" s="1308"/>
      <c r="BW114" s="1308"/>
      <c r="BX114" s="1308"/>
      <c r="BY114" s="1308"/>
      <c r="BZ114" s="1308"/>
      <c r="CA114" s="1308"/>
      <c r="CB114" s="1308"/>
      <c r="CC114" s="1308"/>
      <c r="CD114" s="1308"/>
      <c r="CE114" s="1308"/>
      <c r="CF114" s="1308"/>
      <c r="CG114" s="1308"/>
      <c r="CH114" s="1308"/>
      <c r="CI114" s="1308"/>
      <c r="CJ114" s="1308"/>
      <c r="CK114" s="1308"/>
      <c r="CL114" s="1308"/>
      <c r="CM114" s="1308"/>
      <c r="CN114" s="1308"/>
      <c r="CO114" s="1308"/>
      <c r="CP114" s="1308"/>
      <c r="CQ114" s="1308"/>
      <c r="CR114" s="1308"/>
      <c r="CS114" s="1308"/>
      <c r="CT114" s="1308"/>
      <c r="CU114" s="1308"/>
      <c r="CV114" s="1308"/>
      <c r="CW114" s="1308"/>
      <c r="CX114" s="1308"/>
      <c r="CY114" s="1308"/>
      <c r="CZ114" s="1308"/>
      <c r="DA114" s="1308"/>
      <c r="DB114" s="1308"/>
      <c r="DC114" s="1308"/>
      <c r="DD114" s="1308"/>
    </row>
    <row r="115" spans="1:108" s="1309" customFormat="1" ht="13.5" hidden="1" customHeight="1" thickBot="1">
      <c r="A115" s="1916"/>
      <c r="B115" s="2738" t="s">
        <v>126</v>
      </c>
      <c r="C115" s="1313"/>
      <c r="D115" s="1313">
        <f>+D136</f>
        <v>0</v>
      </c>
      <c r="E115" s="1313">
        <f t="shared" ref="E115:E116" si="79">+E136</f>
        <v>0</v>
      </c>
      <c r="F115" s="1313">
        <v>0</v>
      </c>
      <c r="G115" s="1313">
        <v>0</v>
      </c>
      <c r="H115" s="1313">
        <v>0</v>
      </c>
      <c r="I115" s="1313">
        <v>0</v>
      </c>
      <c r="J115" s="1313">
        <v>0</v>
      </c>
      <c r="K115" s="1313">
        <v>0</v>
      </c>
      <c r="L115" s="2426"/>
      <c r="M115" s="4184"/>
      <c r="N115" s="1941"/>
      <c r="O115" s="1308"/>
      <c r="P115" s="1308"/>
      <c r="Q115" s="1308"/>
      <c r="R115" s="1308"/>
      <c r="S115" s="1308"/>
      <c r="T115" s="1308"/>
      <c r="U115" s="1308"/>
      <c r="V115" s="1308"/>
      <c r="W115" s="1308"/>
      <c r="X115" s="1308"/>
      <c r="Y115" s="1308"/>
      <c r="Z115" s="1308"/>
      <c r="AA115" s="1308"/>
      <c r="AB115" s="1308"/>
      <c r="AC115" s="1308"/>
      <c r="AD115" s="1308"/>
      <c r="AE115" s="1308"/>
      <c r="AF115" s="1308"/>
      <c r="AG115" s="1308"/>
      <c r="AH115" s="1308"/>
      <c r="AI115" s="1308"/>
      <c r="AJ115" s="1308"/>
      <c r="AK115" s="1308"/>
      <c r="AL115" s="1308"/>
      <c r="AM115" s="1308"/>
      <c r="AN115" s="1308"/>
      <c r="AO115" s="1308"/>
      <c r="AP115" s="1308"/>
      <c r="AQ115" s="1308"/>
      <c r="AR115" s="1308"/>
      <c r="AS115" s="1308"/>
      <c r="AT115" s="1308"/>
      <c r="AU115" s="1308"/>
      <c r="AV115" s="1308"/>
      <c r="AW115" s="1308"/>
      <c r="AX115" s="1308"/>
      <c r="AY115" s="1308"/>
      <c r="AZ115" s="1308"/>
      <c r="BA115" s="1308"/>
      <c r="BB115" s="1308"/>
      <c r="BC115" s="1308"/>
      <c r="BD115" s="1308"/>
      <c r="BE115" s="1308"/>
      <c r="BF115" s="1308"/>
      <c r="BG115" s="1308"/>
      <c r="BH115" s="1308"/>
      <c r="BI115" s="1308"/>
      <c r="BJ115" s="1308"/>
      <c r="BK115" s="1308"/>
      <c r="BL115" s="1308"/>
      <c r="BM115" s="1308"/>
      <c r="BN115" s="1308"/>
      <c r="BO115" s="1308"/>
      <c r="BP115" s="1308"/>
      <c r="BQ115" s="1308"/>
      <c r="BR115" s="1308"/>
      <c r="BS115" s="1308"/>
      <c r="BT115" s="1308"/>
      <c r="BU115" s="1308"/>
      <c r="BV115" s="1308"/>
      <c r="BW115" s="1308"/>
      <c r="BX115" s="1308"/>
      <c r="BY115" s="1308"/>
      <c r="BZ115" s="1308"/>
      <c r="CA115" s="1308"/>
      <c r="CB115" s="1308"/>
      <c r="CC115" s="1308"/>
      <c r="CD115" s="1308"/>
      <c r="CE115" s="1308"/>
      <c r="CF115" s="1308"/>
      <c r="CG115" s="1308"/>
      <c r="CH115" s="1308"/>
      <c r="CI115" s="1308"/>
      <c r="CJ115" s="1308"/>
      <c r="CK115" s="1308"/>
      <c r="CL115" s="1308"/>
      <c r="CM115" s="1308"/>
      <c r="CN115" s="1308"/>
      <c r="CO115" s="1308"/>
      <c r="CP115" s="1308"/>
      <c r="CQ115" s="1308"/>
      <c r="CR115" s="1308"/>
      <c r="CS115" s="1308"/>
      <c r="CT115" s="1308"/>
      <c r="CU115" s="1308"/>
      <c r="CV115" s="1308"/>
      <c r="CW115" s="1308"/>
      <c r="CX115" s="1308"/>
      <c r="CY115" s="1308"/>
      <c r="CZ115" s="1308"/>
      <c r="DA115" s="1308"/>
      <c r="DB115" s="1308"/>
      <c r="DC115" s="1308"/>
      <c r="DD115" s="1308"/>
    </row>
    <row r="116" spans="1:108" s="1309" customFormat="1" ht="13.5" hidden="1" customHeight="1" thickBot="1">
      <c r="A116" s="1916"/>
      <c r="B116" s="2738" t="s">
        <v>128</v>
      </c>
      <c r="C116" s="1313"/>
      <c r="D116" s="1313">
        <f>+D137</f>
        <v>0</v>
      </c>
      <c r="E116" s="1313">
        <f t="shared" si="79"/>
        <v>0</v>
      </c>
      <c r="F116" s="1313">
        <v>0</v>
      </c>
      <c r="G116" s="1313">
        <v>0</v>
      </c>
      <c r="H116" s="1313">
        <v>0</v>
      </c>
      <c r="I116" s="1313"/>
      <c r="J116" s="1313"/>
      <c r="K116" s="1313"/>
      <c r="L116" s="2426"/>
      <c r="M116" s="4184"/>
      <c r="N116" s="1941"/>
      <c r="O116" s="1308"/>
      <c r="P116" s="1308"/>
      <c r="Q116" s="1308"/>
      <c r="R116" s="1308"/>
      <c r="S116" s="1308"/>
      <c r="T116" s="1308"/>
      <c r="U116" s="1308"/>
      <c r="V116" s="1308"/>
      <c r="W116" s="1308"/>
      <c r="X116" s="1308"/>
      <c r="Y116" s="1308"/>
      <c r="Z116" s="1308"/>
      <c r="AA116" s="1308"/>
      <c r="AB116" s="1308"/>
      <c r="AC116" s="1308"/>
      <c r="AD116" s="1308"/>
      <c r="AE116" s="1308"/>
      <c r="AF116" s="1308"/>
      <c r="AG116" s="1308"/>
      <c r="AH116" s="1308"/>
      <c r="AI116" s="1308"/>
      <c r="AJ116" s="1308"/>
      <c r="AK116" s="1308"/>
      <c r="AL116" s="1308"/>
      <c r="AM116" s="1308"/>
      <c r="AN116" s="1308"/>
      <c r="AO116" s="1308"/>
      <c r="AP116" s="1308"/>
      <c r="AQ116" s="1308"/>
      <c r="AR116" s="1308"/>
      <c r="AS116" s="1308"/>
      <c r="AT116" s="1308"/>
      <c r="AU116" s="1308"/>
      <c r="AV116" s="1308"/>
      <c r="AW116" s="1308"/>
      <c r="AX116" s="1308"/>
      <c r="AY116" s="1308"/>
      <c r="AZ116" s="1308"/>
      <c r="BA116" s="1308"/>
      <c r="BB116" s="1308"/>
      <c r="BC116" s="1308"/>
      <c r="BD116" s="1308"/>
      <c r="BE116" s="1308"/>
      <c r="BF116" s="1308"/>
      <c r="BG116" s="1308"/>
      <c r="BH116" s="1308"/>
      <c r="BI116" s="1308"/>
      <c r="BJ116" s="1308"/>
      <c r="BK116" s="1308"/>
      <c r="BL116" s="1308"/>
      <c r="BM116" s="1308"/>
      <c r="BN116" s="1308"/>
      <c r="BO116" s="1308"/>
      <c r="BP116" s="1308"/>
      <c r="BQ116" s="1308"/>
      <c r="BR116" s="1308"/>
      <c r="BS116" s="1308"/>
      <c r="BT116" s="1308"/>
      <c r="BU116" s="1308"/>
      <c r="BV116" s="1308"/>
      <c r="BW116" s="1308"/>
      <c r="BX116" s="1308"/>
      <c r="BY116" s="1308"/>
      <c r="BZ116" s="1308"/>
      <c r="CA116" s="1308"/>
      <c r="CB116" s="1308"/>
      <c r="CC116" s="1308"/>
      <c r="CD116" s="1308"/>
      <c r="CE116" s="1308"/>
      <c r="CF116" s="1308"/>
      <c r="CG116" s="1308"/>
      <c r="CH116" s="1308"/>
      <c r="CI116" s="1308"/>
      <c r="CJ116" s="1308"/>
      <c r="CK116" s="1308"/>
      <c r="CL116" s="1308"/>
      <c r="CM116" s="1308"/>
      <c r="CN116" s="1308"/>
      <c r="CO116" s="1308"/>
      <c r="CP116" s="1308"/>
      <c r="CQ116" s="1308"/>
      <c r="CR116" s="1308"/>
      <c r="CS116" s="1308"/>
      <c r="CT116" s="1308"/>
      <c r="CU116" s="1308"/>
      <c r="CV116" s="1308"/>
      <c r="CW116" s="1308"/>
      <c r="CX116" s="1308"/>
      <c r="CY116" s="1308"/>
      <c r="CZ116" s="1308"/>
      <c r="DA116" s="1308"/>
      <c r="DB116" s="1308"/>
      <c r="DC116" s="1308"/>
      <c r="DD116" s="1308"/>
    </row>
    <row r="117" spans="1:108" s="1331" customFormat="1" ht="13.5" hidden="1" customHeight="1">
      <c r="A117" s="1918"/>
      <c r="B117" s="1326" t="s">
        <v>17</v>
      </c>
      <c r="C117" s="1329"/>
      <c r="D117" s="1329">
        <f>+D118</f>
        <v>0</v>
      </c>
      <c r="E117" s="1329">
        <f t="shared" ref="E117:K117" si="80">+E118</f>
        <v>0</v>
      </c>
      <c r="F117" s="1329">
        <f t="shared" si="80"/>
        <v>0</v>
      </c>
      <c r="G117" s="1329">
        <f t="shared" si="80"/>
        <v>0</v>
      </c>
      <c r="H117" s="1329">
        <f t="shared" si="80"/>
        <v>0</v>
      </c>
      <c r="I117" s="1329">
        <f t="shared" si="80"/>
        <v>0</v>
      </c>
      <c r="J117" s="1329">
        <f t="shared" si="80"/>
        <v>0</v>
      </c>
      <c r="K117" s="1329">
        <f t="shared" si="80"/>
        <v>0</v>
      </c>
      <c r="L117" s="2427"/>
      <c r="M117" s="4184"/>
      <c r="N117" s="1942"/>
      <c r="O117" s="1330"/>
      <c r="P117" s="1330"/>
      <c r="Q117" s="1330"/>
      <c r="R117" s="1330"/>
      <c r="S117" s="1330"/>
      <c r="T117" s="1330"/>
      <c r="U117" s="1330"/>
      <c r="V117" s="1330"/>
      <c r="W117" s="1330"/>
      <c r="X117" s="1330"/>
      <c r="Y117" s="1330"/>
      <c r="Z117" s="1330"/>
      <c r="AA117" s="1330"/>
      <c r="AB117" s="1330"/>
      <c r="AC117" s="1330"/>
      <c r="AD117" s="1330"/>
      <c r="AE117" s="1330"/>
      <c r="AF117" s="1330"/>
      <c r="AG117" s="1330"/>
      <c r="AH117" s="1330"/>
      <c r="AI117" s="1330"/>
      <c r="AJ117" s="1330"/>
      <c r="AK117" s="1330"/>
      <c r="AL117" s="1330"/>
      <c r="AM117" s="1330"/>
      <c r="AN117" s="1330"/>
      <c r="AO117" s="1330"/>
      <c r="AP117" s="1330"/>
      <c r="AQ117" s="1330"/>
      <c r="AR117" s="1330"/>
      <c r="AS117" s="1330"/>
      <c r="AT117" s="1330"/>
      <c r="AU117" s="1330"/>
      <c r="AV117" s="1330"/>
      <c r="AW117" s="1330"/>
      <c r="AX117" s="1330"/>
      <c r="AY117" s="1330"/>
      <c r="AZ117" s="1330"/>
      <c r="BA117" s="1330"/>
      <c r="BB117" s="1330"/>
      <c r="BC117" s="1330"/>
      <c r="BD117" s="1330"/>
      <c r="BE117" s="1330"/>
      <c r="BF117" s="1330"/>
      <c r="BG117" s="1330"/>
      <c r="BH117" s="1330"/>
      <c r="BI117" s="1330"/>
      <c r="BJ117" s="1330"/>
      <c r="BK117" s="1330"/>
      <c r="BL117" s="1330"/>
      <c r="BM117" s="1330"/>
      <c r="BN117" s="1330"/>
      <c r="BO117" s="1330"/>
      <c r="BP117" s="1330"/>
      <c r="BQ117" s="1330"/>
      <c r="BR117" s="1330"/>
      <c r="BS117" s="1330"/>
      <c r="BT117" s="1330"/>
      <c r="BU117" s="1330"/>
      <c r="BV117" s="1330"/>
      <c r="BW117" s="1330"/>
      <c r="BX117" s="1330"/>
      <c r="BY117" s="1330"/>
      <c r="BZ117" s="1330"/>
      <c r="CA117" s="1330"/>
      <c r="CB117" s="1330"/>
      <c r="CC117" s="1330"/>
      <c r="CD117" s="1330"/>
      <c r="CE117" s="1330"/>
      <c r="CF117" s="1330"/>
      <c r="CG117" s="1330"/>
      <c r="CH117" s="1330"/>
      <c r="CI117" s="1330"/>
      <c r="CJ117" s="1330"/>
      <c r="CK117" s="1330"/>
      <c r="CL117" s="1330"/>
      <c r="CM117" s="1330"/>
      <c r="CN117" s="1330"/>
      <c r="CO117" s="1330"/>
      <c r="CP117" s="1330"/>
      <c r="CQ117" s="1330"/>
      <c r="CR117" s="1330"/>
      <c r="CS117" s="1330"/>
      <c r="CT117" s="1330"/>
      <c r="CU117" s="1330"/>
      <c r="CV117" s="1330"/>
      <c r="CW117" s="1330"/>
      <c r="CX117" s="1330"/>
      <c r="CY117" s="1330"/>
      <c r="CZ117" s="1330"/>
      <c r="DA117" s="1330"/>
      <c r="DB117" s="1330"/>
      <c r="DC117" s="1330"/>
      <c r="DD117" s="1330"/>
    </row>
    <row r="118" spans="1:108" s="1309" customFormat="1" ht="13.5" hidden="1" customHeight="1" thickBot="1">
      <c r="A118" s="1285"/>
      <c r="B118" s="2738" t="s">
        <v>33</v>
      </c>
      <c r="C118" s="1313"/>
      <c r="D118" s="1313">
        <f>+D139</f>
        <v>0</v>
      </c>
      <c r="E118" s="1313">
        <f t="shared" ref="E118" si="81">+E139</f>
        <v>0</v>
      </c>
      <c r="F118" s="1313">
        <v>0</v>
      </c>
      <c r="G118" s="1313">
        <v>0</v>
      </c>
      <c r="H118" s="1313">
        <v>0</v>
      </c>
      <c r="I118" s="1313">
        <v>0</v>
      </c>
      <c r="J118" s="1313">
        <v>0</v>
      </c>
      <c r="K118" s="1313">
        <v>0</v>
      </c>
      <c r="L118" s="2428"/>
      <c r="M118" s="4176"/>
      <c r="N118" s="1320"/>
      <c r="O118" s="1308"/>
      <c r="P118" s="1308"/>
      <c r="Q118" s="1308"/>
      <c r="R118" s="1308"/>
      <c r="S118" s="1308"/>
      <c r="T118" s="1308"/>
      <c r="U118" s="1308"/>
      <c r="V118" s="1308"/>
      <c r="W118" s="1308"/>
      <c r="X118" s="1308"/>
      <c r="Y118" s="1308"/>
      <c r="Z118" s="1308"/>
      <c r="AA118" s="1308"/>
      <c r="AB118" s="1308"/>
      <c r="AC118" s="1308"/>
      <c r="AD118" s="1308"/>
      <c r="AE118" s="1308"/>
      <c r="AF118" s="1308"/>
      <c r="AG118" s="1308"/>
      <c r="AH118" s="1308"/>
      <c r="AI118" s="1308"/>
      <c r="AJ118" s="1308"/>
      <c r="AK118" s="1308"/>
      <c r="AL118" s="1308"/>
      <c r="AM118" s="1308"/>
      <c r="AN118" s="1308"/>
      <c r="AO118" s="1308"/>
      <c r="AP118" s="1308"/>
      <c r="AQ118" s="1308"/>
      <c r="AR118" s="1308"/>
      <c r="AS118" s="1308"/>
      <c r="AT118" s="1308"/>
      <c r="AU118" s="1308"/>
      <c r="AV118" s="1308"/>
      <c r="AW118" s="1308"/>
      <c r="AX118" s="1308"/>
      <c r="AY118" s="1308"/>
      <c r="AZ118" s="1308"/>
      <c r="BA118" s="1308"/>
      <c r="BB118" s="1308"/>
      <c r="BC118" s="1308"/>
      <c r="BD118" s="1308"/>
      <c r="BE118" s="1308"/>
      <c r="BF118" s="1308"/>
      <c r="BG118" s="1308"/>
      <c r="BH118" s="1308"/>
      <c r="BI118" s="1308"/>
      <c r="BJ118" s="1308"/>
      <c r="BK118" s="1308"/>
      <c r="BL118" s="1308"/>
      <c r="BM118" s="1308"/>
      <c r="BN118" s="1308"/>
      <c r="BO118" s="1308"/>
      <c r="BP118" s="1308"/>
      <c r="BQ118" s="1308"/>
      <c r="BR118" s="1308"/>
      <c r="BS118" s="1308"/>
      <c r="BT118" s="1308"/>
      <c r="BU118" s="1308"/>
      <c r="BV118" s="1308"/>
      <c r="BW118" s="1308"/>
      <c r="BX118" s="1308"/>
      <c r="BY118" s="1308"/>
      <c r="BZ118" s="1308"/>
      <c r="CA118" s="1308"/>
      <c r="CB118" s="1308"/>
      <c r="CC118" s="1308"/>
      <c r="CD118" s="1308"/>
      <c r="CE118" s="1308"/>
      <c r="CF118" s="1308"/>
      <c r="CG118" s="1308"/>
      <c r="CH118" s="1308"/>
      <c r="CI118" s="1308"/>
      <c r="CJ118" s="1308"/>
      <c r="CK118" s="1308"/>
      <c r="CL118" s="1308"/>
      <c r="CM118" s="1308"/>
      <c r="CN118" s="1308"/>
      <c r="CO118" s="1308"/>
      <c r="CP118" s="1308"/>
      <c r="CQ118" s="1308"/>
      <c r="CR118" s="1308"/>
      <c r="CS118" s="1308"/>
      <c r="CT118" s="1308"/>
      <c r="CU118" s="1308"/>
      <c r="CV118" s="1308"/>
      <c r="CW118" s="1308"/>
      <c r="CX118" s="1308"/>
      <c r="CY118" s="1308"/>
      <c r="CZ118" s="1308"/>
      <c r="DA118" s="1308"/>
      <c r="DB118" s="1308"/>
      <c r="DC118" s="1308"/>
      <c r="DD118" s="1308"/>
    </row>
    <row r="119" spans="1:108" s="1309" customFormat="1" ht="39.75" hidden="1" customHeight="1">
      <c r="A119" s="4180" t="s">
        <v>54</v>
      </c>
      <c r="B119" s="1332" t="s">
        <v>129</v>
      </c>
      <c r="C119" s="1333" t="s">
        <v>72</v>
      </c>
      <c r="D119" s="1334"/>
      <c r="E119" s="1335"/>
      <c r="F119" s="1335"/>
      <c r="G119" s="1335"/>
      <c r="H119" s="1335"/>
      <c r="I119" s="1335"/>
      <c r="J119" s="1335"/>
      <c r="K119" s="1335"/>
      <c r="L119" s="1335"/>
      <c r="M119" s="1336"/>
      <c r="N119" s="4193" t="s">
        <v>130</v>
      </c>
      <c r="O119" s="1308"/>
      <c r="P119" s="1308"/>
      <c r="Q119" s="1308"/>
      <c r="R119" s="1308"/>
      <c r="S119" s="1308"/>
      <c r="T119" s="1308"/>
      <c r="U119" s="1308"/>
      <c r="V119" s="1308"/>
      <c r="W119" s="1308"/>
      <c r="X119" s="1308"/>
      <c r="Y119" s="1308"/>
      <c r="Z119" s="1308"/>
      <c r="AA119" s="1308"/>
      <c r="AB119" s="1308"/>
      <c r="AC119" s="1308"/>
      <c r="AD119" s="1308"/>
      <c r="AE119" s="1308"/>
      <c r="AF119" s="1308"/>
      <c r="AG119" s="1308"/>
      <c r="AH119" s="1308"/>
      <c r="AI119" s="1308"/>
      <c r="AJ119" s="1308"/>
      <c r="AK119" s="1308"/>
      <c r="AL119" s="1308"/>
      <c r="AM119" s="1308"/>
      <c r="AN119" s="1308"/>
      <c r="AO119" s="1308"/>
      <c r="AP119" s="1308"/>
      <c r="AQ119" s="1308"/>
      <c r="AR119" s="1308"/>
      <c r="AS119" s="1308"/>
      <c r="AT119" s="1308"/>
      <c r="AU119" s="1308"/>
      <c r="AV119" s="1308"/>
      <c r="AW119" s="1308"/>
      <c r="AX119" s="1308"/>
      <c r="AY119" s="1308"/>
      <c r="AZ119" s="1308"/>
      <c r="BA119" s="1308"/>
      <c r="BB119" s="1308"/>
      <c r="BC119" s="1308"/>
      <c r="BD119" s="1308"/>
      <c r="BE119" s="1308"/>
      <c r="BF119" s="1308"/>
      <c r="BG119" s="1308"/>
      <c r="BH119" s="1308"/>
      <c r="BI119" s="1308"/>
      <c r="BJ119" s="1308"/>
      <c r="BK119" s="1308"/>
      <c r="BL119" s="1308"/>
      <c r="BM119" s="1308"/>
      <c r="BN119" s="1308"/>
      <c r="BO119" s="1308"/>
      <c r="BP119" s="1308"/>
      <c r="BQ119" s="1308"/>
      <c r="BR119" s="1308"/>
      <c r="BS119" s="1308"/>
      <c r="BT119" s="1308"/>
      <c r="BU119" s="1308"/>
      <c r="BV119" s="1308"/>
      <c r="BW119" s="1308"/>
      <c r="BX119" s="1308"/>
      <c r="BY119" s="1308"/>
      <c r="BZ119" s="1308"/>
      <c r="CA119" s="1308"/>
      <c r="CB119" s="1308"/>
      <c r="CC119" s="1308"/>
      <c r="CD119" s="1308"/>
      <c r="CE119" s="1308"/>
      <c r="CF119" s="1308"/>
      <c r="CG119" s="1308"/>
      <c r="CH119" s="1308"/>
      <c r="CI119" s="1308"/>
      <c r="CJ119" s="1308"/>
      <c r="CK119" s="1308"/>
      <c r="CL119" s="1308"/>
      <c r="CM119" s="1308"/>
      <c r="CN119" s="1308"/>
      <c r="CO119" s="1308"/>
      <c r="CP119" s="1308"/>
      <c r="CQ119" s="1308"/>
      <c r="CR119" s="1308"/>
      <c r="CS119" s="1308"/>
      <c r="CT119" s="1308"/>
      <c r="CU119" s="1308"/>
      <c r="CV119" s="1308"/>
      <c r="CW119" s="1308"/>
      <c r="CX119" s="1308"/>
      <c r="CY119" s="1308"/>
      <c r="CZ119" s="1308"/>
      <c r="DA119" s="1308"/>
      <c r="DB119" s="1308"/>
      <c r="DC119" s="1308"/>
      <c r="DD119" s="1308"/>
    </row>
    <row r="120" spans="1:108" s="1309" customFormat="1" ht="18.75" hidden="1" customHeight="1">
      <c r="A120" s="4181"/>
      <c r="B120" s="1337" t="s">
        <v>9</v>
      </c>
      <c r="C120" s="1338"/>
      <c r="D120" s="1307"/>
      <c r="E120" s="1307"/>
      <c r="F120" s="1307">
        <f t="shared" ref="F120:F121" si="82">F121</f>
        <v>0</v>
      </c>
      <c r="G120" s="1307"/>
      <c r="H120" s="1307"/>
      <c r="I120" s="1307"/>
      <c r="J120" s="1307"/>
      <c r="K120" s="1307"/>
      <c r="L120" s="1307"/>
      <c r="M120" s="1325">
        <f>+M121</f>
        <v>0</v>
      </c>
      <c r="N120" s="4194"/>
      <c r="O120" s="1308"/>
      <c r="P120" s="1308"/>
      <c r="Q120" s="1308"/>
      <c r="R120" s="1308"/>
      <c r="S120" s="1308"/>
      <c r="T120" s="1308"/>
      <c r="U120" s="1308"/>
      <c r="V120" s="1308"/>
      <c r="W120" s="1308"/>
      <c r="X120" s="1308"/>
      <c r="Y120" s="1308"/>
      <c r="Z120" s="1308"/>
      <c r="AA120" s="1308"/>
      <c r="AB120" s="1308"/>
      <c r="AC120" s="1308"/>
      <c r="AD120" s="1308"/>
      <c r="AE120" s="1308"/>
      <c r="AF120" s="1308"/>
      <c r="AG120" s="1308"/>
      <c r="AH120" s="1308"/>
      <c r="AI120" s="1308"/>
      <c r="AJ120" s="1308"/>
      <c r="AK120" s="1308"/>
      <c r="AL120" s="1308"/>
      <c r="AM120" s="1308"/>
      <c r="AN120" s="1308"/>
      <c r="AO120" s="1308"/>
      <c r="AP120" s="1308"/>
      <c r="AQ120" s="1308"/>
      <c r="AR120" s="1308"/>
      <c r="AS120" s="1308"/>
      <c r="AT120" s="1308"/>
      <c r="AU120" s="1308"/>
      <c r="AV120" s="1308"/>
      <c r="AW120" s="1308"/>
      <c r="AX120" s="1308"/>
      <c r="AY120" s="1308"/>
      <c r="AZ120" s="1308"/>
      <c r="BA120" s="1308"/>
      <c r="BB120" s="1308"/>
      <c r="BC120" s="1308"/>
      <c r="BD120" s="1308"/>
      <c r="BE120" s="1308"/>
      <c r="BF120" s="1308"/>
      <c r="BG120" s="1308"/>
      <c r="BH120" s="1308"/>
      <c r="BI120" s="1308"/>
      <c r="BJ120" s="1308"/>
      <c r="BK120" s="1308"/>
      <c r="BL120" s="1308"/>
      <c r="BM120" s="1308"/>
      <c r="BN120" s="1308"/>
      <c r="BO120" s="1308"/>
      <c r="BP120" s="1308"/>
      <c r="BQ120" s="1308"/>
      <c r="BR120" s="1308"/>
      <c r="BS120" s="1308"/>
      <c r="BT120" s="1308"/>
      <c r="BU120" s="1308"/>
      <c r="BV120" s="1308"/>
      <c r="BW120" s="1308"/>
      <c r="BX120" s="1308"/>
      <c r="BY120" s="1308"/>
      <c r="BZ120" s="1308"/>
      <c r="CA120" s="1308"/>
      <c r="CB120" s="1308"/>
      <c r="CC120" s="1308"/>
      <c r="CD120" s="1308"/>
      <c r="CE120" s="1308"/>
      <c r="CF120" s="1308"/>
      <c r="CG120" s="1308"/>
      <c r="CH120" s="1308"/>
      <c r="CI120" s="1308"/>
      <c r="CJ120" s="1308"/>
      <c r="CK120" s="1308"/>
      <c r="CL120" s="1308"/>
      <c r="CM120" s="1308"/>
      <c r="CN120" s="1308"/>
      <c r="CO120" s="1308"/>
      <c r="CP120" s="1308"/>
      <c r="CQ120" s="1308"/>
      <c r="CR120" s="1308"/>
      <c r="CS120" s="1308"/>
      <c r="CT120" s="1308"/>
      <c r="CU120" s="1308"/>
      <c r="CV120" s="1308"/>
      <c r="CW120" s="1308"/>
      <c r="CX120" s="1308"/>
      <c r="CY120" s="1308"/>
      <c r="CZ120" s="1308"/>
      <c r="DA120" s="1308"/>
      <c r="DB120" s="1308"/>
      <c r="DC120" s="1308"/>
      <c r="DD120" s="1308"/>
    </row>
    <row r="121" spans="1:108" s="1315" customFormat="1" ht="18.75" hidden="1" customHeight="1">
      <c r="A121" s="4181"/>
      <c r="B121" s="1339" t="s">
        <v>22</v>
      </c>
      <c r="C121" s="4177" t="s">
        <v>131</v>
      </c>
      <c r="D121" s="1340"/>
      <c r="E121" s="1340"/>
      <c r="F121" s="1340">
        <f t="shared" si="82"/>
        <v>0</v>
      </c>
      <c r="G121" s="1340"/>
      <c r="H121" s="1340"/>
      <c r="I121" s="1340"/>
      <c r="J121" s="1340"/>
      <c r="K121" s="1340"/>
      <c r="L121" s="1340"/>
      <c r="M121" s="1341">
        <f>+M122</f>
        <v>0</v>
      </c>
      <c r="N121" s="4194"/>
    </row>
    <row r="122" spans="1:108" s="1309" customFormat="1" ht="18.75" hidden="1" customHeight="1" thickBot="1">
      <c r="A122" s="4182"/>
      <c r="B122" s="2743" t="s">
        <v>11</v>
      </c>
      <c r="C122" s="4189"/>
      <c r="D122" s="1342"/>
      <c r="E122" s="1342"/>
      <c r="F122" s="1342">
        <v>0</v>
      </c>
      <c r="G122" s="1342"/>
      <c r="H122" s="1342"/>
      <c r="I122" s="1342"/>
      <c r="J122" s="1342"/>
      <c r="K122" s="1342"/>
      <c r="L122" s="1342"/>
      <c r="M122" s="1314">
        <f>SUM(F122:G122)</f>
        <v>0</v>
      </c>
      <c r="N122" s="4195"/>
      <c r="O122" s="1308"/>
      <c r="P122" s="1308"/>
      <c r="Q122" s="1308"/>
      <c r="R122" s="1308"/>
      <c r="S122" s="1308"/>
      <c r="T122" s="1308"/>
      <c r="U122" s="1308"/>
      <c r="V122" s="1308"/>
      <c r="W122" s="1308"/>
      <c r="X122" s="1308"/>
      <c r="Y122" s="1308"/>
      <c r="Z122" s="1308"/>
      <c r="AA122" s="1308"/>
      <c r="AB122" s="1308"/>
      <c r="AC122" s="1308"/>
      <c r="AD122" s="1308"/>
      <c r="AE122" s="1308"/>
      <c r="AF122" s="1308"/>
      <c r="AG122" s="1308"/>
      <c r="AH122" s="1308"/>
      <c r="AI122" s="1308"/>
      <c r="AJ122" s="1308"/>
      <c r="AK122" s="1308"/>
      <c r="AL122" s="1308"/>
      <c r="AM122" s="1308"/>
      <c r="AN122" s="1308"/>
      <c r="AO122" s="1308"/>
      <c r="AP122" s="1308"/>
      <c r="AQ122" s="1308"/>
      <c r="AR122" s="1308"/>
      <c r="AS122" s="1308"/>
      <c r="AT122" s="1308"/>
      <c r="AU122" s="1308"/>
      <c r="AV122" s="1308"/>
      <c r="AW122" s="1308"/>
      <c r="AX122" s="1308"/>
      <c r="AY122" s="1308"/>
      <c r="AZ122" s="1308"/>
      <c r="BA122" s="1308"/>
      <c r="BB122" s="1308"/>
      <c r="BC122" s="1308"/>
      <c r="BD122" s="1308"/>
      <c r="BE122" s="1308"/>
      <c r="BF122" s="1308"/>
      <c r="BG122" s="1308"/>
      <c r="BH122" s="1308"/>
      <c r="BI122" s="1308"/>
      <c r="BJ122" s="1308"/>
      <c r="BK122" s="1308"/>
      <c r="BL122" s="1308"/>
      <c r="BM122" s="1308"/>
      <c r="BN122" s="1308"/>
      <c r="BO122" s="1308"/>
      <c r="BP122" s="1308"/>
      <c r="BQ122" s="1308"/>
      <c r="BR122" s="1308"/>
      <c r="BS122" s="1308"/>
      <c r="BT122" s="1308"/>
      <c r="BU122" s="1308"/>
      <c r="BV122" s="1308"/>
      <c r="BW122" s="1308"/>
      <c r="BX122" s="1308"/>
      <c r="BY122" s="1308"/>
      <c r="BZ122" s="1308"/>
      <c r="CA122" s="1308"/>
      <c r="CB122" s="1308"/>
      <c r="CC122" s="1308"/>
      <c r="CD122" s="1308"/>
      <c r="CE122" s="1308"/>
      <c r="CF122" s="1308"/>
      <c r="CG122" s="1308"/>
      <c r="CH122" s="1308"/>
      <c r="CI122" s="1308"/>
      <c r="CJ122" s="1308"/>
      <c r="CK122" s="1308"/>
      <c r="CL122" s="1308"/>
      <c r="CM122" s="1308"/>
      <c r="CN122" s="1308"/>
      <c r="CO122" s="1308"/>
      <c r="CP122" s="1308"/>
      <c r="CQ122" s="1308"/>
      <c r="CR122" s="1308"/>
      <c r="CS122" s="1308"/>
      <c r="CT122" s="1308"/>
      <c r="CU122" s="1308"/>
      <c r="CV122" s="1308"/>
      <c r="CW122" s="1308"/>
      <c r="CX122" s="1308"/>
      <c r="CY122" s="1308"/>
      <c r="CZ122" s="1308"/>
      <c r="DA122" s="1308"/>
      <c r="DB122" s="1308"/>
      <c r="DC122" s="1308"/>
      <c r="DD122" s="1308"/>
    </row>
    <row r="123" spans="1:108" ht="12.75" hidden="1" customHeight="1">
      <c r="A123" s="4168" t="s">
        <v>55</v>
      </c>
      <c r="B123" s="2564" t="s">
        <v>132</v>
      </c>
      <c r="C123" s="3042" t="s">
        <v>72</v>
      </c>
      <c r="D123" s="3042"/>
      <c r="E123" s="3042"/>
      <c r="F123" s="3042"/>
      <c r="G123" s="3042"/>
      <c r="H123" s="3042"/>
      <c r="I123" s="3042"/>
      <c r="J123" s="3042"/>
      <c r="K123" s="3042"/>
      <c r="L123" s="3042"/>
      <c r="M123" s="1343"/>
      <c r="N123" s="4190" t="s">
        <v>133</v>
      </c>
    </row>
    <row r="124" spans="1:108" ht="13.5" hidden="1" customHeight="1">
      <c r="A124" s="4161"/>
      <c r="B124" s="2726" t="s">
        <v>9</v>
      </c>
      <c r="C124" s="1344"/>
      <c r="D124" s="3042"/>
      <c r="E124" s="3042"/>
      <c r="F124" s="3042">
        <v>0</v>
      </c>
      <c r="G124" s="3042"/>
      <c r="H124" s="3042"/>
      <c r="I124" s="3042"/>
      <c r="J124" s="3042"/>
      <c r="K124" s="3042"/>
      <c r="L124" s="3042"/>
      <c r="M124" s="1343"/>
      <c r="N124" s="4190"/>
    </row>
    <row r="125" spans="1:108" ht="14.25" hidden="1" customHeight="1">
      <c r="A125" s="4161"/>
      <c r="B125" s="2564" t="s">
        <v>22</v>
      </c>
      <c r="C125" s="4192" t="s">
        <v>134</v>
      </c>
      <c r="D125" s="3042"/>
      <c r="E125" s="3042"/>
      <c r="F125" s="3042">
        <v>0</v>
      </c>
      <c r="G125" s="3042"/>
      <c r="H125" s="3042"/>
      <c r="I125" s="3042"/>
      <c r="J125" s="3042"/>
      <c r="K125" s="3042"/>
      <c r="L125" s="3042"/>
      <c r="M125" s="1343"/>
      <c r="N125" s="4191"/>
    </row>
    <row r="126" spans="1:108" ht="15" hidden="1" customHeight="1" thickBot="1">
      <c r="A126" s="4161"/>
      <c r="B126" s="2564" t="s">
        <v>11</v>
      </c>
      <c r="C126" s="4192"/>
      <c r="D126" s="3042"/>
      <c r="E126" s="3042"/>
      <c r="F126" s="3042">
        <v>0</v>
      </c>
      <c r="G126" s="3042"/>
      <c r="H126" s="3042"/>
      <c r="I126" s="3042"/>
      <c r="J126" s="3042"/>
      <c r="K126" s="3042"/>
      <c r="L126" s="3042"/>
      <c r="M126" s="1343"/>
      <c r="N126" s="4191"/>
    </row>
    <row r="127" spans="1:108" ht="36.75" hidden="1" customHeight="1">
      <c r="A127" s="4160" t="s">
        <v>54</v>
      </c>
      <c r="B127" s="1332" t="s">
        <v>217</v>
      </c>
      <c r="C127" s="1345" t="s">
        <v>72</v>
      </c>
      <c r="D127" s="1346"/>
      <c r="E127" s="1335"/>
      <c r="F127" s="1335"/>
      <c r="G127" s="1335"/>
      <c r="H127" s="1335"/>
      <c r="I127" s="1335"/>
      <c r="J127" s="1335"/>
      <c r="K127" s="1335"/>
      <c r="L127" s="1335"/>
      <c r="M127" s="1347"/>
      <c r="N127" s="4169" t="s">
        <v>189</v>
      </c>
    </row>
    <row r="128" spans="1:108" ht="14.25" hidden="1" customHeight="1">
      <c r="A128" s="4168"/>
      <c r="B128" s="2721" t="s">
        <v>9</v>
      </c>
      <c r="C128" s="1344"/>
      <c r="D128" s="1348"/>
      <c r="E128" s="1348">
        <f>+E129+E132</f>
        <v>0</v>
      </c>
      <c r="F128" s="1348">
        <v>0</v>
      </c>
      <c r="G128" s="1348">
        <v>0</v>
      </c>
      <c r="H128" s="1348">
        <v>0</v>
      </c>
      <c r="I128" s="1348">
        <v>0</v>
      </c>
      <c r="J128" s="1348">
        <v>0</v>
      </c>
      <c r="K128" s="1348">
        <v>0</v>
      </c>
      <c r="L128" s="2429"/>
      <c r="M128" s="1325">
        <f>+M129</f>
        <v>0</v>
      </c>
      <c r="N128" s="4169"/>
    </row>
    <row r="129" spans="1:14" ht="15.75" hidden="1" customHeight="1">
      <c r="A129" s="4168"/>
      <c r="B129" s="2744" t="s">
        <v>22</v>
      </c>
      <c r="C129" s="4177" t="s">
        <v>135</v>
      </c>
      <c r="D129" s="1349"/>
      <c r="E129" s="1349">
        <f t="shared" ref="E129" si="83">E130+E131</f>
        <v>0</v>
      </c>
      <c r="F129" s="1349">
        <f t="shared" ref="F129:K129" si="84">F130+F131</f>
        <v>0</v>
      </c>
      <c r="G129" s="1349">
        <f t="shared" si="84"/>
        <v>0</v>
      </c>
      <c r="H129" s="1349">
        <f t="shared" si="84"/>
        <v>0</v>
      </c>
      <c r="I129" s="1349">
        <f t="shared" si="84"/>
        <v>0</v>
      </c>
      <c r="J129" s="1349">
        <f t="shared" si="84"/>
        <v>0</v>
      </c>
      <c r="K129" s="1349">
        <f t="shared" si="84"/>
        <v>0</v>
      </c>
      <c r="L129" s="2430"/>
      <c r="M129" s="1312">
        <f>+M131</f>
        <v>0</v>
      </c>
      <c r="N129" s="4169"/>
    </row>
    <row r="130" spans="1:14" ht="13.5" hidden="1" customHeight="1">
      <c r="A130" s="4168"/>
      <c r="B130" s="1350" t="s">
        <v>126</v>
      </c>
      <c r="C130" s="4178"/>
      <c r="D130" s="1295"/>
      <c r="E130" s="1295"/>
      <c r="F130" s="1299">
        <v>0</v>
      </c>
      <c r="G130" s="1299">
        <v>0</v>
      </c>
      <c r="H130" s="1299">
        <v>0</v>
      </c>
      <c r="I130" s="1299">
        <v>0</v>
      </c>
      <c r="J130" s="1299">
        <v>0</v>
      </c>
      <c r="K130" s="1299">
        <v>0</v>
      </c>
      <c r="L130" s="1295"/>
      <c r="M130" s="1319" t="s">
        <v>52</v>
      </c>
      <c r="N130" s="4169"/>
    </row>
    <row r="131" spans="1:14" ht="13.5" hidden="1" customHeight="1">
      <c r="A131" s="4168"/>
      <c r="B131" s="2745" t="s">
        <v>127</v>
      </c>
      <c r="C131" s="4178"/>
      <c r="D131" s="1295"/>
      <c r="E131" s="1295"/>
      <c r="F131" s="1351">
        <v>0</v>
      </c>
      <c r="G131" s="1351">
        <v>0</v>
      </c>
      <c r="H131" s="1351">
        <v>0</v>
      </c>
      <c r="I131" s="1351">
        <v>0</v>
      </c>
      <c r="J131" s="1351">
        <v>0</v>
      </c>
      <c r="K131" s="1351">
        <v>0</v>
      </c>
      <c r="L131" s="1351"/>
      <c r="M131" s="1312"/>
      <c r="N131" s="4169"/>
    </row>
    <row r="132" spans="1:14" ht="12" hidden="1" customHeight="1">
      <c r="A132" s="4168"/>
      <c r="B132" s="2744" t="s">
        <v>17</v>
      </c>
      <c r="C132" s="4178"/>
      <c r="D132" s="1349"/>
      <c r="E132" s="1349">
        <f t="shared" ref="E132" si="85">+E133</f>
        <v>0</v>
      </c>
      <c r="F132" s="1349">
        <v>0</v>
      </c>
      <c r="G132" s="1349">
        <v>0</v>
      </c>
      <c r="H132" s="1349">
        <v>0</v>
      </c>
      <c r="I132" s="1349">
        <v>0</v>
      </c>
      <c r="J132" s="1349">
        <v>0</v>
      </c>
      <c r="K132" s="1349">
        <v>0</v>
      </c>
      <c r="L132" s="2431"/>
      <c r="M132" s="1319" t="str">
        <f>+M133</f>
        <v>x</v>
      </c>
      <c r="N132" s="4169"/>
    </row>
    <row r="133" spans="1:14" ht="14.25" hidden="1" customHeight="1">
      <c r="A133" s="4168"/>
      <c r="B133" s="2746" t="s">
        <v>33</v>
      </c>
      <c r="C133" s="4179"/>
      <c r="D133" s="1295"/>
      <c r="E133" s="1295"/>
      <c r="F133" s="2565">
        <v>0</v>
      </c>
      <c r="G133" s="2565">
        <v>0</v>
      </c>
      <c r="H133" s="2565">
        <v>0</v>
      </c>
      <c r="I133" s="2565">
        <v>0</v>
      </c>
      <c r="J133" s="2565">
        <v>0</v>
      </c>
      <c r="K133" s="2565">
        <v>0</v>
      </c>
      <c r="L133" s="2565"/>
      <c r="M133" s="1352" t="s">
        <v>52</v>
      </c>
      <c r="N133" s="4169"/>
    </row>
    <row r="134" spans="1:14" ht="13.5" hidden="1" customHeight="1">
      <c r="A134" s="4168"/>
      <c r="B134" s="2726" t="s">
        <v>20</v>
      </c>
      <c r="C134" s="1344"/>
      <c r="D134" s="1348"/>
      <c r="E134" s="1348">
        <f>E138+E135</f>
        <v>0</v>
      </c>
      <c r="F134" s="1348">
        <v>0</v>
      </c>
      <c r="G134" s="1348">
        <v>0</v>
      </c>
      <c r="H134" s="1348">
        <v>0</v>
      </c>
      <c r="I134" s="1348">
        <v>0</v>
      </c>
      <c r="J134" s="1348">
        <v>0</v>
      </c>
      <c r="K134" s="1348">
        <v>0</v>
      </c>
      <c r="L134" s="2429"/>
      <c r="M134" s="1325"/>
      <c r="N134" s="4169"/>
    </row>
    <row r="135" spans="1:14" ht="14.25" hidden="1" customHeight="1">
      <c r="A135" s="4168"/>
      <c r="B135" s="2728" t="s">
        <v>22</v>
      </c>
      <c r="C135" s="4171" t="s">
        <v>21</v>
      </c>
      <c r="D135" s="1353"/>
      <c r="E135" s="1353">
        <f t="shared" ref="E135" si="86">+E137+E136</f>
        <v>0</v>
      </c>
      <c r="F135" s="1349">
        <f t="shared" ref="F135:K135" si="87">+F137+F136</f>
        <v>0</v>
      </c>
      <c r="G135" s="1349">
        <f t="shared" si="87"/>
        <v>0</v>
      </c>
      <c r="H135" s="1349">
        <f t="shared" si="87"/>
        <v>0</v>
      </c>
      <c r="I135" s="1349">
        <f t="shared" si="87"/>
        <v>0</v>
      </c>
      <c r="J135" s="1349">
        <f t="shared" si="87"/>
        <v>0</v>
      </c>
      <c r="K135" s="1349">
        <f t="shared" si="87"/>
        <v>0</v>
      </c>
      <c r="L135" s="2430"/>
      <c r="M135" s="4174" t="s">
        <v>52</v>
      </c>
      <c r="N135" s="4169"/>
    </row>
    <row r="136" spans="1:14" ht="13.5" hidden="1" customHeight="1">
      <c r="A136" s="4168"/>
      <c r="B136" s="1350" t="s">
        <v>126</v>
      </c>
      <c r="C136" s="4172"/>
      <c r="D136" s="1295"/>
      <c r="E136" s="1295"/>
      <c r="F136" s="1354">
        <v>0</v>
      </c>
      <c r="G136" s="1354">
        <v>0</v>
      </c>
      <c r="H136" s="1354">
        <v>0</v>
      </c>
      <c r="I136" s="1354">
        <v>0</v>
      </c>
      <c r="J136" s="1354">
        <v>0</v>
      </c>
      <c r="K136" s="1354">
        <v>0</v>
      </c>
      <c r="L136" s="2432"/>
      <c r="M136" s="4175"/>
      <c r="N136" s="4169"/>
    </row>
    <row r="137" spans="1:14" ht="13.5" hidden="1" customHeight="1">
      <c r="A137" s="4168"/>
      <c r="B137" s="2745" t="s">
        <v>136</v>
      </c>
      <c r="C137" s="4172"/>
      <c r="D137" s="1295"/>
      <c r="E137" s="1355"/>
      <c r="F137" s="1351">
        <v>0</v>
      </c>
      <c r="G137" s="1351">
        <v>0</v>
      </c>
      <c r="H137" s="1351">
        <v>0</v>
      </c>
      <c r="I137" s="1351">
        <v>0</v>
      </c>
      <c r="J137" s="1351">
        <v>0</v>
      </c>
      <c r="K137" s="1351">
        <v>0</v>
      </c>
      <c r="L137" s="2433"/>
      <c r="M137" s="4175"/>
      <c r="N137" s="4169"/>
    </row>
    <row r="138" spans="1:14" ht="12.75" hidden="1" customHeight="1">
      <c r="A138" s="4168"/>
      <c r="B138" s="2744" t="s">
        <v>17</v>
      </c>
      <c r="C138" s="4172"/>
      <c r="D138" s="1353"/>
      <c r="E138" s="1353">
        <f t="shared" ref="E138" si="88">+E139</f>
        <v>0</v>
      </c>
      <c r="F138" s="1349">
        <v>0</v>
      </c>
      <c r="G138" s="1349">
        <v>0</v>
      </c>
      <c r="H138" s="1349">
        <v>0</v>
      </c>
      <c r="I138" s="1349"/>
      <c r="J138" s="1349"/>
      <c r="K138" s="1349"/>
      <c r="L138" s="2434"/>
      <c r="M138" s="4175"/>
      <c r="N138" s="4169"/>
    </row>
    <row r="139" spans="1:14" ht="15" hidden="1" customHeight="1" thickBot="1">
      <c r="A139" s="4168"/>
      <c r="B139" s="1356" t="s">
        <v>33</v>
      </c>
      <c r="C139" s="4173"/>
      <c r="D139" s="1295"/>
      <c r="E139" s="1295">
        <v>0</v>
      </c>
      <c r="F139" s="1354">
        <v>0</v>
      </c>
      <c r="G139" s="1354">
        <v>0</v>
      </c>
      <c r="H139" s="1354">
        <v>0</v>
      </c>
      <c r="I139" s="1354">
        <v>0</v>
      </c>
      <c r="J139" s="1354">
        <v>0</v>
      </c>
      <c r="K139" s="1354">
        <v>0</v>
      </c>
      <c r="L139" s="2432"/>
      <c r="M139" s="4176"/>
      <c r="N139" s="4170"/>
    </row>
    <row r="140" spans="1:14" ht="15" hidden="1" customHeight="1">
      <c r="A140" s="4160" t="s">
        <v>54</v>
      </c>
      <c r="B140" s="1357" t="s">
        <v>191</v>
      </c>
      <c r="C140" s="1358" t="s">
        <v>72</v>
      </c>
      <c r="D140" s="1359"/>
      <c r="E140" s="1335"/>
      <c r="F140" s="1335"/>
      <c r="G140" s="1335"/>
      <c r="H140" s="1335"/>
      <c r="I140" s="1335"/>
      <c r="J140" s="1335"/>
      <c r="K140" s="1335"/>
      <c r="L140" s="2435"/>
      <c r="M140" s="1293"/>
      <c r="N140" s="4163" t="s">
        <v>195</v>
      </c>
    </row>
    <row r="141" spans="1:14" s="1290" customFormat="1" ht="10.5" hidden="1" customHeight="1">
      <c r="A141" s="4161"/>
      <c r="B141" s="1360" t="s">
        <v>9</v>
      </c>
      <c r="C141" s="1344"/>
      <c r="D141" s="1361"/>
      <c r="E141" s="1361">
        <f t="shared" ref="E141:I142" si="89">E142</f>
        <v>0</v>
      </c>
      <c r="F141" s="1361">
        <f t="shared" si="89"/>
        <v>0</v>
      </c>
      <c r="G141" s="1361">
        <f t="shared" si="89"/>
        <v>0</v>
      </c>
      <c r="H141" s="1361">
        <f t="shared" si="89"/>
        <v>0</v>
      </c>
      <c r="I141" s="1361">
        <f t="shared" si="89"/>
        <v>0</v>
      </c>
      <c r="J141" s="1361">
        <f>J142</f>
        <v>0</v>
      </c>
      <c r="K141" s="1361">
        <f>K142</f>
        <v>0</v>
      </c>
      <c r="L141" s="1361"/>
      <c r="M141" s="1362">
        <f>+M142</f>
        <v>0</v>
      </c>
      <c r="N141" s="4164"/>
    </row>
    <row r="142" spans="1:14" s="1365" customFormat="1" ht="13.5" hidden="1" customHeight="1">
      <c r="A142" s="4161"/>
      <c r="B142" s="1363" t="s">
        <v>22</v>
      </c>
      <c r="C142" s="4166" t="s">
        <v>135</v>
      </c>
      <c r="D142" s="1353"/>
      <c r="E142" s="1353">
        <f>E143</f>
        <v>0</v>
      </c>
      <c r="F142" s="1353">
        <f t="shared" si="89"/>
        <v>0</v>
      </c>
      <c r="G142" s="1353">
        <f t="shared" si="89"/>
        <v>0</v>
      </c>
      <c r="H142" s="1353">
        <f t="shared" si="89"/>
        <v>0</v>
      </c>
      <c r="I142" s="1353">
        <f t="shared" si="89"/>
        <v>0</v>
      </c>
      <c r="J142" s="1353">
        <f>J143</f>
        <v>0</v>
      </c>
      <c r="K142" s="1353">
        <f>K143</f>
        <v>0</v>
      </c>
      <c r="L142" s="1353"/>
      <c r="M142" s="1364">
        <f>+M143</f>
        <v>0</v>
      </c>
      <c r="N142" s="4164"/>
    </row>
    <row r="143" spans="1:14" s="1290" customFormat="1" ht="22.5" hidden="1" customHeight="1" thickBot="1">
      <c r="A143" s="4162"/>
      <c r="B143" s="1366" t="s">
        <v>127</v>
      </c>
      <c r="C143" s="4167"/>
      <c r="D143" s="1674"/>
      <c r="E143" s="1674">
        <v>0</v>
      </c>
      <c r="F143" s="1367">
        <v>0</v>
      </c>
      <c r="G143" s="1367">
        <v>0</v>
      </c>
      <c r="H143" s="1367">
        <v>0</v>
      </c>
      <c r="I143" s="1367">
        <v>0</v>
      </c>
      <c r="J143" s="1367">
        <v>0</v>
      </c>
      <c r="K143" s="1367">
        <v>0</v>
      </c>
      <c r="L143" s="2436"/>
      <c r="M143" s="1368"/>
      <c r="N143" s="4165"/>
    </row>
    <row r="144" spans="1:14" ht="12.75" hidden="1">
      <c r="A144" s="2747"/>
      <c r="B144" s="2653"/>
      <c r="C144" s="2653"/>
      <c r="D144" s="2653"/>
      <c r="E144" s="2653"/>
      <c r="F144" s="2653"/>
      <c r="G144" s="2653"/>
      <c r="H144" s="2653"/>
      <c r="I144" s="2653"/>
      <c r="J144" s="2653"/>
      <c r="K144" s="2653"/>
      <c r="L144" s="2653"/>
      <c r="M144" s="2653"/>
      <c r="N144" s="2748"/>
    </row>
    <row r="145" spans="1:14" ht="12.75" hidden="1">
      <c r="A145" s="2747"/>
      <c r="B145" s="2566" t="s">
        <v>347</v>
      </c>
      <c r="C145" s="2565"/>
      <c r="D145" s="2565"/>
      <c r="E145" s="2565"/>
      <c r="F145" s="2565"/>
      <c r="G145" s="2565"/>
      <c r="H145" s="2565"/>
      <c r="I145" s="2565"/>
      <c r="J145" s="2565"/>
      <c r="K145" s="2565"/>
      <c r="L145" s="2565"/>
      <c r="M145" s="2653"/>
      <c r="N145" s="2748"/>
    </row>
    <row r="146" spans="1:14" ht="12.75" hidden="1">
      <c r="A146" s="2747"/>
      <c r="B146" s="2566" t="s">
        <v>348</v>
      </c>
      <c r="C146" s="2565"/>
      <c r="D146" s="2539">
        <f>D72+D58+D42+D81</f>
        <v>755076</v>
      </c>
      <c r="E146" s="2539">
        <f t="shared" ref="E146:K146" si="90">E72+E58+E42+E81</f>
        <v>399317</v>
      </c>
      <c r="F146" s="2539">
        <f t="shared" si="90"/>
        <v>99677</v>
      </c>
      <c r="G146" s="2539">
        <f t="shared" si="90"/>
        <v>121422</v>
      </c>
      <c r="H146" s="2539">
        <f t="shared" si="90"/>
        <v>99540</v>
      </c>
      <c r="I146" s="2539">
        <f t="shared" si="90"/>
        <v>35120</v>
      </c>
      <c r="J146" s="2539">
        <f t="shared" si="90"/>
        <v>0</v>
      </c>
      <c r="K146" s="2539">
        <f t="shared" si="90"/>
        <v>0</v>
      </c>
      <c r="L146" s="2539">
        <f>L72+L58+L42+L81</f>
        <v>0</v>
      </c>
      <c r="M146" s="2653"/>
      <c r="N146" s="2748"/>
    </row>
    <row r="147" spans="1:14" ht="12.75" hidden="1">
      <c r="A147" s="2747"/>
      <c r="B147" s="2566" t="s">
        <v>349</v>
      </c>
      <c r="C147" s="2565"/>
      <c r="D147" s="2539">
        <v>0</v>
      </c>
      <c r="E147" s="2539">
        <v>0</v>
      </c>
      <c r="F147" s="2539">
        <v>0</v>
      </c>
      <c r="G147" s="2539">
        <v>0</v>
      </c>
      <c r="H147" s="2539">
        <v>0</v>
      </c>
      <c r="I147" s="2539">
        <v>0</v>
      </c>
      <c r="J147" s="2539">
        <v>0</v>
      </c>
      <c r="K147" s="2539">
        <v>0</v>
      </c>
      <c r="L147" s="2539">
        <v>0</v>
      </c>
      <c r="M147" s="2653"/>
      <c r="N147" s="2748"/>
    </row>
    <row r="148" spans="1:14" ht="12.75" hidden="1">
      <c r="A148" s="2747"/>
      <c r="B148" s="2566" t="s">
        <v>350</v>
      </c>
      <c r="C148" s="2565"/>
      <c r="D148" s="1565">
        <f>D146+D147</f>
        <v>755076</v>
      </c>
      <c r="E148" s="1565">
        <f t="shared" ref="E148:K148" si="91">E146+E147</f>
        <v>399317</v>
      </c>
      <c r="F148" s="1565">
        <f t="shared" si="91"/>
        <v>99677</v>
      </c>
      <c r="G148" s="1565">
        <f t="shared" si="91"/>
        <v>121422</v>
      </c>
      <c r="H148" s="1565">
        <f t="shared" si="91"/>
        <v>99540</v>
      </c>
      <c r="I148" s="1565">
        <f t="shared" si="91"/>
        <v>35120</v>
      </c>
      <c r="J148" s="1565">
        <f t="shared" si="91"/>
        <v>0</v>
      </c>
      <c r="K148" s="1565">
        <f t="shared" si="91"/>
        <v>0</v>
      </c>
      <c r="L148" s="1565">
        <f>L146+L147</f>
        <v>0</v>
      </c>
      <c r="M148" s="2653"/>
      <c r="N148" s="2748"/>
    </row>
    <row r="149" spans="1:14" ht="12.75" hidden="1">
      <c r="A149" s="2749"/>
      <c r="B149" s="1370" t="s">
        <v>40</v>
      </c>
      <c r="C149" s="1371"/>
      <c r="D149" s="1566">
        <f t="shared" ref="D149:L149" si="92">D19-D148</f>
        <v>0</v>
      </c>
      <c r="E149" s="1566">
        <f t="shared" si="92"/>
        <v>0</v>
      </c>
      <c r="F149" s="1566">
        <f t="shared" si="92"/>
        <v>0</v>
      </c>
      <c r="G149" s="1566">
        <f t="shared" si="92"/>
        <v>0</v>
      </c>
      <c r="H149" s="1566">
        <f t="shared" si="92"/>
        <v>0</v>
      </c>
      <c r="I149" s="1566">
        <f t="shared" si="92"/>
        <v>0</v>
      </c>
      <c r="J149" s="1566">
        <f t="shared" si="92"/>
        <v>0</v>
      </c>
      <c r="K149" s="1566">
        <f t="shared" si="92"/>
        <v>0</v>
      </c>
      <c r="L149" s="1566">
        <f t="shared" si="92"/>
        <v>0</v>
      </c>
      <c r="N149" s="2748"/>
    </row>
    <row r="150" spans="1:14" hidden="1">
      <c r="A150" s="2749"/>
      <c r="N150" s="2748"/>
    </row>
    <row r="151" spans="1:14">
      <c r="A151" s="2749"/>
      <c r="N151" s="2748"/>
    </row>
    <row r="152" spans="1:14">
      <c r="A152" s="2749"/>
      <c r="N152" s="2748"/>
    </row>
    <row r="153" spans="1:14">
      <c r="A153" s="2749"/>
      <c r="N153" s="2748"/>
    </row>
    <row r="154" spans="1:14" ht="12" thickBot="1">
      <c r="A154" s="2750"/>
      <c r="B154" s="1676"/>
      <c r="C154" s="1676"/>
      <c r="D154" s="1676"/>
      <c r="E154" s="1676"/>
      <c r="F154" s="1676"/>
      <c r="G154" s="1676"/>
      <c r="H154" s="1676"/>
      <c r="I154" s="1676"/>
      <c r="J154" s="1676"/>
      <c r="K154" s="1676"/>
      <c r="L154" s="1676"/>
      <c r="M154" s="1676"/>
      <c r="N154" s="2751"/>
    </row>
    <row r="155" spans="1:14">
      <c r="A155" s="2749"/>
      <c r="N155" s="2748"/>
    </row>
    <row r="156" spans="1:14">
      <c r="A156" s="2749"/>
      <c r="N156" s="2748"/>
    </row>
    <row r="157" spans="1:14">
      <c r="A157" s="2749"/>
      <c r="N157" s="2748"/>
    </row>
    <row r="158" spans="1:14">
      <c r="A158" s="2749"/>
      <c r="N158" s="2748"/>
    </row>
    <row r="159" spans="1:14">
      <c r="A159" s="2749"/>
      <c r="N159" s="2748"/>
    </row>
    <row r="160" spans="1:14">
      <c r="A160" s="2749"/>
      <c r="N160" s="2748"/>
    </row>
    <row r="161" spans="1:14">
      <c r="A161" s="2749"/>
      <c r="N161" s="2748"/>
    </row>
    <row r="162" spans="1:14">
      <c r="A162" s="2749"/>
      <c r="N162" s="2748"/>
    </row>
    <row r="163" spans="1:14">
      <c r="A163" s="2749"/>
      <c r="N163" s="2748"/>
    </row>
    <row r="164" spans="1:14">
      <c r="A164" s="2749"/>
      <c r="N164" s="2748"/>
    </row>
    <row r="165" spans="1:14">
      <c r="A165" s="2749"/>
      <c r="N165" s="2748"/>
    </row>
    <row r="166" spans="1:14">
      <c r="A166" s="2749"/>
      <c r="N166" s="2748"/>
    </row>
    <row r="167" spans="1:14">
      <c r="A167" s="2749"/>
      <c r="N167" s="2748"/>
    </row>
    <row r="168" spans="1:14">
      <c r="A168" s="2749"/>
      <c r="N168" s="2748"/>
    </row>
    <row r="169" spans="1:14">
      <c r="A169" s="2749"/>
      <c r="N169" s="2748"/>
    </row>
    <row r="170" spans="1:14">
      <c r="A170" s="2749"/>
      <c r="N170" s="2748"/>
    </row>
    <row r="171" spans="1:14">
      <c r="A171" s="2749"/>
      <c r="N171" s="2748"/>
    </row>
    <row r="172" spans="1:14">
      <c r="A172" s="2749"/>
      <c r="N172" s="2748"/>
    </row>
    <row r="173" spans="1:14">
      <c r="A173" s="2749"/>
      <c r="N173" s="2748"/>
    </row>
    <row r="174" spans="1:14">
      <c r="A174" s="2749"/>
      <c r="N174" s="2748"/>
    </row>
    <row r="175" spans="1:14">
      <c r="A175" s="2749"/>
      <c r="N175" s="2748"/>
    </row>
    <row r="176" spans="1:14">
      <c r="A176" s="2749"/>
      <c r="N176" s="2748"/>
    </row>
    <row r="177" spans="1:14">
      <c r="A177" s="2749"/>
      <c r="N177" s="2748"/>
    </row>
    <row r="178" spans="1:14" ht="12" thickBot="1">
      <c r="A178" s="2750"/>
      <c r="N178" s="2748"/>
    </row>
    <row r="179" spans="1:14" ht="12" thickBot="1">
      <c r="A179" s="2752"/>
      <c r="N179" s="2748"/>
    </row>
    <row r="180" spans="1:14" ht="12" thickBot="1">
      <c r="A180" s="2752"/>
      <c r="N180" s="2748"/>
    </row>
    <row r="181" spans="1:14" ht="12" thickBot="1">
      <c r="A181" s="2752"/>
      <c r="N181" s="2748"/>
    </row>
    <row r="182" spans="1:14" ht="12" thickBot="1">
      <c r="A182" s="2752"/>
      <c r="N182" s="2748"/>
    </row>
    <row r="183" spans="1:14" ht="12" thickBot="1">
      <c r="A183" s="2752"/>
      <c r="N183" s="2748"/>
    </row>
    <row r="184" spans="1:14" ht="12" thickBot="1">
      <c r="A184" s="2752"/>
      <c r="N184" s="2748"/>
    </row>
    <row r="185" spans="1:14" ht="12" thickBot="1">
      <c r="A185" s="2752"/>
      <c r="N185" s="2748"/>
    </row>
    <row r="186" spans="1:14" ht="12" thickBot="1">
      <c r="A186" s="2752"/>
      <c r="N186" s="2748"/>
    </row>
    <row r="187" spans="1:14" ht="12" thickBot="1">
      <c r="A187" s="2752"/>
      <c r="N187" s="2748"/>
    </row>
    <row r="188" spans="1:14" ht="12" thickBot="1">
      <c r="A188" s="2752"/>
      <c r="N188" s="2748"/>
    </row>
    <row r="189" spans="1:14" ht="12" thickBot="1">
      <c r="A189" s="2752"/>
      <c r="B189" s="1676"/>
      <c r="N189" s="2748"/>
    </row>
    <row r="190" spans="1:14" ht="12" thickBot="1">
      <c r="A190" s="2752"/>
      <c r="B190" s="1886"/>
      <c r="N190" s="2748"/>
    </row>
    <row r="191" spans="1:14" ht="12" thickBot="1">
      <c r="A191" s="2752"/>
      <c r="N191" s="2748"/>
    </row>
    <row r="192" spans="1:14" ht="12" thickBot="1">
      <c r="A192" s="2752"/>
      <c r="N192" s="2748"/>
    </row>
    <row r="193" spans="1:14" ht="12" thickBot="1">
      <c r="A193" s="2752"/>
      <c r="N193" s="2748"/>
    </row>
    <row r="194" spans="1:14" ht="12" thickBot="1">
      <c r="A194" s="2752"/>
      <c r="N194" s="2748"/>
    </row>
    <row r="195" spans="1:14" ht="12" thickBot="1">
      <c r="A195" s="2752"/>
      <c r="N195" s="2748"/>
    </row>
    <row r="196" spans="1:14" ht="12" thickBot="1">
      <c r="A196" s="2752"/>
      <c r="N196" s="2748"/>
    </row>
    <row r="197" spans="1:14" ht="12" thickBot="1">
      <c r="A197" s="2752"/>
      <c r="N197" s="2748"/>
    </row>
    <row r="198" spans="1:14" ht="12" thickBot="1">
      <c r="A198" s="2752"/>
      <c r="N198" s="2748"/>
    </row>
    <row r="199" spans="1:14" ht="12" thickBot="1">
      <c r="A199" s="2752"/>
      <c r="N199" s="2748"/>
    </row>
    <row r="200" spans="1:14" ht="12" thickBot="1">
      <c r="A200" s="2752"/>
      <c r="N200" s="2748"/>
    </row>
    <row r="201" spans="1:14" ht="12" thickBot="1">
      <c r="A201" s="2752"/>
      <c r="N201" s="2748"/>
    </row>
    <row r="202" spans="1:14" ht="12" thickBot="1">
      <c r="A202" s="2752"/>
      <c r="N202" s="2748"/>
    </row>
    <row r="203" spans="1:14" ht="12" thickBot="1">
      <c r="A203" s="2752"/>
      <c r="M203" s="1676"/>
      <c r="N203" s="2751"/>
    </row>
    <row r="204" spans="1:14" ht="12" thickBot="1">
      <c r="A204" s="2752"/>
      <c r="C204" s="1676"/>
      <c r="M204" s="1885"/>
      <c r="N204" s="2753"/>
    </row>
    <row r="205" spans="1:14" ht="12" thickBot="1">
      <c r="A205" s="2752"/>
      <c r="C205" s="1885"/>
      <c r="M205" s="1885"/>
      <c r="N205" s="2753"/>
    </row>
    <row r="206" spans="1:14" ht="12" thickBot="1">
      <c r="A206" s="2752"/>
      <c r="C206" s="1885"/>
      <c r="M206" s="1885"/>
      <c r="N206" s="2753"/>
    </row>
    <row r="207" spans="1:14" ht="12" thickBot="1">
      <c r="A207" s="2713"/>
      <c r="C207" s="1885"/>
      <c r="D207" s="1676"/>
      <c r="E207" s="1676"/>
      <c r="F207" s="1676"/>
      <c r="G207" s="1676"/>
      <c r="H207" s="1676"/>
      <c r="I207" s="1676"/>
      <c r="J207" s="1676"/>
      <c r="K207" s="1676"/>
      <c r="L207" s="1676"/>
      <c r="M207" s="1885"/>
      <c r="N207" s="2753"/>
    </row>
    <row r="208" spans="1:14" ht="12" thickBot="1">
      <c r="A208" s="2749"/>
      <c r="C208" s="1886"/>
      <c r="D208" s="1886"/>
      <c r="E208" s="1886"/>
      <c r="F208" s="1886"/>
      <c r="G208" s="1886"/>
      <c r="H208" s="1886"/>
      <c r="I208" s="1886"/>
      <c r="J208" s="1886"/>
      <c r="K208" s="1886"/>
      <c r="L208" s="1886"/>
      <c r="M208" s="1886"/>
      <c r="N208" s="2753"/>
    </row>
    <row r="209" spans="1:14" ht="12" thickBot="1">
      <c r="A209" s="2749"/>
      <c r="N209" s="2753"/>
    </row>
    <row r="210" spans="1:14" ht="12" thickBot="1">
      <c r="A210" s="2749"/>
      <c r="N210" s="2753"/>
    </row>
    <row r="211" spans="1:14" ht="12" thickBot="1">
      <c r="A211" s="2749"/>
      <c r="N211" s="2753"/>
    </row>
    <row r="212" spans="1:14" ht="12" thickBot="1">
      <c r="A212" s="2749"/>
      <c r="N212" s="2753"/>
    </row>
    <row r="213" spans="1:14" ht="13.5" thickBot="1">
      <c r="A213" s="2747"/>
      <c r="B213" s="2653" t="s">
        <v>60</v>
      </c>
      <c r="C213" s="2653"/>
      <c r="D213" s="2653"/>
      <c r="E213" s="2653"/>
      <c r="F213" s="2653"/>
      <c r="G213" s="2653"/>
      <c r="H213" s="2653"/>
      <c r="I213" s="2653"/>
      <c r="J213" s="2653"/>
      <c r="K213" s="2653"/>
      <c r="L213" s="2653"/>
      <c r="M213" s="2653"/>
      <c r="N213" s="2754"/>
    </row>
    <row r="214" spans="1:14" ht="13.5" thickBot="1">
      <c r="A214" s="2747"/>
      <c r="N214" s="2754"/>
    </row>
    <row r="215" spans="1:14" ht="13.5" thickBot="1">
      <c r="A215" s="2747"/>
      <c r="N215" s="2754"/>
    </row>
    <row r="216" spans="1:14" ht="13.5" thickBot="1">
      <c r="A216" s="2747"/>
      <c r="N216" s="2754"/>
    </row>
    <row r="217" spans="1:14" ht="12.75">
      <c r="A217" s="2747"/>
      <c r="N217" s="2755"/>
    </row>
    <row r="218" spans="1:14" ht="12.75">
      <c r="A218" s="2747"/>
      <c r="N218" s="2652"/>
    </row>
    <row r="219" spans="1:14" ht="12.75">
      <c r="A219" s="2747"/>
      <c r="N219" s="2652"/>
    </row>
    <row r="220" spans="1:14" ht="12.75">
      <c r="A220" s="2747"/>
      <c r="N220" s="2652"/>
    </row>
    <row r="221" spans="1:14" ht="12.75">
      <c r="A221" s="2747"/>
      <c r="N221" s="2652"/>
    </row>
    <row r="222" spans="1:14" ht="12.75">
      <c r="A222" s="2747"/>
      <c r="N222" s="2652"/>
    </row>
    <row r="223" spans="1:14" ht="12.75">
      <c r="A223" s="2747"/>
      <c r="N223" s="2652"/>
    </row>
    <row r="224" spans="1:14" ht="12.75">
      <c r="A224" s="2747"/>
      <c r="B224" s="2653"/>
      <c r="C224" s="2653"/>
      <c r="D224" s="2653"/>
      <c r="E224" s="2653"/>
      <c r="F224" s="2653"/>
      <c r="G224" s="2653"/>
      <c r="H224" s="2653"/>
      <c r="I224" s="2653"/>
      <c r="J224" s="2653"/>
      <c r="K224" s="2653"/>
      <c r="L224" s="2653"/>
      <c r="M224" s="2653"/>
      <c r="N224" s="2652"/>
    </row>
    <row r="225" spans="1:14">
      <c r="A225" s="2749"/>
      <c r="N225" s="2748"/>
    </row>
    <row r="226" spans="1:14">
      <c r="A226" s="2749"/>
      <c r="N226" s="2748"/>
    </row>
    <row r="227" spans="1:14">
      <c r="A227" s="2749"/>
      <c r="N227" s="2748"/>
    </row>
    <row r="228" spans="1:14">
      <c r="A228" s="2749"/>
      <c r="N228" s="2748"/>
    </row>
    <row r="229" spans="1:14">
      <c r="A229" s="2749"/>
      <c r="N229" s="2748"/>
    </row>
    <row r="230" spans="1:14">
      <c r="A230" s="2749"/>
      <c r="N230" s="2748"/>
    </row>
    <row r="231" spans="1:14">
      <c r="A231" s="2749"/>
      <c r="N231" s="2748"/>
    </row>
    <row r="232" spans="1:14">
      <c r="A232" s="2749"/>
      <c r="N232" s="2748"/>
    </row>
    <row r="233" spans="1:14">
      <c r="A233" s="2749"/>
      <c r="N233" s="2748"/>
    </row>
    <row r="234" spans="1:14">
      <c r="A234" s="2749"/>
      <c r="N234" s="2748"/>
    </row>
    <row r="235" spans="1:14">
      <c r="A235" s="2749"/>
      <c r="N235" s="2748"/>
    </row>
    <row r="236" spans="1:14">
      <c r="A236" s="2749"/>
      <c r="N236" s="2748"/>
    </row>
    <row r="237" spans="1:14">
      <c r="A237" s="2749"/>
      <c r="N237" s="2748"/>
    </row>
    <row r="238" spans="1:14">
      <c r="A238" s="2749"/>
      <c r="N238" s="2748"/>
    </row>
    <row r="239" spans="1:14">
      <c r="A239" s="2749"/>
      <c r="N239" s="2748"/>
    </row>
    <row r="240" spans="1:14">
      <c r="A240" s="2749"/>
      <c r="N240" s="2748"/>
    </row>
    <row r="241" spans="1:14">
      <c r="A241" s="2749"/>
      <c r="N241" s="2748"/>
    </row>
    <row r="242" spans="1:14">
      <c r="A242" s="2749"/>
      <c r="N242" s="2748"/>
    </row>
    <row r="243" spans="1:14">
      <c r="A243" s="2749"/>
      <c r="N243" s="2748"/>
    </row>
    <row r="244" spans="1:14">
      <c r="A244" s="2749"/>
      <c r="N244" s="2748"/>
    </row>
    <row r="245" spans="1:14">
      <c r="A245" s="2749"/>
      <c r="N245" s="2748"/>
    </row>
    <row r="246" spans="1:14">
      <c r="A246" s="2749"/>
      <c r="N246" s="2748"/>
    </row>
    <row r="247" spans="1:14">
      <c r="A247" s="2749"/>
      <c r="N247" s="2748"/>
    </row>
    <row r="248" spans="1:14">
      <c r="A248" s="2749"/>
      <c r="N248" s="2748"/>
    </row>
    <row r="249" spans="1:14">
      <c r="A249" s="2749"/>
      <c r="N249" s="2748"/>
    </row>
    <row r="250" spans="1:14">
      <c r="A250" s="2749"/>
      <c r="N250" s="2748"/>
    </row>
    <row r="251" spans="1:14" ht="12" thickBot="1">
      <c r="A251" s="2749"/>
      <c r="N251" s="2751"/>
    </row>
    <row r="252" spans="1:14" ht="12" thickBot="1">
      <c r="A252" s="2749"/>
      <c r="N252" s="2753"/>
    </row>
    <row r="253" spans="1:14" ht="12" thickBot="1">
      <c r="A253" s="2749"/>
      <c r="N253" s="2753"/>
    </row>
    <row r="254" spans="1:14" ht="12" thickBot="1">
      <c r="A254" s="2749"/>
      <c r="N254" s="2753"/>
    </row>
    <row r="255" spans="1:14" ht="12" thickBot="1">
      <c r="A255" s="2749"/>
      <c r="N255" s="2753"/>
    </row>
    <row r="256" spans="1:14" ht="12" thickBot="1">
      <c r="A256" s="2749"/>
      <c r="N256" s="2753"/>
    </row>
    <row r="257" spans="1:14" ht="12" thickBot="1">
      <c r="A257" s="2749"/>
      <c r="N257" s="2753"/>
    </row>
    <row r="258" spans="1:14" ht="12" thickBot="1">
      <c r="A258" s="2749"/>
      <c r="N258" s="2753"/>
    </row>
    <row r="259" spans="1:14" ht="12" thickBot="1">
      <c r="A259" s="2749"/>
      <c r="N259" s="2753"/>
    </row>
    <row r="260" spans="1:14" ht="12" thickBot="1">
      <c r="A260" s="2749"/>
      <c r="N260" s="2753"/>
    </row>
    <row r="261" spans="1:14" ht="12" thickBot="1">
      <c r="A261" s="2749"/>
      <c r="N261" s="2753"/>
    </row>
    <row r="262" spans="1:14" ht="12" thickBot="1">
      <c r="A262" s="2749"/>
      <c r="N262" s="2753"/>
    </row>
    <row r="263" spans="1:14" ht="12" thickBot="1">
      <c r="A263" s="2749"/>
      <c r="N263" s="2753"/>
    </row>
    <row r="264" spans="1:14" ht="12" thickBot="1">
      <c r="A264" s="2749"/>
      <c r="N264" s="2753"/>
    </row>
    <row r="265" spans="1:14">
      <c r="A265" s="2749"/>
      <c r="N265" s="2756"/>
    </row>
    <row r="266" spans="1:14">
      <c r="A266" s="2749"/>
      <c r="N266" s="2748"/>
    </row>
    <row r="267" spans="1:14">
      <c r="A267" s="2749"/>
      <c r="N267" s="2748"/>
    </row>
    <row r="268" spans="1:14">
      <c r="A268" s="2749"/>
      <c r="N268" s="2748"/>
    </row>
    <row r="269" spans="1:14">
      <c r="A269" s="2749"/>
      <c r="N269" s="2748"/>
    </row>
    <row r="270" spans="1:14">
      <c r="A270" s="2749"/>
      <c r="N270" s="2748"/>
    </row>
    <row r="271" spans="1:14">
      <c r="A271" s="2749"/>
      <c r="N271" s="2748"/>
    </row>
    <row r="272" spans="1:14">
      <c r="A272" s="2749"/>
      <c r="N272" s="2748"/>
    </row>
    <row r="273" spans="1:14">
      <c r="A273" s="2749"/>
      <c r="N273" s="2748"/>
    </row>
    <row r="274" spans="1:14">
      <c r="A274" s="2749"/>
      <c r="N274" s="2748"/>
    </row>
    <row r="275" spans="1:14">
      <c r="A275" s="2749"/>
      <c r="N275" s="2748"/>
    </row>
    <row r="276" spans="1:14">
      <c r="A276" s="2749"/>
      <c r="N276" s="2748"/>
    </row>
    <row r="277" spans="1:14">
      <c r="A277" s="2749"/>
      <c r="N277" s="2748"/>
    </row>
    <row r="278" spans="1:14">
      <c r="A278" s="2749"/>
      <c r="N278" s="2748"/>
    </row>
    <row r="279" spans="1:14">
      <c r="A279" s="2749"/>
      <c r="N279" s="2748"/>
    </row>
    <row r="280" spans="1:14">
      <c r="A280" s="2749"/>
      <c r="N280" s="2748"/>
    </row>
    <row r="281" spans="1:14">
      <c r="A281" s="2749"/>
      <c r="N281" s="2748"/>
    </row>
    <row r="282" spans="1:14">
      <c r="A282" s="2749"/>
      <c r="N282" s="2748"/>
    </row>
    <row r="283" spans="1:14">
      <c r="A283" s="2749"/>
      <c r="N283" s="2748"/>
    </row>
    <row r="284" spans="1:14">
      <c r="A284" s="2749"/>
      <c r="N284" s="2748"/>
    </row>
    <row r="285" spans="1:14">
      <c r="A285" s="2749"/>
      <c r="N285" s="2748"/>
    </row>
    <row r="286" spans="1:14">
      <c r="A286" s="2749"/>
      <c r="N286" s="2748"/>
    </row>
    <row r="287" spans="1:14" ht="12" thickBot="1">
      <c r="A287" s="2750"/>
      <c r="B287" s="1676"/>
      <c r="C287" s="1676"/>
      <c r="D287" s="1676"/>
      <c r="E287" s="1676"/>
      <c r="F287" s="1676"/>
      <c r="G287" s="1676"/>
      <c r="H287" s="1676"/>
      <c r="I287" s="1676"/>
      <c r="J287" s="1676"/>
      <c r="K287" s="1676"/>
      <c r="L287" s="1676"/>
      <c r="M287" s="1676"/>
      <c r="N287" s="2751"/>
    </row>
    <row r="404" spans="1:14" ht="12" thickBot="1">
      <c r="A404" s="1675"/>
    </row>
    <row r="405" spans="1:14" ht="12" thickBot="1">
      <c r="A405" s="1903"/>
    </row>
    <row r="406" spans="1:14" ht="12" thickBot="1">
      <c r="A406" s="1903"/>
    </row>
    <row r="407" spans="1:14" ht="12" thickBot="1">
      <c r="A407" s="1903"/>
    </row>
    <row r="408" spans="1:14" ht="12" thickBot="1">
      <c r="A408" s="1903"/>
    </row>
    <row r="409" spans="1:14" ht="12" thickBot="1">
      <c r="A409" s="1903"/>
    </row>
    <row r="410" spans="1:14" ht="12" thickBot="1">
      <c r="A410" s="1903"/>
      <c r="M410" s="1676"/>
      <c r="N410" s="1677"/>
    </row>
    <row r="411" spans="1:14" ht="12" thickBot="1">
      <c r="A411" s="1903"/>
      <c r="C411" s="1676"/>
      <c r="M411" s="1885"/>
      <c r="N411" s="1875"/>
    </row>
    <row r="412" spans="1:14" ht="12" thickBot="1">
      <c r="A412" s="1903"/>
      <c r="C412" s="1885"/>
      <c r="D412" s="1676"/>
      <c r="E412" s="1676"/>
      <c r="F412" s="1676"/>
      <c r="G412" s="1676"/>
      <c r="H412" s="1676"/>
      <c r="I412" s="1676"/>
      <c r="J412" s="1676"/>
      <c r="K412" s="1676"/>
      <c r="L412" s="1676"/>
      <c r="M412" s="1885"/>
      <c r="N412" s="1875"/>
    </row>
    <row r="413" spans="1:14" ht="12" thickBot="1">
      <c r="A413" s="1903"/>
      <c r="C413" s="1886"/>
      <c r="D413" s="1886"/>
      <c r="E413" s="1886"/>
      <c r="F413" s="1886"/>
      <c r="G413" s="1886"/>
      <c r="H413" s="1886"/>
      <c r="I413" s="1886"/>
      <c r="J413" s="1886"/>
      <c r="K413" s="1886"/>
      <c r="L413" s="1886"/>
      <c r="M413" s="1886"/>
      <c r="N413" s="1875"/>
    </row>
    <row r="414" spans="1:14" ht="12" thickBot="1">
      <c r="A414" s="1903"/>
      <c r="N414" s="1875"/>
    </row>
    <row r="415" spans="1:14" ht="12" thickBot="1">
      <c r="A415" s="1903"/>
      <c r="N415" s="1875"/>
    </row>
    <row r="416" spans="1:14" ht="12" thickBot="1">
      <c r="A416" s="1903"/>
      <c r="N416" s="1875"/>
    </row>
    <row r="417" spans="1:14" ht="12" thickBot="1">
      <c r="A417" s="1903"/>
      <c r="N417" s="1875"/>
    </row>
    <row r="418" spans="1:14" ht="12" thickBot="1">
      <c r="A418" s="1903"/>
      <c r="N418" s="1876"/>
    </row>
    <row r="419" spans="1:14" ht="12" thickBot="1">
      <c r="A419" s="1903"/>
    </row>
    <row r="420" spans="1:14" ht="12" thickBot="1">
      <c r="A420" s="1903"/>
    </row>
    <row r="421" spans="1:14">
      <c r="A421" s="1904"/>
    </row>
    <row r="519" spans="1:14" ht="12" thickBot="1">
      <c r="N519" s="1677"/>
    </row>
    <row r="520" spans="1:14" ht="12" thickBot="1">
      <c r="N520" s="1875"/>
    </row>
    <row r="521" spans="1:14" ht="12" thickBot="1">
      <c r="N521" s="1875"/>
    </row>
    <row r="522" spans="1:14" ht="12" thickBot="1">
      <c r="N522" s="1875"/>
    </row>
    <row r="523" spans="1:14" ht="12" thickBot="1">
      <c r="M523" s="1676"/>
      <c r="N523" s="1875"/>
    </row>
    <row r="524" spans="1:14" ht="12" thickBot="1">
      <c r="M524" s="1885"/>
      <c r="N524" s="1875"/>
    </row>
    <row r="525" spans="1:14" ht="12" thickBot="1">
      <c r="M525" s="1885"/>
      <c r="N525" s="1875"/>
    </row>
    <row r="526" spans="1:14" ht="12" thickBot="1">
      <c r="M526" s="1885"/>
      <c r="N526" s="1875"/>
    </row>
    <row r="527" spans="1:14" ht="12" thickBot="1">
      <c r="M527" s="1885"/>
      <c r="N527" s="1875"/>
    </row>
    <row r="528" spans="1:14" ht="12" thickBot="1">
      <c r="A528" s="1675"/>
      <c r="B528" s="1676"/>
      <c r="C528" s="1676"/>
      <c r="D528" s="1676"/>
      <c r="E528" s="1676"/>
      <c r="F528" s="1676"/>
      <c r="G528" s="1676"/>
      <c r="H528" s="1676"/>
      <c r="I528" s="1676"/>
      <c r="J528" s="1676"/>
      <c r="K528" s="1676"/>
      <c r="L528" s="1676"/>
      <c r="M528" s="1885"/>
      <c r="N528" s="1875"/>
    </row>
    <row r="529" spans="1:14" ht="12" thickBot="1">
      <c r="A529" s="1903"/>
      <c r="B529" s="1886"/>
      <c r="C529" s="1886"/>
      <c r="D529" s="1886"/>
      <c r="E529" s="1886"/>
      <c r="F529" s="1886"/>
      <c r="G529" s="1886"/>
      <c r="H529" s="1886"/>
      <c r="I529" s="1886"/>
      <c r="J529" s="1886"/>
      <c r="K529" s="1886"/>
      <c r="L529" s="1886"/>
      <c r="M529" s="1886"/>
      <c r="N529" s="1875"/>
    </row>
    <row r="530" spans="1:14" ht="12" thickBot="1">
      <c r="A530" s="1903"/>
      <c r="N530" s="1875"/>
    </row>
    <row r="531" spans="1:14" ht="12" thickBot="1">
      <c r="A531" s="1903"/>
      <c r="N531" s="1875"/>
    </row>
    <row r="532" spans="1:14" ht="12" thickBot="1">
      <c r="A532" s="1903"/>
      <c r="N532" s="1875"/>
    </row>
    <row r="533" spans="1:14" ht="12" thickBot="1">
      <c r="A533" s="1903"/>
      <c r="N533" s="1875"/>
    </row>
    <row r="534" spans="1:14" ht="12" thickBot="1">
      <c r="A534" s="1903"/>
      <c r="N534" s="1875"/>
    </row>
    <row r="535" spans="1:14" ht="12" thickBot="1">
      <c r="A535" s="1903"/>
      <c r="N535" s="1875"/>
    </row>
    <row r="536" spans="1:14">
      <c r="A536" s="1904"/>
      <c r="N536" s="1876"/>
    </row>
  </sheetData>
  <mergeCells count="73">
    <mergeCell ref="N75:N85"/>
    <mergeCell ref="M81:M85"/>
    <mergeCell ref="C77:C80"/>
    <mergeCell ref="C82:C85"/>
    <mergeCell ref="M19:M24"/>
    <mergeCell ref="M31:M35"/>
    <mergeCell ref="N25:N35"/>
    <mergeCell ref="M42:M46"/>
    <mergeCell ref="N36:N46"/>
    <mergeCell ref="N47:N53"/>
    <mergeCell ref="M51:M53"/>
    <mergeCell ref="N68:N74"/>
    <mergeCell ref="C70:C71"/>
    <mergeCell ref="N61:N67"/>
    <mergeCell ref="A5:N5"/>
    <mergeCell ref="B6:B7"/>
    <mergeCell ref="C6:C7"/>
    <mergeCell ref="D6:D7"/>
    <mergeCell ref="N6:N7"/>
    <mergeCell ref="M6:M7"/>
    <mergeCell ref="L6:L7"/>
    <mergeCell ref="A6:A7"/>
    <mergeCell ref="G6:K6"/>
    <mergeCell ref="F6:F7"/>
    <mergeCell ref="A47:A53"/>
    <mergeCell ref="A36:A46"/>
    <mergeCell ref="C38:C41"/>
    <mergeCell ref="A25:A35"/>
    <mergeCell ref="C32:C35"/>
    <mergeCell ref="C27:C30"/>
    <mergeCell ref="C43:C46"/>
    <mergeCell ref="C49:C50"/>
    <mergeCell ref="C52:C53"/>
    <mergeCell ref="A68:A74"/>
    <mergeCell ref="C63:C64"/>
    <mergeCell ref="C121:C122"/>
    <mergeCell ref="M72:M74"/>
    <mergeCell ref="C73:C74"/>
    <mergeCell ref="A75:A85"/>
    <mergeCell ref="A98:A101"/>
    <mergeCell ref="C100:C101"/>
    <mergeCell ref="A54:A60"/>
    <mergeCell ref="N54:N60"/>
    <mergeCell ref="C56:C57"/>
    <mergeCell ref="C59:C60"/>
    <mergeCell ref="A123:A126"/>
    <mergeCell ref="N123:N126"/>
    <mergeCell ref="C125:C126"/>
    <mergeCell ref="N119:N122"/>
    <mergeCell ref="N103:N105"/>
    <mergeCell ref="N106:N110"/>
    <mergeCell ref="A94:A97"/>
    <mergeCell ref="A102:K102"/>
    <mergeCell ref="M58:M60"/>
    <mergeCell ref="C66:C67"/>
    <mergeCell ref="M65:M67"/>
    <mergeCell ref="A61:A67"/>
    <mergeCell ref="O94:O97"/>
    <mergeCell ref="C95:C97"/>
    <mergeCell ref="N94:N97"/>
    <mergeCell ref="C91:C92"/>
    <mergeCell ref="A140:A143"/>
    <mergeCell ref="N140:N143"/>
    <mergeCell ref="C142:C143"/>
    <mergeCell ref="A127:A139"/>
    <mergeCell ref="N127:N139"/>
    <mergeCell ref="C135:C139"/>
    <mergeCell ref="M135:M139"/>
    <mergeCell ref="C129:C133"/>
    <mergeCell ref="A119:A122"/>
    <mergeCell ref="M114:M118"/>
    <mergeCell ref="N98:N101"/>
    <mergeCell ref="N87:N9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6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8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BX557"/>
  <sheetViews>
    <sheetView showGridLines="0" view="pageBreakPreview" zoomScaleSheetLayoutView="100" workbookViewId="0">
      <pane xSplit="3" ySplit="8" topLeftCell="H140" activePane="bottomRight" state="frozen"/>
      <selection pane="topRight" activeCell="D1" sqref="D1"/>
      <selection pane="bottomLeft" activeCell="A9" sqref="A9"/>
      <selection pane="bottomRight" activeCell="B272" sqref="B272:B317"/>
    </sheetView>
  </sheetViews>
  <sheetFormatPr defaultColWidth="9.140625" defaultRowHeight="12.75"/>
  <cols>
    <col min="1" max="1" width="4.7109375" style="250" customWidth="1"/>
    <col min="2" max="2" width="61.42578125" style="251" customWidth="1"/>
    <col min="3" max="3" width="11.85546875" style="251" customWidth="1"/>
    <col min="4" max="4" width="14.5703125" style="251" customWidth="1"/>
    <col min="5" max="5" width="13.7109375" style="251" customWidth="1"/>
    <col min="6" max="6" width="9.85546875" style="251" customWidth="1"/>
    <col min="7" max="7" width="11.28515625" style="251" customWidth="1"/>
    <col min="8" max="8" width="11" style="251" customWidth="1"/>
    <col min="9" max="9" width="9.85546875" style="251" customWidth="1"/>
    <col min="10" max="11" width="10.42578125" style="251" bestFit="1" customWidth="1"/>
    <col min="12" max="12" width="10.42578125" style="251" hidden="1" customWidth="1"/>
    <col min="13" max="13" width="12.5703125" style="251" customWidth="1"/>
    <col min="14" max="14" width="13.5703125" style="315" customWidth="1"/>
    <col min="15" max="15" width="15.140625" style="251" hidden="1" customWidth="1"/>
    <col min="16" max="16" width="16.42578125" style="251" hidden="1" customWidth="1"/>
    <col min="17" max="17" width="9.5703125" style="251" hidden="1" customWidth="1"/>
    <col min="18" max="21" width="0" style="251" hidden="1" customWidth="1"/>
    <col min="22" max="16384" width="9.140625" style="251"/>
  </cols>
  <sheetData>
    <row r="1" spans="1:76" ht="3.75" customHeight="1">
      <c r="M1" s="3"/>
      <c r="N1" s="4"/>
    </row>
    <row r="2" spans="1:76" ht="15" customHeight="1">
      <c r="B2" s="253"/>
      <c r="E2" s="254"/>
      <c r="I2" s="256"/>
      <c r="J2" s="256" t="s">
        <v>520</v>
      </c>
      <c r="K2" s="256"/>
      <c r="L2" s="256"/>
      <c r="M2" s="3"/>
      <c r="N2" s="4"/>
    </row>
    <row r="3" spans="1:76" ht="0.75" customHeight="1">
      <c r="F3" s="257"/>
      <c r="G3" s="257"/>
      <c r="H3" s="257"/>
      <c r="I3" s="257"/>
      <c r="J3" s="257"/>
      <c r="K3" s="257"/>
      <c r="L3" s="257"/>
      <c r="M3" s="3"/>
      <c r="N3" s="4"/>
    </row>
    <row r="4" spans="1:76" ht="3" customHeight="1">
      <c r="D4" s="254"/>
      <c r="E4" s="254"/>
      <c r="F4" s="254"/>
      <c r="G4" s="254"/>
      <c r="H4" s="254"/>
      <c r="I4" s="254"/>
      <c r="J4" s="254"/>
      <c r="K4" s="254"/>
      <c r="L4" s="254"/>
      <c r="M4" s="3"/>
      <c r="N4" s="4"/>
    </row>
    <row r="5" spans="1:76" s="258" customFormat="1" ht="40.5" customHeight="1" thickBot="1">
      <c r="A5" s="4273" t="s">
        <v>137</v>
      </c>
      <c r="B5" s="4273"/>
      <c r="C5" s="4273"/>
      <c r="D5" s="4273"/>
      <c r="E5" s="4273"/>
      <c r="F5" s="4273"/>
      <c r="G5" s="4273"/>
      <c r="H5" s="4273"/>
      <c r="I5" s="4273"/>
      <c r="J5" s="4273"/>
      <c r="K5" s="4273"/>
      <c r="L5" s="4273"/>
      <c r="M5" s="4273"/>
      <c r="N5" s="4273"/>
    </row>
    <row r="6" spans="1:76" s="260" customFormat="1" ht="55.5" customHeight="1" thickBot="1">
      <c r="A6" s="121"/>
      <c r="B6" s="4274" t="s">
        <v>66</v>
      </c>
      <c r="C6" s="3765" t="s">
        <v>62</v>
      </c>
      <c r="D6" s="4016" t="s">
        <v>107</v>
      </c>
      <c r="E6" s="2407" t="s">
        <v>240</v>
      </c>
      <c r="F6" s="3818" t="s">
        <v>572</v>
      </c>
      <c r="G6" s="3786" t="s">
        <v>540</v>
      </c>
      <c r="H6" s="3787"/>
      <c r="I6" s="3787"/>
      <c r="J6" s="3787"/>
      <c r="K6" s="3788"/>
      <c r="L6" s="3938">
        <v>2024</v>
      </c>
      <c r="M6" s="3774" t="s">
        <v>552</v>
      </c>
      <c r="N6" s="4018" t="s">
        <v>64</v>
      </c>
      <c r="O6" s="152"/>
      <c r="P6" s="152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</row>
    <row r="7" spans="1:76" s="260" customFormat="1" ht="14.25" customHeight="1">
      <c r="A7" s="2535"/>
      <c r="B7" s="4275"/>
      <c r="C7" s="4276"/>
      <c r="D7" s="4277"/>
      <c r="E7" s="1107" t="s">
        <v>538</v>
      </c>
      <c r="F7" s="3940"/>
      <c r="G7" s="2379" t="s">
        <v>193</v>
      </c>
      <c r="H7" s="2379" t="s">
        <v>194</v>
      </c>
      <c r="I7" s="2379" t="s">
        <v>234</v>
      </c>
      <c r="J7" s="2379" t="s">
        <v>235</v>
      </c>
      <c r="K7" s="2379" t="s">
        <v>233</v>
      </c>
      <c r="L7" s="3939"/>
      <c r="M7" s="4279"/>
      <c r="N7" s="4278"/>
      <c r="O7" s="152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</row>
    <row r="8" spans="1:76" s="260" customFormat="1" ht="12.75" customHeight="1">
      <c r="A8" s="2534">
        <v>1</v>
      </c>
      <c r="B8" s="2392">
        <v>2</v>
      </c>
      <c r="C8" s="1114">
        <v>3</v>
      </c>
      <c r="D8" s="1114">
        <v>4</v>
      </c>
      <c r="E8" s="1114">
        <v>5</v>
      </c>
      <c r="F8" s="740">
        <v>6</v>
      </c>
      <c r="G8" s="740">
        <v>7</v>
      </c>
      <c r="H8" s="740">
        <v>8</v>
      </c>
      <c r="I8" s="740">
        <v>9</v>
      </c>
      <c r="J8" s="740">
        <v>10</v>
      </c>
      <c r="K8" s="740">
        <v>11</v>
      </c>
      <c r="L8" s="740"/>
      <c r="M8" s="1218">
        <v>12</v>
      </c>
      <c r="N8" s="1219">
        <v>13</v>
      </c>
      <c r="O8" s="260" t="s">
        <v>228</v>
      </c>
    </row>
    <row r="9" spans="1:76" s="1208" customFormat="1" ht="16.5" customHeight="1">
      <c r="A9" s="162"/>
      <c r="B9" s="338" t="s">
        <v>67</v>
      </c>
      <c r="C9" s="2403"/>
      <c r="D9" s="325">
        <f>+D10+D11</f>
        <v>362119971</v>
      </c>
      <c r="E9" s="325">
        <f t="shared" ref="E9" si="0">+E10+E11</f>
        <v>56490446</v>
      </c>
      <c r="F9" s="325">
        <f t="shared" ref="F9:M9" si="1">+F10+F11</f>
        <v>30821569</v>
      </c>
      <c r="G9" s="189">
        <f t="shared" si="1"/>
        <v>52974535</v>
      </c>
      <c r="H9" s="189">
        <f t="shared" si="1"/>
        <v>84190930</v>
      </c>
      <c r="I9" s="189">
        <f t="shared" si="1"/>
        <v>70065326</v>
      </c>
      <c r="J9" s="189">
        <f t="shared" si="1"/>
        <v>44457164</v>
      </c>
      <c r="K9" s="189">
        <f t="shared" si="1"/>
        <v>23120001</v>
      </c>
      <c r="L9" s="325">
        <f>+L10+L11</f>
        <v>0</v>
      </c>
      <c r="M9" s="123">
        <f t="shared" si="1"/>
        <v>274807956</v>
      </c>
      <c r="N9" s="13"/>
      <c r="O9" s="261">
        <f>D9-'[5]Tab. 6E - Administracja'!$D$9</f>
        <v>26529121</v>
      </c>
      <c r="P9" s="261"/>
    </row>
    <row r="10" spans="1:76" s="1208" customFormat="1">
      <c r="A10" s="162"/>
      <c r="B10" s="181" t="s">
        <v>68</v>
      </c>
      <c r="C10" s="345"/>
      <c r="D10" s="183">
        <f t="shared" ref="D10:K10" si="2">+D27+D75+D97-D105+D159+D189+D216-D220+D42</f>
        <v>228974597</v>
      </c>
      <c r="E10" s="183">
        <f t="shared" si="2"/>
        <v>54276819</v>
      </c>
      <c r="F10" s="183">
        <f t="shared" si="2"/>
        <v>29303211</v>
      </c>
      <c r="G10" s="183">
        <f t="shared" si="2"/>
        <v>34357408</v>
      </c>
      <c r="H10" s="183">
        <f t="shared" si="2"/>
        <v>35095348</v>
      </c>
      <c r="I10" s="183">
        <f t="shared" si="2"/>
        <v>26946441</v>
      </c>
      <c r="J10" s="183">
        <f t="shared" si="2"/>
        <v>26021410</v>
      </c>
      <c r="K10" s="183">
        <f t="shared" si="2"/>
        <v>22973960</v>
      </c>
      <c r="L10" s="183">
        <f>+L27+L75+L97-L105+L159+L189+L216-L220+L42</f>
        <v>0</v>
      </c>
      <c r="M10" s="432">
        <f>+M27+M75+M97+M159+M189+M216+M42</f>
        <v>145394567</v>
      </c>
      <c r="N10" s="13"/>
      <c r="O10" s="261"/>
      <c r="P10" s="261"/>
    </row>
    <row r="11" spans="1:76" s="1208" customFormat="1" ht="13.5" thickBot="1">
      <c r="A11" s="162"/>
      <c r="B11" s="184" t="s">
        <v>8</v>
      </c>
      <c r="C11" s="185"/>
      <c r="D11" s="186">
        <f>D63+D86+D122-D124+D173+D200+D229</f>
        <v>133145374</v>
      </c>
      <c r="E11" s="186">
        <f t="shared" ref="E11:K11" si="3">E63+E86+E122-E124+E173+E200+E229</f>
        <v>2213627</v>
      </c>
      <c r="F11" s="186">
        <f t="shared" si="3"/>
        <v>1518358</v>
      </c>
      <c r="G11" s="186">
        <f t="shared" si="3"/>
        <v>18617127</v>
      </c>
      <c r="H11" s="186">
        <f t="shared" si="3"/>
        <v>49095582</v>
      </c>
      <c r="I11" s="186">
        <f t="shared" si="3"/>
        <v>43118885</v>
      </c>
      <c r="J11" s="186">
        <f t="shared" si="3"/>
        <v>18435754</v>
      </c>
      <c r="K11" s="186">
        <f t="shared" si="3"/>
        <v>146041</v>
      </c>
      <c r="L11" s="186">
        <f>L63+L86+L122-L124+L173+L200+L229</f>
        <v>0</v>
      </c>
      <c r="M11" s="14">
        <f>+M63+M86+M122+M173+M200+M229</f>
        <v>129413389</v>
      </c>
      <c r="N11" s="13"/>
      <c r="O11" s="261"/>
    </row>
    <row r="12" spans="1:76" s="264" customFormat="1" ht="13.5" customHeight="1">
      <c r="A12" s="126"/>
      <c r="B12" s="127" t="s">
        <v>9</v>
      </c>
      <c r="C12" s="128"/>
      <c r="D12" s="129">
        <f>+D13+D18</f>
        <v>363271195</v>
      </c>
      <c r="E12" s="129">
        <f t="shared" ref="E12" si="4">+E13+E18</f>
        <v>57185058</v>
      </c>
      <c r="F12" s="129">
        <f t="shared" ref="F12:K12" si="5">+F13+F18</f>
        <v>30881901</v>
      </c>
      <c r="G12" s="129">
        <f t="shared" si="5"/>
        <v>53068803</v>
      </c>
      <c r="H12" s="129">
        <f t="shared" si="5"/>
        <v>84274930</v>
      </c>
      <c r="I12" s="129">
        <f t="shared" si="5"/>
        <v>70142126</v>
      </c>
      <c r="J12" s="129">
        <f t="shared" si="5"/>
        <v>44533964</v>
      </c>
      <c r="K12" s="129">
        <f t="shared" si="5"/>
        <v>23184413</v>
      </c>
      <c r="L12" s="129">
        <f>+L13+L18</f>
        <v>0</v>
      </c>
      <c r="M12" s="163">
        <f>+M13+M18</f>
        <v>305629525</v>
      </c>
      <c r="N12" s="124"/>
      <c r="O12" s="261"/>
      <c r="P12" s="263"/>
    </row>
    <row r="13" spans="1:76" s="269" customFormat="1" ht="13.5" customHeight="1">
      <c r="A13" s="122"/>
      <c r="B13" s="130" t="s">
        <v>10</v>
      </c>
      <c r="C13" s="131"/>
      <c r="D13" s="265">
        <f>+D14+D15+D16+D17</f>
        <v>98529277</v>
      </c>
      <c r="E13" s="265">
        <f t="shared" ref="E13" si="6">+E14+E15+E16+E17</f>
        <v>10381496</v>
      </c>
      <c r="F13" s="265">
        <f t="shared" ref="F13:K13" si="7">+F14+F15+F16+F17</f>
        <v>5351283</v>
      </c>
      <c r="G13" s="265">
        <f t="shared" si="7"/>
        <v>11108500</v>
      </c>
      <c r="H13" s="265">
        <f t="shared" si="7"/>
        <v>26568179</v>
      </c>
      <c r="I13" s="265">
        <f t="shared" si="7"/>
        <v>26219066</v>
      </c>
      <c r="J13" s="265">
        <f t="shared" si="7"/>
        <v>16301764</v>
      </c>
      <c r="K13" s="265">
        <f t="shared" si="7"/>
        <v>2598989</v>
      </c>
      <c r="L13" s="265">
        <f>+L14+L15+L16+L17</f>
        <v>0</v>
      </c>
      <c r="M13" s="266">
        <f>+M14+M15+M16+M17</f>
        <v>87691169</v>
      </c>
      <c r="N13" s="267"/>
      <c r="O13" s="261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</row>
    <row r="14" spans="1:76" s="272" customFormat="1">
      <c r="A14" s="132"/>
      <c r="B14" s="133" t="s">
        <v>11</v>
      </c>
      <c r="C14" s="134"/>
      <c r="D14" s="270">
        <f t="shared" ref="D14:K14" si="8">+D99+D143+D218+D29+D44+D65</f>
        <v>95973234</v>
      </c>
      <c r="E14" s="270">
        <f t="shared" si="8"/>
        <v>9030149</v>
      </c>
      <c r="F14" s="270">
        <f t="shared" si="8"/>
        <v>5031862</v>
      </c>
      <c r="G14" s="270">
        <f t="shared" si="8"/>
        <v>10761712</v>
      </c>
      <c r="H14" s="270">
        <f t="shared" si="8"/>
        <v>26247704</v>
      </c>
      <c r="I14" s="270">
        <f t="shared" si="8"/>
        <v>26142266</v>
      </c>
      <c r="J14" s="270">
        <f t="shared" si="8"/>
        <v>16224964</v>
      </c>
      <c r="K14" s="270">
        <f t="shared" si="8"/>
        <v>2534577</v>
      </c>
      <c r="L14" s="270">
        <f>+L99+L143+L218+L29+L44+L65</f>
        <v>0</v>
      </c>
      <c r="M14" s="271">
        <f>SUM(F14:K14)</f>
        <v>86943085</v>
      </c>
      <c r="N14" s="124"/>
      <c r="O14" s="261"/>
      <c r="P14" s="272" t="s">
        <v>260</v>
      </c>
    </row>
    <row r="15" spans="1:76" s="272" customFormat="1">
      <c r="A15" s="132"/>
      <c r="B15" s="273" t="s">
        <v>12</v>
      </c>
      <c r="C15" s="274"/>
      <c r="D15" s="270">
        <f t="shared" ref="D15:K15" si="9">+D66+D77+D88+D219+D231+D48</f>
        <v>1404819</v>
      </c>
      <c r="E15" s="270">
        <f t="shared" si="9"/>
        <v>656735</v>
      </c>
      <c r="F15" s="270">
        <f t="shared" si="9"/>
        <v>259089</v>
      </c>
      <c r="G15" s="270">
        <f t="shared" si="9"/>
        <v>252520</v>
      </c>
      <c r="H15" s="270">
        <f t="shared" si="9"/>
        <v>236475</v>
      </c>
      <c r="I15" s="270">
        <f t="shared" si="9"/>
        <v>0</v>
      </c>
      <c r="J15" s="270">
        <f t="shared" si="9"/>
        <v>0</v>
      </c>
      <c r="K15" s="270">
        <f t="shared" si="9"/>
        <v>0</v>
      </c>
      <c r="L15" s="270">
        <f>+L66+L77+L88+L219+L231+L48</f>
        <v>0</v>
      </c>
      <c r="M15" s="271">
        <f>SUM(F15:K15)</f>
        <v>748084</v>
      </c>
      <c r="N15" s="124"/>
      <c r="O15" s="261"/>
    </row>
    <row r="16" spans="1:76" s="272" customFormat="1" ht="15" hidden="1" customHeight="1">
      <c r="A16" s="132"/>
      <c r="B16" s="273" t="s">
        <v>15</v>
      </c>
      <c r="C16" s="274"/>
      <c r="D16" s="275">
        <f>+D144</f>
        <v>0</v>
      </c>
      <c r="E16" s="275">
        <f t="shared" ref="E16:K16" si="10">+E144</f>
        <v>0</v>
      </c>
      <c r="F16" s="275">
        <f t="shared" si="10"/>
        <v>0</v>
      </c>
      <c r="G16" s="275">
        <f t="shared" si="10"/>
        <v>0</v>
      </c>
      <c r="H16" s="275">
        <f t="shared" si="10"/>
        <v>0</v>
      </c>
      <c r="I16" s="275">
        <f t="shared" si="10"/>
        <v>0</v>
      </c>
      <c r="J16" s="275">
        <f t="shared" si="10"/>
        <v>0</v>
      </c>
      <c r="K16" s="275">
        <f t="shared" si="10"/>
        <v>0</v>
      </c>
      <c r="L16" s="275">
        <f>+L144</f>
        <v>0</v>
      </c>
      <c r="M16" s="271">
        <f>SUM(F16:K16)</f>
        <v>0</v>
      </c>
      <c r="N16" s="124"/>
      <c r="O16" s="261"/>
    </row>
    <row r="17" spans="1:26" s="272" customFormat="1" ht="12" customHeight="1">
      <c r="A17" s="132"/>
      <c r="B17" s="273" t="s">
        <v>30</v>
      </c>
      <c r="C17" s="274"/>
      <c r="D17" s="275">
        <f t="shared" ref="D17:K17" si="11">D105+D124+D220</f>
        <v>1151224</v>
      </c>
      <c r="E17" s="275">
        <f t="shared" si="11"/>
        <v>694612</v>
      </c>
      <c r="F17" s="275">
        <f t="shared" si="11"/>
        <v>60332</v>
      </c>
      <c r="G17" s="275">
        <f t="shared" si="11"/>
        <v>94268</v>
      </c>
      <c r="H17" s="275">
        <f t="shared" si="11"/>
        <v>84000</v>
      </c>
      <c r="I17" s="275">
        <f t="shared" si="11"/>
        <v>76800</v>
      </c>
      <c r="J17" s="275">
        <f t="shared" si="11"/>
        <v>76800</v>
      </c>
      <c r="K17" s="275">
        <f t="shared" si="11"/>
        <v>64412</v>
      </c>
      <c r="L17" s="275">
        <f>L105+L124+L220</f>
        <v>0</v>
      </c>
      <c r="M17" s="276">
        <f>M105+M124</f>
        <v>0</v>
      </c>
      <c r="N17" s="124"/>
      <c r="O17" s="261"/>
    </row>
    <row r="18" spans="1:26" s="269" customFormat="1">
      <c r="A18" s="122"/>
      <c r="B18" s="135" t="s">
        <v>17</v>
      </c>
      <c r="C18" s="136"/>
      <c r="D18" s="137">
        <f>SUM(D19)</f>
        <v>264741918</v>
      </c>
      <c r="E18" s="137">
        <f t="shared" ref="E18" si="12">SUM(E19)</f>
        <v>46803562</v>
      </c>
      <c r="F18" s="137">
        <f t="shared" ref="F18:M18" si="13">SUM(F19)</f>
        <v>25530618</v>
      </c>
      <c r="G18" s="137">
        <f t="shared" si="13"/>
        <v>41960303</v>
      </c>
      <c r="H18" s="137">
        <f t="shared" si="13"/>
        <v>57706751</v>
      </c>
      <c r="I18" s="137">
        <f t="shared" si="13"/>
        <v>43923060</v>
      </c>
      <c r="J18" s="137">
        <f t="shared" si="13"/>
        <v>28232200</v>
      </c>
      <c r="K18" s="137">
        <f t="shared" si="13"/>
        <v>20585424</v>
      </c>
      <c r="L18" s="137">
        <f>SUM(L19)</f>
        <v>0</v>
      </c>
      <c r="M18" s="266">
        <f t="shared" si="13"/>
        <v>217938356</v>
      </c>
      <c r="N18" s="267"/>
      <c r="O18" s="261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</row>
    <row r="19" spans="1:26" s="281" customFormat="1">
      <c r="A19" s="138"/>
      <c r="B19" s="277" t="s">
        <v>19</v>
      </c>
      <c r="C19" s="278"/>
      <c r="D19" s="270">
        <f t="shared" ref="D19:K19" si="14">+D34+D68+D79+D90+D109+D128+D146+D222+D233+D53</f>
        <v>264741918</v>
      </c>
      <c r="E19" s="270">
        <f t="shared" si="14"/>
        <v>46803562</v>
      </c>
      <c r="F19" s="270">
        <f t="shared" si="14"/>
        <v>25530618</v>
      </c>
      <c r="G19" s="270">
        <f t="shared" si="14"/>
        <v>41960303</v>
      </c>
      <c r="H19" s="270">
        <f t="shared" si="14"/>
        <v>57706751</v>
      </c>
      <c r="I19" s="270">
        <f t="shared" si="14"/>
        <v>43923060</v>
      </c>
      <c r="J19" s="270">
        <f t="shared" si="14"/>
        <v>28232200</v>
      </c>
      <c r="K19" s="270">
        <f t="shared" si="14"/>
        <v>20585424</v>
      </c>
      <c r="L19" s="270">
        <f>+L34+L68+L79+L90+L109+L128+L146+L222+L233+L53</f>
        <v>0</v>
      </c>
      <c r="M19" s="271">
        <f>SUM(F19:K19)</f>
        <v>217938356</v>
      </c>
      <c r="N19" s="279"/>
      <c r="O19" s="261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s="281" customFormat="1" ht="12.75" customHeight="1">
      <c r="A20" s="138"/>
      <c r="B20" s="66" t="s">
        <v>20</v>
      </c>
      <c r="C20" s="328"/>
      <c r="D20" s="329">
        <f>+D21+D24</f>
        <v>266146737</v>
      </c>
      <c r="E20" s="329">
        <f t="shared" ref="E20" si="15">+E21+E24</f>
        <v>43139490</v>
      </c>
      <c r="F20" s="329">
        <f t="shared" ref="F20:K20" si="16">+F21+F24</f>
        <v>25415790</v>
      </c>
      <c r="G20" s="329">
        <f t="shared" si="16"/>
        <v>41724505</v>
      </c>
      <c r="H20" s="329">
        <f t="shared" si="16"/>
        <v>55694784</v>
      </c>
      <c r="I20" s="329">
        <f t="shared" si="16"/>
        <v>41518377</v>
      </c>
      <c r="J20" s="329">
        <f t="shared" si="16"/>
        <v>31819409</v>
      </c>
      <c r="K20" s="329">
        <f t="shared" si="16"/>
        <v>24671508</v>
      </c>
      <c r="L20" s="329">
        <f>+L21+L24</f>
        <v>0</v>
      </c>
      <c r="M20" s="4310" t="s">
        <v>52</v>
      </c>
      <c r="N20" s="124"/>
      <c r="O20" s="285">
        <f>D80+D91+D118+D137+D150+D223+D57+D38+D69+D234</f>
        <v>266146737</v>
      </c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s="269" customFormat="1" ht="12" customHeight="1">
      <c r="A21" s="122"/>
      <c r="B21" s="130" t="s">
        <v>10</v>
      </c>
      <c r="C21" s="131"/>
      <c r="D21" s="265">
        <f>+D22+D23</f>
        <v>1404819</v>
      </c>
      <c r="E21" s="265">
        <f t="shared" ref="E21" si="17">+E22+E23</f>
        <v>622582</v>
      </c>
      <c r="F21" s="265">
        <f t="shared" ref="F21:K21" si="18">+F22+F23</f>
        <v>233638</v>
      </c>
      <c r="G21" s="265">
        <f t="shared" si="18"/>
        <v>296863</v>
      </c>
      <c r="H21" s="265">
        <f t="shared" si="18"/>
        <v>236998</v>
      </c>
      <c r="I21" s="265">
        <f t="shared" si="18"/>
        <v>14738</v>
      </c>
      <c r="J21" s="265">
        <f t="shared" si="18"/>
        <v>0</v>
      </c>
      <c r="K21" s="265">
        <f t="shared" si="18"/>
        <v>0</v>
      </c>
      <c r="L21" s="265">
        <f>+L22+L23</f>
        <v>0</v>
      </c>
      <c r="M21" s="4229"/>
      <c r="N21" s="267"/>
      <c r="O21" s="285">
        <f>D20-'[5]Tab. 6E - Administracja'!$D$20</f>
        <v>-5596963</v>
      </c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</row>
    <row r="22" spans="1:26" s="281" customFormat="1" ht="12">
      <c r="A22" s="138"/>
      <c r="B22" s="273" t="s">
        <v>12</v>
      </c>
      <c r="C22" s="282"/>
      <c r="D22" s="270">
        <f t="shared" ref="D22:K22" si="19">+D71+D82+D225+D236+D93+D59</f>
        <v>1404819</v>
      </c>
      <c r="E22" s="270">
        <f t="shared" si="19"/>
        <v>622582</v>
      </c>
      <c r="F22" s="270">
        <f t="shared" si="19"/>
        <v>233638</v>
      </c>
      <c r="G22" s="270">
        <f t="shared" si="19"/>
        <v>296863</v>
      </c>
      <c r="H22" s="270">
        <f t="shared" si="19"/>
        <v>236998</v>
      </c>
      <c r="I22" s="270">
        <f t="shared" si="19"/>
        <v>14738</v>
      </c>
      <c r="J22" s="270">
        <f t="shared" si="19"/>
        <v>0</v>
      </c>
      <c r="K22" s="270">
        <f t="shared" si="19"/>
        <v>0</v>
      </c>
      <c r="L22" s="270">
        <f>+L71+L82+L225+L236+L93+L59</f>
        <v>0</v>
      </c>
      <c r="M22" s="4229"/>
      <c r="N22" s="279"/>
      <c r="O22" s="285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s="281" customFormat="1" ht="12" hidden="1" customHeight="1">
      <c r="A23" s="138"/>
      <c r="B23" s="273" t="s">
        <v>15</v>
      </c>
      <c r="C23" s="282"/>
      <c r="D23" s="275">
        <f>+D152</f>
        <v>0</v>
      </c>
      <c r="E23" s="275">
        <f>+E152</f>
        <v>0</v>
      </c>
      <c r="F23" s="275">
        <f t="shared" ref="F23:K23" si="20">+F152</f>
        <v>0</v>
      </c>
      <c r="G23" s="275">
        <f t="shared" si="20"/>
        <v>0</v>
      </c>
      <c r="H23" s="275">
        <f t="shared" si="20"/>
        <v>0</v>
      </c>
      <c r="I23" s="275">
        <f t="shared" si="20"/>
        <v>0</v>
      </c>
      <c r="J23" s="275">
        <f t="shared" si="20"/>
        <v>0</v>
      </c>
      <c r="K23" s="275">
        <f t="shared" si="20"/>
        <v>0</v>
      </c>
      <c r="L23" s="275">
        <f>+L152</f>
        <v>0</v>
      </c>
      <c r="M23" s="4229"/>
      <c r="N23" s="279"/>
      <c r="O23" s="285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s="269" customFormat="1" ht="12" customHeight="1">
      <c r="A24" s="122"/>
      <c r="B24" s="135" t="s">
        <v>17</v>
      </c>
      <c r="C24" s="136"/>
      <c r="D24" s="137">
        <f>+D25</f>
        <v>264741918</v>
      </c>
      <c r="E24" s="137">
        <f t="shared" ref="E24" si="21">+E25</f>
        <v>42516908</v>
      </c>
      <c r="F24" s="137">
        <f t="shared" ref="F24:K24" si="22">+F25</f>
        <v>25182152</v>
      </c>
      <c r="G24" s="137">
        <f t="shared" si="22"/>
        <v>41427642</v>
      </c>
      <c r="H24" s="137">
        <f t="shared" si="22"/>
        <v>55457786</v>
      </c>
      <c r="I24" s="137">
        <f t="shared" si="22"/>
        <v>41503639</v>
      </c>
      <c r="J24" s="137">
        <f t="shared" si="22"/>
        <v>31819409</v>
      </c>
      <c r="K24" s="137">
        <f t="shared" si="22"/>
        <v>24671508</v>
      </c>
      <c r="L24" s="137">
        <f>+L25</f>
        <v>0</v>
      </c>
      <c r="M24" s="4229"/>
      <c r="N24" s="267"/>
      <c r="O24" s="285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</row>
    <row r="25" spans="1:26" s="281" customFormat="1" ht="12" customHeight="1" thickBot="1">
      <c r="A25" s="139"/>
      <c r="B25" s="283" t="s">
        <v>19</v>
      </c>
      <c r="C25" s="140"/>
      <c r="D25" s="141">
        <f t="shared" ref="D25:K25" si="23">+D40+D73+D84+D95+D120+D139+D154+D227+D238+D61</f>
        <v>264741918</v>
      </c>
      <c r="E25" s="141">
        <f t="shared" si="23"/>
        <v>42516908</v>
      </c>
      <c r="F25" s="141">
        <f t="shared" si="23"/>
        <v>25182152</v>
      </c>
      <c r="G25" s="141">
        <f t="shared" si="23"/>
        <v>41427642</v>
      </c>
      <c r="H25" s="141">
        <f t="shared" si="23"/>
        <v>55457786</v>
      </c>
      <c r="I25" s="141">
        <f t="shared" si="23"/>
        <v>41503639</v>
      </c>
      <c r="J25" s="141">
        <f t="shared" si="23"/>
        <v>31819409</v>
      </c>
      <c r="K25" s="141">
        <f t="shared" si="23"/>
        <v>24671508</v>
      </c>
      <c r="L25" s="141">
        <f>+L40+L73+L84+L95+L120+L139+L154+L227+L238+L61</f>
        <v>0</v>
      </c>
      <c r="M25" s="4230"/>
      <c r="N25" s="284"/>
      <c r="O25" s="285">
        <f>D19-D25</f>
        <v>0</v>
      </c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s="280" customFormat="1" ht="25.5" customHeight="1">
      <c r="A26" s="3953" t="s">
        <v>54</v>
      </c>
      <c r="B26" s="142" t="s">
        <v>492</v>
      </c>
      <c r="C26" s="143" t="s">
        <v>99</v>
      </c>
      <c r="D26" s="159">
        <f>+D31+D36</f>
        <v>1798120</v>
      </c>
      <c r="E26" s="158"/>
      <c r="F26" s="158"/>
      <c r="G26" s="158"/>
      <c r="H26" s="158"/>
      <c r="I26" s="158"/>
      <c r="J26" s="158"/>
      <c r="K26" s="214"/>
      <c r="L26" s="158"/>
      <c r="M26" s="286"/>
      <c r="N26" s="4072" t="s">
        <v>306</v>
      </c>
      <c r="O26" s="285"/>
    </row>
    <row r="27" spans="1:26" s="280" customFormat="1" ht="14.25" customHeight="1">
      <c r="A27" s="3954"/>
      <c r="B27" s="17" t="s">
        <v>9</v>
      </c>
      <c r="C27" s="3216"/>
      <c r="D27" s="287">
        <f>+D28+D33</f>
        <v>1883280</v>
      </c>
      <c r="E27" s="287">
        <f t="shared" ref="E27" si="24">+E28+E33</f>
        <v>382714</v>
      </c>
      <c r="F27" s="287">
        <f t="shared" ref="F27:J27" si="25">+F28+F33</f>
        <v>199636</v>
      </c>
      <c r="G27" s="287">
        <f t="shared" si="25"/>
        <v>284122</v>
      </c>
      <c r="H27" s="287">
        <f t="shared" si="25"/>
        <v>285724</v>
      </c>
      <c r="I27" s="287">
        <f t="shared" si="25"/>
        <v>280970</v>
      </c>
      <c r="J27" s="287">
        <f t="shared" si="25"/>
        <v>450114</v>
      </c>
      <c r="K27" s="287"/>
      <c r="L27" s="287">
        <f>+L28+L33</f>
        <v>0</v>
      </c>
      <c r="M27" s="3217">
        <f>M28+M33</f>
        <v>1300930</v>
      </c>
      <c r="N27" s="4269"/>
      <c r="O27" s="261">
        <f>D27-'[5]Tab. 6E - Administracja'!$D$27</f>
        <v>-83480</v>
      </c>
    </row>
    <row r="28" spans="1:26" s="1478" customFormat="1" ht="12">
      <c r="A28" s="3954"/>
      <c r="B28" s="453" t="s">
        <v>22</v>
      </c>
      <c r="C28" s="4271" t="s">
        <v>138</v>
      </c>
      <c r="D28" s="288">
        <f>+D29</f>
        <v>69720</v>
      </c>
      <c r="E28" s="288">
        <f t="shared" ref="E28" si="26">+E29</f>
        <v>62831</v>
      </c>
      <c r="F28" s="288">
        <f t="shared" ref="F28:J28" si="27">+F29</f>
        <v>4899</v>
      </c>
      <c r="G28" s="288">
        <f t="shared" si="27"/>
        <v>690</v>
      </c>
      <c r="H28" s="288">
        <f t="shared" si="27"/>
        <v>400</v>
      </c>
      <c r="I28" s="288">
        <f t="shared" si="27"/>
        <v>200</v>
      </c>
      <c r="J28" s="288">
        <f t="shared" si="27"/>
        <v>700</v>
      </c>
      <c r="K28" s="288"/>
      <c r="L28" s="288">
        <f>+L29</f>
        <v>0</v>
      </c>
      <c r="M28" s="289">
        <f>+M29</f>
        <v>1990</v>
      </c>
      <c r="N28" s="4269"/>
      <c r="O28" s="1477"/>
    </row>
    <row r="29" spans="1:26" s="1478" customFormat="1" ht="12">
      <c r="A29" s="3954"/>
      <c r="B29" s="145" t="s">
        <v>11</v>
      </c>
      <c r="C29" s="4250"/>
      <c r="D29" s="206">
        <f>E29+L29+F29+G29+H29+I29+J29+K29</f>
        <v>69720</v>
      </c>
      <c r="E29" s="976">
        <f>+E31+E32</f>
        <v>62831</v>
      </c>
      <c r="F29" s="976">
        <f t="shared" ref="F29:J29" si="28">+F31+F32</f>
        <v>4899</v>
      </c>
      <c r="G29" s="976">
        <f t="shared" si="28"/>
        <v>690</v>
      </c>
      <c r="H29" s="976">
        <f t="shared" si="28"/>
        <v>400</v>
      </c>
      <c r="I29" s="976">
        <f t="shared" si="28"/>
        <v>200</v>
      </c>
      <c r="J29" s="976">
        <f t="shared" si="28"/>
        <v>700</v>
      </c>
      <c r="K29" s="3218"/>
      <c r="L29" s="976">
        <f>300-300</f>
        <v>0</v>
      </c>
      <c r="M29" s="507">
        <f>SUM(G29:K29)</f>
        <v>1990</v>
      </c>
      <c r="N29" s="4269"/>
      <c r="O29" s="1479"/>
    </row>
    <row r="30" spans="1:26" s="1478" customFormat="1" ht="12">
      <c r="A30" s="3954"/>
      <c r="B30" s="3219" t="s">
        <v>342</v>
      </c>
      <c r="C30" s="4250"/>
      <c r="D30" s="1115"/>
      <c r="E30" s="1132"/>
      <c r="F30" s="1132"/>
      <c r="G30" s="1132"/>
      <c r="H30" s="1132"/>
      <c r="I30" s="1132"/>
      <c r="J30" s="1132"/>
      <c r="K30" s="3218"/>
      <c r="L30" s="1132"/>
      <c r="M30" s="1134"/>
      <c r="N30" s="4269"/>
      <c r="O30" s="1479"/>
    </row>
    <row r="31" spans="1:26" s="1478" customFormat="1" ht="12">
      <c r="A31" s="3954"/>
      <c r="B31" s="3220" t="s">
        <v>269</v>
      </c>
      <c r="C31" s="4250"/>
      <c r="D31" s="1115">
        <f>+E31+F31+G31+H31+I31+J31+K31</f>
        <v>67720</v>
      </c>
      <c r="E31" s="1132">
        <v>62821</v>
      </c>
      <c r="F31" s="1132">
        <v>4899</v>
      </c>
      <c r="G31" s="1132"/>
      <c r="H31" s="1132"/>
      <c r="I31" s="1132"/>
      <c r="J31" s="1132"/>
      <c r="K31" s="3218"/>
      <c r="L31" s="1132"/>
      <c r="M31" s="1134"/>
      <c r="N31" s="4269"/>
      <c r="O31" s="1479"/>
    </row>
    <row r="32" spans="1:26" s="1478" customFormat="1" ht="12">
      <c r="A32" s="3954"/>
      <c r="B32" s="3220" t="s">
        <v>100</v>
      </c>
      <c r="C32" s="4250"/>
      <c r="D32" s="1115">
        <f>+E32+F32+G32+H32+I32+J32</f>
        <v>2000</v>
      </c>
      <c r="E32" s="976">
        <v>10</v>
      </c>
      <c r="F32" s="976">
        <f>400+90+300-500-290</f>
        <v>0</v>
      </c>
      <c r="G32" s="976">
        <f>400+290</f>
        <v>690</v>
      </c>
      <c r="H32" s="976">
        <v>400</v>
      </c>
      <c r="I32" s="976">
        <v>200</v>
      </c>
      <c r="J32" s="976">
        <f>200+500</f>
        <v>700</v>
      </c>
      <c r="K32" s="3218"/>
      <c r="L32" s="1132"/>
      <c r="M32" s="1134"/>
      <c r="N32" s="4269"/>
      <c r="O32" s="1479"/>
    </row>
    <row r="33" spans="1:16" s="280" customFormat="1" ht="12" customHeight="1">
      <c r="A33" s="3954"/>
      <c r="B33" s="498" t="s">
        <v>17</v>
      </c>
      <c r="C33" s="4116"/>
      <c r="D33" s="290">
        <f>+D34</f>
        <v>1813560</v>
      </c>
      <c r="E33" s="290">
        <f t="shared" ref="E33:J33" si="29">E34</f>
        <v>319883</v>
      </c>
      <c r="F33" s="290">
        <f t="shared" si="29"/>
        <v>194737</v>
      </c>
      <c r="G33" s="290">
        <f t="shared" si="29"/>
        <v>283432</v>
      </c>
      <c r="H33" s="290">
        <f t="shared" si="29"/>
        <v>285324</v>
      </c>
      <c r="I33" s="290">
        <f t="shared" si="29"/>
        <v>280770</v>
      </c>
      <c r="J33" s="290">
        <f t="shared" si="29"/>
        <v>449414</v>
      </c>
      <c r="K33" s="290"/>
      <c r="L33" s="290">
        <f>L34</f>
        <v>0</v>
      </c>
      <c r="M33" s="289">
        <f>+M34</f>
        <v>1298940</v>
      </c>
      <c r="N33" s="4269"/>
      <c r="O33" s="285"/>
      <c r="P33" s="285"/>
    </row>
    <row r="34" spans="1:16" s="1208" customFormat="1">
      <c r="A34" s="3954"/>
      <c r="B34" s="977" t="s">
        <v>19</v>
      </c>
      <c r="C34" s="4117"/>
      <c r="D34" s="206">
        <f>E34+L34+F34+G34+H34+I34+J34+K34</f>
        <v>1813560</v>
      </c>
      <c r="E34" s="976">
        <f>+E36+E37</f>
        <v>319883</v>
      </c>
      <c r="F34" s="206">
        <f>SUM(F36:F37)</f>
        <v>194737</v>
      </c>
      <c r="G34" s="206">
        <f t="shared" ref="G34:J34" si="30">SUM(G36:G37)</f>
        <v>283432</v>
      </c>
      <c r="H34" s="206">
        <f t="shared" si="30"/>
        <v>285324</v>
      </c>
      <c r="I34" s="206">
        <f t="shared" si="30"/>
        <v>280770</v>
      </c>
      <c r="J34" s="206">
        <f t="shared" si="30"/>
        <v>449414</v>
      </c>
      <c r="K34" s="3221"/>
      <c r="L34" s="206">
        <f>SUM(L36:L37)</f>
        <v>0</v>
      </c>
      <c r="M34" s="507">
        <f>SUM(G34:K34)</f>
        <v>1298940</v>
      </c>
      <c r="N34" s="4269"/>
      <c r="O34" s="261"/>
    </row>
    <row r="35" spans="1:16" s="1208" customFormat="1">
      <c r="A35" s="3954"/>
      <c r="B35" s="3219" t="s">
        <v>342</v>
      </c>
      <c r="C35" s="3029"/>
      <c r="D35" s="698"/>
      <c r="E35" s="3222"/>
      <c r="F35" s="3222"/>
      <c r="G35" s="3222"/>
      <c r="H35" s="3222"/>
      <c r="I35" s="3222"/>
      <c r="J35" s="3222"/>
      <c r="K35" s="3222"/>
      <c r="L35" s="3222"/>
      <c r="M35" s="3223"/>
      <c r="N35" s="4269"/>
      <c r="O35" s="261"/>
    </row>
    <row r="36" spans="1:16" s="1208" customFormat="1">
      <c r="A36" s="3954"/>
      <c r="B36" s="3220" t="s">
        <v>269</v>
      </c>
      <c r="C36" s="3043"/>
      <c r="D36" s="730">
        <f>SUM(E36:J36)</f>
        <v>1730400</v>
      </c>
      <c r="E36" s="3224">
        <f>187905+180138-62821</f>
        <v>305222</v>
      </c>
      <c r="F36" s="3224">
        <f>268800+19862-74305-33653</f>
        <v>180704</v>
      </c>
      <c r="G36" s="3224">
        <v>268800</v>
      </c>
      <c r="H36" s="3224">
        <v>268800</v>
      </c>
      <c r="I36" s="3224">
        <v>268800</v>
      </c>
      <c r="J36" s="3224">
        <f>268800+80895+68800+74305-54726</f>
        <v>438074</v>
      </c>
      <c r="K36" s="3224"/>
      <c r="L36" s="3224"/>
      <c r="M36" s="3225">
        <f>SUM(F36:K36)</f>
        <v>1425178</v>
      </c>
      <c r="N36" s="4269"/>
      <c r="O36" s="261"/>
    </row>
    <row r="37" spans="1:16" s="1208" customFormat="1">
      <c r="A37" s="3954"/>
      <c r="B37" s="3220" t="s">
        <v>100</v>
      </c>
      <c r="C37" s="3043"/>
      <c r="D37" s="698">
        <f>+E37+L37+F37+G37+H37+I37+J37</f>
        <v>83160</v>
      </c>
      <c r="E37" s="3226">
        <f>4517+10144</f>
        <v>14661</v>
      </c>
      <c r="F37" s="3226">
        <f>11970+7453+1826-7216</f>
        <v>14033</v>
      </c>
      <c r="G37" s="3226">
        <f>11970+2662</f>
        <v>14632</v>
      </c>
      <c r="H37" s="3226">
        <f>11970+4554</f>
        <v>16524</v>
      </c>
      <c r="I37" s="3226">
        <v>11970</v>
      </c>
      <c r="J37" s="3226">
        <v>11340</v>
      </c>
      <c r="K37" s="3226"/>
      <c r="L37" s="3226"/>
      <c r="M37" s="3227">
        <f>SUM(F37:K37)</f>
        <v>68499</v>
      </c>
      <c r="N37" s="4269"/>
      <c r="O37" s="261"/>
    </row>
    <row r="38" spans="1:16" s="1208" customFormat="1" ht="12.75" customHeight="1">
      <c r="A38" s="3671"/>
      <c r="B38" s="17" t="s">
        <v>20</v>
      </c>
      <c r="C38" s="147"/>
      <c r="D38" s="287">
        <f>+D39</f>
        <v>1813560</v>
      </c>
      <c r="E38" s="287">
        <f t="shared" ref="E38:K38" si="31">+E39</f>
        <v>0</v>
      </c>
      <c r="F38" s="287">
        <f t="shared" si="31"/>
        <v>425054</v>
      </c>
      <c r="G38" s="287">
        <f t="shared" si="31"/>
        <v>228812</v>
      </c>
      <c r="H38" s="287">
        <f t="shared" si="31"/>
        <v>284378</v>
      </c>
      <c r="I38" s="287">
        <f t="shared" si="31"/>
        <v>283047</v>
      </c>
      <c r="J38" s="287">
        <f t="shared" si="31"/>
        <v>365092</v>
      </c>
      <c r="K38" s="287">
        <f t="shared" si="31"/>
        <v>227177</v>
      </c>
      <c r="L38" s="287">
        <f>+L39</f>
        <v>0</v>
      </c>
      <c r="M38" s="4251" t="s">
        <v>52</v>
      </c>
      <c r="N38" s="4269"/>
      <c r="O38" s="261">
        <f>D38-'[5]Tab. 6E - Administracja'!$D$35</f>
        <v>-151200</v>
      </c>
    </row>
    <row r="39" spans="1:16" s="1208" customFormat="1" ht="12.75" customHeight="1">
      <c r="A39" s="3671"/>
      <c r="B39" s="1597" t="s">
        <v>17</v>
      </c>
      <c r="C39" s="4116" t="s">
        <v>138</v>
      </c>
      <c r="D39" s="290">
        <f>+D40</f>
        <v>1813560</v>
      </c>
      <c r="E39" s="290">
        <f t="shared" ref="E39:K39" si="32">E40</f>
        <v>0</v>
      </c>
      <c r="F39" s="290">
        <f t="shared" si="32"/>
        <v>425054</v>
      </c>
      <c r="G39" s="290">
        <f t="shared" si="32"/>
        <v>228812</v>
      </c>
      <c r="H39" s="290">
        <f t="shared" si="32"/>
        <v>284378</v>
      </c>
      <c r="I39" s="290">
        <f t="shared" si="32"/>
        <v>283047</v>
      </c>
      <c r="J39" s="290">
        <f t="shared" si="32"/>
        <v>365092</v>
      </c>
      <c r="K39" s="290">
        <f t="shared" si="32"/>
        <v>227177</v>
      </c>
      <c r="L39" s="290">
        <f>L40</f>
        <v>0</v>
      </c>
      <c r="M39" s="4204"/>
      <c r="N39" s="4269"/>
    </row>
    <row r="40" spans="1:16" s="1208" customFormat="1" ht="12" customHeight="1" thickBot="1">
      <c r="A40" s="3672"/>
      <c r="B40" s="292" t="s">
        <v>19</v>
      </c>
      <c r="C40" s="4062"/>
      <c r="D40" s="206">
        <f>E40+L40+F40+G40+H40+I40+J40+K40</f>
        <v>1813560</v>
      </c>
      <c r="E40" s="976">
        <v>0</v>
      </c>
      <c r="F40" s="3221">
        <f>280770+192422-48138</f>
        <v>425054</v>
      </c>
      <c r="G40" s="3221">
        <f>288223-74305+14894</f>
        <v>228812</v>
      </c>
      <c r="H40" s="3221">
        <f>280770+3608</f>
        <v>284378</v>
      </c>
      <c r="I40" s="3221">
        <f>280770+2277</f>
        <v>283047</v>
      </c>
      <c r="J40" s="3221">
        <f>280770+37152+47170</f>
        <v>365092</v>
      </c>
      <c r="K40" s="3221">
        <f>361035+37153-171011</f>
        <v>227177</v>
      </c>
      <c r="L40" s="3221">
        <f>192422-192422</f>
        <v>0</v>
      </c>
      <c r="M40" s="4205"/>
      <c r="N40" s="4270"/>
      <c r="O40" s="261">
        <f>D40-D34</f>
        <v>0</v>
      </c>
    </row>
    <row r="41" spans="1:16" s="1208" customFormat="1" ht="30" customHeight="1">
      <c r="A41" s="3953" t="s">
        <v>55</v>
      </c>
      <c r="B41" s="142" t="s">
        <v>597</v>
      </c>
      <c r="C41" s="3228" t="s">
        <v>99</v>
      </c>
      <c r="D41" s="323">
        <f>+D46+D50+D55</f>
        <v>863863</v>
      </c>
      <c r="E41" s="323">
        <f t="shared" ref="E41:F41" si="33">+E47+E51+E56</f>
        <v>73208</v>
      </c>
      <c r="F41" s="323">
        <f t="shared" si="33"/>
        <v>51839</v>
      </c>
      <c r="G41" s="323"/>
      <c r="H41" s="323"/>
      <c r="I41" s="323"/>
      <c r="J41" s="323"/>
      <c r="K41" s="1831"/>
      <c r="L41" s="323"/>
      <c r="M41" s="159"/>
      <c r="N41" s="4072" t="s">
        <v>283</v>
      </c>
      <c r="O41" s="1208" t="s">
        <v>366</v>
      </c>
    </row>
    <row r="42" spans="1:16" s="1208" customFormat="1" ht="12" customHeight="1">
      <c r="A42" s="3954"/>
      <c r="B42" s="475" t="s">
        <v>9</v>
      </c>
      <c r="C42" s="1129"/>
      <c r="D42" s="3229">
        <f t="shared" ref="D42:H42" si="34">+D43+D52</f>
        <v>1128092</v>
      </c>
      <c r="E42" s="3229">
        <f t="shared" si="34"/>
        <v>332221</v>
      </c>
      <c r="F42" s="3229">
        <f t="shared" si="34"/>
        <v>254491</v>
      </c>
      <c r="G42" s="3229">
        <f t="shared" si="34"/>
        <v>275734</v>
      </c>
      <c r="H42" s="3229">
        <f t="shared" si="34"/>
        <v>265646</v>
      </c>
      <c r="I42" s="3230">
        <v>0</v>
      </c>
      <c r="J42" s="3229"/>
      <c r="K42" s="3229"/>
      <c r="L42" s="3229">
        <f>+L43+L52</f>
        <v>0</v>
      </c>
      <c r="M42" s="3231">
        <f>+M43+M52</f>
        <v>541380</v>
      </c>
      <c r="N42" s="4269"/>
      <c r="O42" s="261">
        <f>D42-'[5]Tab. 6E - Administracja'!$D$39</f>
        <v>-176400</v>
      </c>
    </row>
    <row r="43" spans="1:16" s="1208" customFormat="1" ht="12" customHeight="1">
      <c r="A43" s="3954"/>
      <c r="B43" s="453" t="s">
        <v>22</v>
      </c>
      <c r="C43" s="4206" t="s">
        <v>138</v>
      </c>
      <c r="D43" s="1130">
        <f>+D44+D48</f>
        <v>173083</v>
      </c>
      <c r="E43" s="1130">
        <f>+E44+E48</f>
        <v>52506</v>
      </c>
      <c r="F43" s="1130">
        <f t="shared" ref="F43:H43" si="35">+F44+F48</f>
        <v>38181</v>
      </c>
      <c r="G43" s="1130">
        <f t="shared" si="35"/>
        <v>41794</v>
      </c>
      <c r="H43" s="1130">
        <f t="shared" si="35"/>
        <v>40602</v>
      </c>
      <c r="I43" s="3232">
        <v>0</v>
      </c>
      <c r="J43" s="1130"/>
      <c r="K43" s="1130"/>
      <c r="L43" s="1130">
        <f>+L44+L48</f>
        <v>0</v>
      </c>
      <c r="M43" s="1131">
        <f>+M44+M48</f>
        <v>82396</v>
      </c>
      <c r="N43" s="4269"/>
    </row>
    <row r="44" spans="1:16" s="1208" customFormat="1" ht="12" customHeight="1">
      <c r="A44" s="3954"/>
      <c r="B44" s="145" t="s">
        <v>11</v>
      </c>
      <c r="C44" s="4250"/>
      <c r="D44" s="1115">
        <f>E44+L44+F44+G44+H44+I44+J44+K44</f>
        <v>60729</v>
      </c>
      <c r="E44" s="1132">
        <f>+E46+E47</f>
        <v>19598</v>
      </c>
      <c r="F44" s="1598">
        <f t="shared" ref="F44:H44" si="36">+F46+F47</f>
        <v>12730</v>
      </c>
      <c r="G44" s="1598">
        <f t="shared" si="36"/>
        <v>14274</v>
      </c>
      <c r="H44" s="1598">
        <f t="shared" si="36"/>
        <v>14127</v>
      </c>
      <c r="I44" s="3233">
        <v>0</v>
      </c>
      <c r="J44" s="343"/>
      <c r="K44" s="343"/>
      <c r="L44" s="1598">
        <f>+L46+L47</f>
        <v>0</v>
      </c>
      <c r="M44" s="507">
        <f>SUM(G44:K44)</f>
        <v>28401</v>
      </c>
      <c r="N44" s="4269"/>
    </row>
    <row r="45" spans="1:16" s="1208" customFormat="1" ht="12" customHeight="1">
      <c r="A45" s="3954"/>
      <c r="B45" s="145" t="s">
        <v>139</v>
      </c>
      <c r="C45" s="4250"/>
      <c r="D45" s="1115"/>
      <c r="E45" s="1132"/>
      <c r="F45" s="1598"/>
      <c r="G45" s="1598"/>
      <c r="H45" s="1598"/>
      <c r="I45" s="3233"/>
      <c r="J45" s="343"/>
      <c r="K45" s="343"/>
      <c r="L45" s="1598"/>
      <c r="M45" s="1131"/>
      <c r="N45" s="4269"/>
    </row>
    <row r="46" spans="1:16" s="1208" customFormat="1" ht="12" customHeight="1">
      <c r="A46" s="3954"/>
      <c r="B46" s="1585" t="s">
        <v>269</v>
      </c>
      <c r="C46" s="4250"/>
      <c r="D46" s="1115">
        <f>E46+L46+F46+G46+H46+I46+J46+K46</f>
        <v>43194</v>
      </c>
      <c r="E46" s="1132">
        <f>3610+217+9123</f>
        <v>12950</v>
      </c>
      <c r="F46" s="1133">
        <f>9240+555+674-364+33</f>
        <v>10138</v>
      </c>
      <c r="G46" s="146">
        <f>9240+555+362+154</f>
        <v>10311</v>
      </c>
      <c r="H46" s="146">
        <f>9240+555</f>
        <v>9795</v>
      </c>
      <c r="I46" s="3233">
        <v>0</v>
      </c>
      <c r="J46" s="343"/>
      <c r="K46" s="343"/>
      <c r="L46" s="1133">
        <v>0</v>
      </c>
      <c r="M46" s="507">
        <f>SUM(F46:K46)</f>
        <v>30244</v>
      </c>
      <c r="N46" s="4269"/>
    </row>
    <row r="47" spans="1:16" s="1208" customFormat="1" ht="12" customHeight="1">
      <c r="A47" s="3954"/>
      <c r="B47" s="713" t="s">
        <v>100</v>
      </c>
      <c r="C47" s="4250"/>
      <c r="D47" s="1115">
        <f>E47+L47+F47+G47+H47+I47+J47+K47</f>
        <v>17535</v>
      </c>
      <c r="E47" s="1132">
        <f>286+90+540+5732</f>
        <v>6648</v>
      </c>
      <c r="F47" s="1598">
        <f>4474-555+9675-9740-1262</f>
        <v>2592</v>
      </c>
      <c r="G47" s="1598">
        <f>4474-555+738-694</f>
        <v>3963</v>
      </c>
      <c r="H47" s="1598">
        <f>4364-555+7574-7051</f>
        <v>4332</v>
      </c>
      <c r="I47" s="3234">
        <v>0</v>
      </c>
      <c r="J47" s="1598"/>
      <c r="K47" s="1598"/>
      <c r="L47" s="1598">
        <v>0</v>
      </c>
      <c r="M47" s="507">
        <f>SUM(F47:K47)</f>
        <v>10887</v>
      </c>
      <c r="N47" s="4269"/>
    </row>
    <row r="48" spans="1:16" s="2544" customFormat="1">
      <c r="A48" s="3954"/>
      <c r="B48" s="3235" t="s">
        <v>12</v>
      </c>
      <c r="C48" s="4250"/>
      <c r="D48" s="1115">
        <f>+E48+L48+F48+G48+H48</f>
        <v>112354</v>
      </c>
      <c r="E48" s="3236">
        <f>+E50+E51</f>
        <v>32908</v>
      </c>
      <c r="F48" s="3237">
        <f>+F50+F51</f>
        <v>25451</v>
      </c>
      <c r="G48" s="3237">
        <f>+G50+G51</f>
        <v>27520</v>
      </c>
      <c r="H48" s="3237">
        <f>+H50+H51</f>
        <v>26475</v>
      </c>
      <c r="I48" s="3004">
        <v>0</v>
      </c>
      <c r="J48" s="3237"/>
      <c r="K48" s="3237"/>
      <c r="L48" s="3237">
        <f>+L50+L51</f>
        <v>0</v>
      </c>
      <c r="M48" s="507">
        <f>SUM(G48:K48)</f>
        <v>53995</v>
      </c>
      <c r="N48" s="4269"/>
    </row>
    <row r="49" spans="1:15" s="1208" customFormat="1" ht="11.25" customHeight="1">
      <c r="A49" s="3954"/>
      <c r="B49" s="145" t="s">
        <v>139</v>
      </c>
      <c r="C49" s="4250"/>
      <c r="D49" s="1133"/>
      <c r="E49" s="146"/>
      <c r="F49" s="146"/>
      <c r="G49" s="146"/>
      <c r="H49" s="146"/>
      <c r="I49" s="3238"/>
      <c r="J49" s="146"/>
      <c r="K49" s="146"/>
      <c r="L49" s="146"/>
      <c r="M49" s="1134"/>
      <c r="N49" s="4269"/>
    </row>
    <row r="50" spans="1:15" s="1208" customFormat="1" ht="13.5" customHeight="1">
      <c r="A50" s="3954"/>
      <c r="B50" s="1585" t="s">
        <v>269</v>
      </c>
      <c r="C50" s="4250"/>
      <c r="D50" s="1133">
        <f>+E50+L50+F50+G50+H50</f>
        <v>86385</v>
      </c>
      <c r="E50" s="146">
        <f>7221+433+18247</f>
        <v>25901</v>
      </c>
      <c r="F50" s="146">
        <f>18480+1108+1345-733+67</f>
        <v>20267</v>
      </c>
      <c r="G50" s="146">
        <f>18480+1108+729+312</f>
        <v>20629</v>
      </c>
      <c r="H50" s="146">
        <f>18480+1108</f>
        <v>19588</v>
      </c>
      <c r="I50" s="3238">
        <v>0</v>
      </c>
      <c r="J50" s="146"/>
      <c r="K50" s="146"/>
      <c r="L50" s="146">
        <v>0</v>
      </c>
      <c r="M50" s="507">
        <f>SUM(F50:K50)</f>
        <v>60484</v>
      </c>
      <c r="N50" s="4269"/>
      <c r="O50" s="261"/>
    </row>
    <row r="51" spans="1:15" s="1208" customFormat="1">
      <c r="A51" s="3954"/>
      <c r="B51" s="3239" t="s">
        <v>100</v>
      </c>
      <c r="C51" s="4250"/>
      <c r="D51" s="1133">
        <f>+E51+L51+F51+G51+H51</f>
        <v>25969</v>
      </c>
      <c r="E51" s="146">
        <f>552+178-57+6334</f>
        <v>7007</v>
      </c>
      <c r="F51" s="146">
        <f>8148-1108+18718-18170-2404</f>
        <v>5184</v>
      </c>
      <c r="G51" s="146">
        <f>8148-1108+1475-1624</f>
        <v>6891</v>
      </c>
      <c r="H51" s="146">
        <f>8148-1108+13838-13991</f>
        <v>6887</v>
      </c>
      <c r="I51" s="3238">
        <v>0</v>
      </c>
      <c r="J51" s="146"/>
      <c r="K51" s="146"/>
      <c r="L51" s="146">
        <v>0</v>
      </c>
      <c r="M51" s="507">
        <f>SUM(F51:K51)</f>
        <v>18962</v>
      </c>
      <c r="N51" s="4269"/>
    </row>
    <row r="52" spans="1:15" s="1208" customFormat="1" ht="12.75" customHeight="1">
      <c r="A52" s="3954"/>
      <c r="B52" s="498" t="s">
        <v>17</v>
      </c>
      <c r="C52" s="4116"/>
      <c r="D52" s="1135">
        <f>+D53</f>
        <v>955009</v>
      </c>
      <c r="E52" s="1135">
        <f>+E53</f>
        <v>279715</v>
      </c>
      <c r="F52" s="1135">
        <f t="shared" ref="F52:H52" si="37">+F53</f>
        <v>216310</v>
      </c>
      <c r="G52" s="1135">
        <f t="shared" si="37"/>
        <v>233940</v>
      </c>
      <c r="H52" s="1135">
        <f t="shared" si="37"/>
        <v>225044</v>
      </c>
      <c r="I52" s="1136">
        <v>0</v>
      </c>
      <c r="J52" s="1135"/>
      <c r="K52" s="1135"/>
      <c r="L52" s="1135">
        <f>+L53</f>
        <v>0</v>
      </c>
      <c r="M52" s="1131">
        <f>+M53</f>
        <v>458984</v>
      </c>
      <c r="N52" s="4269"/>
    </row>
    <row r="53" spans="1:15" s="1208" customFormat="1" ht="12" customHeight="1">
      <c r="A53" s="3954"/>
      <c r="B53" s="977" t="s">
        <v>19</v>
      </c>
      <c r="C53" s="4117"/>
      <c r="D53" s="1576">
        <f>E53+L53+F53+G53+H53+I53+J53+K53</f>
        <v>955009</v>
      </c>
      <c r="E53" s="1132">
        <f>+E55+E56</f>
        <v>279715</v>
      </c>
      <c r="F53" s="3240">
        <f t="shared" ref="F53:H53" si="38">+F55+F56</f>
        <v>216310</v>
      </c>
      <c r="G53" s="3240">
        <f t="shared" si="38"/>
        <v>233940</v>
      </c>
      <c r="H53" s="3240">
        <f t="shared" si="38"/>
        <v>225044</v>
      </c>
      <c r="I53" s="3241">
        <v>0</v>
      </c>
      <c r="J53" s="3240"/>
      <c r="K53" s="3240"/>
      <c r="L53" s="3240">
        <f>+L55+L56</f>
        <v>0</v>
      </c>
      <c r="M53" s="507">
        <f>SUM(G53:K53)</f>
        <v>458984</v>
      </c>
      <c r="N53" s="4269"/>
    </row>
    <row r="54" spans="1:15" s="1208" customFormat="1" ht="12" customHeight="1">
      <c r="A54" s="3954"/>
      <c r="B54" s="1599" t="s">
        <v>139</v>
      </c>
      <c r="C54" s="3043"/>
      <c r="D54" s="146"/>
      <c r="E54" s="3238"/>
      <c r="F54" s="3242"/>
      <c r="G54" s="3242"/>
      <c r="H54" s="3242"/>
      <c r="I54" s="956"/>
      <c r="J54" s="3242"/>
      <c r="K54" s="3242"/>
      <c r="L54" s="3242"/>
      <c r="M54" s="1134"/>
      <c r="N54" s="4269"/>
    </row>
    <row r="55" spans="1:15" s="1208" customFormat="1" ht="12" customHeight="1">
      <c r="A55" s="3954"/>
      <c r="B55" s="1585" t="s">
        <v>269</v>
      </c>
      <c r="C55" s="3043"/>
      <c r="D55" s="146">
        <f>+L55+F55+G55+H55+E55</f>
        <v>734284</v>
      </c>
      <c r="E55" s="1600">
        <f>61378+3683+155101</f>
        <v>220162</v>
      </c>
      <c r="F55" s="1137">
        <f>157080+9425+11439-6257+560</f>
        <v>172247</v>
      </c>
      <c r="G55" s="1137">
        <f>157080+9425+6222+2643</f>
        <v>175370</v>
      </c>
      <c r="H55" s="1137">
        <f>157080+9425</f>
        <v>166505</v>
      </c>
      <c r="I55" s="1138">
        <v>0</v>
      </c>
      <c r="J55" s="1137"/>
      <c r="K55" s="1137"/>
      <c r="L55" s="1137">
        <v>0</v>
      </c>
      <c r="M55" s="507">
        <f>SUM(F55:K55)</f>
        <v>514122</v>
      </c>
      <c r="N55" s="4269"/>
    </row>
    <row r="56" spans="1:15" s="1208" customFormat="1" ht="12" customHeight="1">
      <c r="A56" s="3954"/>
      <c r="B56" s="3239" t="s">
        <v>100</v>
      </c>
      <c r="C56" s="3043"/>
      <c r="D56" s="1133">
        <f>+L56+F56+G56+H56+E56</f>
        <v>220725</v>
      </c>
      <c r="E56" s="90">
        <f>4689+1516-483+53831</f>
        <v>59553</v>
      </c>
      <c r="F56" s="90">
        <f>69258-9425+159091-148700-26161</f>
        <v>44063</v>
      </c>
      <c r="G56" s="90">
        <f>69258-9425+12537-13800</f>
        <v>58570</v>
      </c>
      <c r="H56" s="90">
        <f>69258-9425+111888-113182</f>
        <v>58539</v>
      </c>
      <c r="I56" s="2308">
        <v>0</v>
      </c>
      <c r="J56" s="90"/>
      <c r="K56" s="90"/>
      <c r="L56" s="90">
        <v>0</v>
      </c>
      <c r="M56" s="507">
        <f>SUM(F56:K56)</f>
        <v>161172</v>
      </c>
      <c r="N56" s="4269"/>
    </row>
    <row r="57" spans="1:15" s="1208" customFormat="1" ht="12" customHeight="1">
      <c r="A57" s="3954"/>
      <c r="B57" s="475" t="s">
        <v>20</v>
      </c>
      <c r="C57" s="1139"/>
      <c r="D57" s="1140">
        <f>+D58+D60</f>
        <v>1067363</v>
      </c>
      <c r="E57" s="1231">
        <f>+E58+E60</f>
        <v>0</v>
      </c>
      <c r="F57" s="1140">
        <f t="shared" ref="F57:I57" si="39">+F58+F60</f>
        <v>372113</v>
      </c>
      <c r="G57" s="1140">
        <f t="shared" si="39"/>
        <v>295746</v>
      </c>
      <c r="H57" s="1140">
        <f t="shared" si="39"/>
        <v>256490</v>
      </c>
      <c r="I57" s="1140">
        <f t="shared" si="39"/>
        <v>143014</v>
      </c>
      <c r="J57" s="1140"/>
      <c r="K57" s="1140"/>
      <c r="L57" s="1140">
        <f>+L58+L60</f>
        <v>0</v>
      </c>
      <c r="M57" s="4203" t="s">
        <v>52</v>
      </c>
      <c r="N57" s="4269"/>
      <c r="O57" s="261">
        <f>D57-'[5]Tab. 6E - Administracja'!$D$54</f>
        <v>-167580</v>
      </c>
    </row>
    <row r="58" spans="1:15" s="1208" customFormat="1" ht="12" customHeight="1">
      <c r="A58" s="3954"/>
      <c r="B58" s="1141" t="s">
        <v>22</v>
      </c>
      <c r="C58" s="4206" t="s">
        <v>138</v>
      </c>
      <c r="D58" s="1130">
        <f>+D59</f>
        <v>112354</v>
      </c>
      <c r="E58" s="3232">
        <f>+E59</f>
        <v>0</v>
      </c>
      <c r="F58" s="1130">
        <f t="shared" ref="F58:I58" si="40">+F59</f>
        <v>0</v>
      </c>
      <c r="G58" s="1130">
        <f t="shared" si="40"/>
        <v>70618</v>
      </c>
      <c r="H58" s="1130">
        <f t="shared" si="40"/>
        <v>26998</v>
      </c>
      <c r="I58" s="1130">
        <f t="shared" si="40"/>
        <v>14738</v>
      </c>
      <c r="J58" s="1130"/>
      <c r="K58" s="1130"/>
      <c r="L58" s="1130">
        <f>+L59</f>
        <v>0</v>
      </c>
      <c r="M58" s="4204"/>
      <c r="N58" s="4269"/>
    </row>
    <row r="59" spans="1:15" s="1208" customFormat="1" ht="12" customHeight="1">
      <c r="A59" s="3954"/>
      <c r="B59" s="149" t="s">
        <v>12</v>
      </c>
      <c r="C59" s="4250"/>
      <c r="D59" s="1115">
        <f>E59+L59+F59+G59+H59+I59+J59+K59</f>
        <v>112354</v>
      </c>
      <c r="E59" s="3243">
        <v>0</v>
      </c>
      <c r="F59" s="1142">
        <f>58798+7773-10078-23585-32908</f>
        <v>0</v>
      </c>
      <c r="G59" s="1142">
        <f>26628+10093+5483+28414</f>
        <v>70618</v>
      </c>
      <c r="H59" s="1142">
        <f>26628+8021-7651</f>
        <v>26998</v>
      </c>
      <c r="I59" s="1142">
        <f>13314+6919-5495</f>
        <v>14738</v>
      </c>
      <c r="J59" s="1142"/>
      <c r="K59" s="1142"/>
      <c r="L59" s="1142">
        <v>0</v>
      </c>
      <c r="M59" s="4204"/>
      <c r="N59" s="4269"/>
    </row>
    <row r="60" spans="1:15" s="1208" customFormat="1" ht="12" customHeight="1">
      <c r="A60" s="3954"/>
      <c r="B60" s="1143" t="s">
        <v>17</v>
      </c>
      <c r="C60" s="4116"/>
      <c r="D60" s="1135">
        <f>+D61</f>
        <v>955009</v>
      </c>
      <c r="E60" s="1136">
        <f>+E61</f>
        <v>0</v>
      </c>
      <c r="F60" s="1135">
        <f t="shared" ref="F60:I60" si="41">+F61</f>
        <v>372113</v>
      </c>
      <c r="G60" s="1135">
        <f t="shared" si="41"/>
        <v>225128</v>
      </c>
      <c r="H60" s="1135">
        <f t="shared" si="41"/>
        <v>229492</v>
      </c>
      <c r="I60" s="1135">
        <f t="shared" si="41"/>
        <v>128276</v>
      </c>
      <c r="J60" s="1135"/>
      <c r="K60" s="1135"/>
      <c r="L60" s="1135">
        <f>+L61</f>
        <v>0</v>
      </c>
      <c r="M60" s="4204"/>
      <c r="N60" s="4269"/>
    </row>
    <row r="61" spans="1:15" s="1208" customFormat="1" ht="12" customHeight="1" thickBot="1">
      <c r="A61" s="3955"/>
      <c r="B61" s="292" t="s">
        <v>19</v>
      </c>
      <c r="C61" s="4062"/>
      <c r="D61" s="693">
        <f>E61+L61+F61+G61+H61+I61+J61+K61</f>
        <v>955009</v>
      </c>
      <c r="E61" s="3244">
        <v>0</v>
      </c>
      <c r="F61" s="471">
        <f>499777+66067-85652-200477+92398</f>
        <v>372113</v>
      </c>
      <c r="G61" s="471">
        <f>226338+85781+52341-139332</f>
        <v>225128</v>
      </c>
      <c r="H61" s="471">
        <f>226338+65324-62170</f>
        <v>229492</v>
      </c>
      <c r="I61" s="471">
        <f>113169+55943-40836</f>
        <v>128276</v>
      </c>
      <c r="J61" s="471"/>
      <c r="K61" s="471"/>
      <c r="L61" s="471">
        <f>66067-66067</f>
        <v>0</v>
      </c>
      <c r="M61" s="4205"/>
      <c r="N61" s="4270"/>
    </row>
    <row r="62" spans="1:15" s="1208" customFormat="1" ht="27" customHeight="1">
      <c r="A62" s="3953" t="s">
        <v>56</v>
      </c>
      <c r="B62" s="142" t="s">
        <v>369</v>
      </c>
      <c r="C62" s="143" t="s">
        <v>72</v>
      </c>
      <c r="D62" s="159"/>
      <c r="E62" s="158"/>
      <c r="F62" s="158"/>
      <c r="G62" s="158"/>
      <c r="H62" s="158"/>
      <c r="I62" s="158"/>
      <c r="J62" s="158"/>
      <c r="K62" s="214"/>
      <c r="L62" s="158"/>
      <c r="M62" s="286"/>
      <c r="N62" s="4072" t="s">
        <v>100</v>
      </c>
      <c r="O62" s="1208" t="s">
        <v>366</v>
      </c>
    </row>
    <row r="63" spans="1:15" s="1208" customFormat="1" ht="12" customHeight="1">
      <c r="A63" s="3954"/>
      <c r="B63" s="475" t="s">
        <v>9</v>
      </c>
      <c r="C63" s="1129"/>
      <c r="D63" s="1140">
        <f>+D64+D67</f>
        <v>12448</v>
      </c>
      <c r="E63" s="1140">
        <f t="shared" ref="E63" si="42">+E64+E67</f>
        <v>12448</v>
      </c>
      <c r="F63" s="1231">
        <f t="shared" ref="F63:H63" si="43">+F64+F67</f>
        <v>0</v>
      </c>
      <c r="G63" s="1231">
        <f t="shared" si="43"/>
        <v>0</v>
      </c>
      <c r="H63" s="1231">
        <f t="shared" si="43"/>
        <v>0</v>
      </c>
      <c r="I63" s="1140"/>
      <c r="J63" s="1140"/>
      <c r="K63" s="1140"/>
      <c r="L63" s="1140">
        <f>+L64+L67</f>
        <v>0</v>
      </c>
      <c r="M63" s="1232">
        <f>M64+M67</f>
        <v>0</v>
      </c>
      <c r="N63" s="4269"/>
      <c r="O63" s="261">
        <f>D63-'[5]Tab. 6E - Administracja'!$D$60</f>
        <v>0</v>
      </c>
    </row>
    <row r="64" spans="1:15" s="1208" customFormat="1" ht="12" customHeight="1">
      <c r="A64" s="3954"/>
      <c r="B64" s="453" t="s">
        <v>22</v>
      </c>
      <c r="C64" s="4271" t="s">
        <v>138</v>
      </c>
      <c r="D64" s="1130">
        <f>+D65+D66</f>
        <v>1867</v>
      </c>
      <c r="E64" s="1130">
        <f>+E65+E66</f>
        <v>1867</v>
      </c>
      <c r="F64" s="3232">
        <f t="shared" ref="F64:G64" si="44">+F66</f>
        <v>0</v>
      </c>
      <c r="G64" s="3232">
        <f t="shared" si="44"/>
        <v>0</v>
      </c>
      <c r="H64" s="3232">
        <f>+H66</f>
        <v>0</v>
      </c>
      <c r="I64" s="1130"/>
      <c r="J64" s="1130"/>
      <c r="K64" s="1130"/>
      <c r="L64" s="1130">
        <f>+L65+L66</f>
        <v>0</v>
      </c>
      <c r="M64" s="1131">
        <f>+M65+M66</f>
        <v>0</v>
      </c>
      <c r="N64" s="4269"/>
    </row>
    <row r="65" spans="1:15" s="1208" customFormat="1" ht="12" customHeight="1">
      <c r="A65" s="3954"/>
      <c r="B65" s="145" t="s">
        <v>11</v>
      </c>
      <c r="C65" s="4250"/>
      <c r="D65" s="698">
        <f>E65+L65+F65+G65+H65+I65+J65+K65</f>
        <v>622</v>
      </c>
      <c r="E65" s="1598">
        <f>630-8</f>
        <v>622</v>
      </c>
      <c r="F65" s="3233">
        <v>0</v>
      </c>
      <c r="G65" s="3233">
        <v>0</v>
      </c>
      <c r="H65" s="3233">
        <v>0</v>
      </c>
      <c r="I65" s="343"/>
      <c r="J65" s="343"/>
      <c r="K65" s="343"/>
      <c r="L65" s="1598"/>
      <c r="M65" s="507">
        <f>SUM(G65:K65)</f>
        <v>0</v>
      </c>
      <c r="N65" s="4269"/>
    </row>
    <row r="66" spans="1:15" s="1208" customFormat="1" ht="12" customHeight="1">
      <c r="A66" s="3954"/>
      <c r="B66" s="145" t="s">
        <v>12</v>
      </c>
      <c r="C66" s="4116"/>
      <c r="D66" s="698">
        <f>E66+L66+F66+G66+H66+I66+J66+K66</f>
        <v>1245</v>
      </c>
      <c r="E66" s="146">
        <f>1260-15</f>
        <v>1245</v>
      </c>
      <c r="F66" s="3238">
        <v>0</v>
      </c>
      <c r="G66" s="3238">
        <v>0</v>
      </c>
      <c r="H66" s="3238">
        <v>0</v>
      </c>
      <c r="I66" s="146"/>
      <c r="J66" s="146"/>
      <c r="K66" s="146"/>
      <c r="L66" s="146"/>
      <c r="M66" s="507">
        <f>SUM(G66:K66)</f>
        <v>0</v>
      </c>
      <c r="N66" s="4269"/>
      <c r="O66" s="261">
        <f>D66-D71</f>
        <v>0</v>
      </c>
    </row>
    <row r="67" spans="1:15" s="1208" customFormat="1" ht="12" customHeight="1">
      <c r="A67" s="3954"/>
      <c r="B67" s="498" t="s">
        <v>17</v>
      </c>
      <c r="C67" s="4116"/>
      <c r="D67" s="1135">
        <f t="shared" ref="D67:H67" si="45">D68</f>
        <v>10581</v>
      </c>
      <c r="E67" s="1135">
        <f t="shared" si="45"/>
        <v>10581</v>
      </c>
      <c r="F67" s="1136">
        <f t="shared" si="45"/>
        <v>0</v>
      </c>
      <c r="G67" s="1136">
        <f t="shared" si="45"/>
        <v>0</v>
      </c>
      <c r="H67" s="1136">
        <f t="shared" si="45"/>
        <v>0</v>
      </c>
      <c r="I67" s="1135"/>
      <c r="J67" s="1135"/>
      <c r="K67" s="1135"/>
      <c r="L67" s="1135">
        <f>L68</f>
        <v>0</v>
      </c>
      <c r="M67" s="3245">
        <f>+M68</f>
        <v>0</v>
      </c>
      <c r="N67" s="4269"/>
    </row>
    <row r="68" spans="1:15" s="1208" customFormat="1">
      <c r="A68" s="3954"/>
      <c r="B68" s="499" t="s">
        <v>19</v>
      </c>
      <c r="C68" s="4117"/>
      <c r="D68" s="698">
        <f>E68+L68+F68+G68+H68+I68+J68+K68</f>
        <v>10581</v>
      </c>
      <c r="E68" s="110">
        <f>10710-129</f>
        <v>10581</v>
      </c>
      <c r="F68" s="3246">
        <v>0</v>
      </c>
      <c r="G68" s="3246">
        <v>0</v>
      </c>
      <c r="H68" s="3246">
        <v>0</v>
      </c>
      <c r="I68" s="110"/>
      <c r="J68" s="110"/>
      <c r="K68" s="110"/>
      <c r="L68" s="110"/>
      <c r="M68" s="507">
        <f>SUM(G68:K68)</f>
        <v>0</v>
      </c>
      <c r="N68" s="4269"/>
    </row>
    <row r="69" spans="1:15" s="1208" customFormat="1" ht="12" customHeight="1">
      <c r="A69" s="3671"/>
      <c r="B69" s="475" t="s">
        <v>20</v>
      </c>
      <c r="C69" s="3247"/>
      <c r="D69" s="1140">
        <f>+D70+D72</f>
        <v>11826</v>
      </c>
      <c r="E69" s="1231">
        <f t="shared" ref="E69" si="46">E70+E72</f>
        <v>0</v>
      </c>
      <c r="F69" s="1140">
        <f t="shared" ref="F69:H69" si="47">F70+F72</f>
        <v>10581</v>
      </c>
      <c r="G69" s="1140">
        <f t="shared" si="47"/>
        <v>1245</v>
      </c>
      <c r="H69" s="1231">
        <f t="shared" si="47"/>
        <v>0</v>
      </c>
      <c r="I69" s="1140"/>
      <c r="J69" s="1140"/>
      <c r="K69" s="1140"/>
      <c r="L69" s="1231">
        <f>L70+L72</f>
        <v>0</v>
      </c>
      <c r="M69" s="4272" t="s">
        <v>52</v>
      </c>
      <c r="N69" s="4269"/>
      <c r="O69" s="261">
        <f>D69-'[5]Tab. 6E - Administracja'!$D$66</f>
        <v>0</v>
      </c>
    </row>
    <row r="70" spans="1:15" s="1208" customFormat="1" ht="12" customHeight="1">
      <c r="A70" s="3671"/>
      <c r="B70" s="1233" t="s">
        <v>22</v>
      </c>
      <c r="C70" s="4271" t="s">
        <v>138</v>
      </c>
      <c r="D70" s="1130">
        <f t="shared" ref="D70:H70" si="48">D71</f>
        <v>1245</v>
      </c>
      <c r="E70" s="3232">
        <f t="shared" si="48"/>
        <v>0</v>
      </c>
      <c r="F70" s="1130">
        <f t="shared" si="48"/>
        <v>0</v>
      </c>
      <c r="G70" s="1135">
        <f t="shared" si="48"/>
        <v>1245</v>
      </c>
      <c r="H70" s="3232">
        <f t="shared" si="48"/>
        <v>0</v>
      </c>
      <c r="I70" s="1130"/>
      <c r="J70" s="1130"/>
      <c r="K70" s="1130"/>
      <c r="L70" s="3232">
        <f>L71</f>
        <v>0</v>
      </c>
      <c r="M70" s="4204"/>
      <c r="N70" s="4269"/>
    </row>
    <row r="71" spans="1:15" s="1208" customFormat="1" ht="10.5" customHeight="1">
      <c r="A71" s="3671"/>
      <c r="B71" s="149" t="s">
        <v>12</v>
      </c>
      <c r="C71" s="4116"/>
      <c r="D71" s="698">
        <f>E71+L71+F71+G71+H71+I71+J71+K71</f>
        <v>1245</v>
      </c>
      <c r="E71" s="3243">
        <v>0</v>
      </c>
      <c r="F71" s="1142">
        <f>1260-15-1245</f>
        <v>0</v>
      </c>
      <c r="G71" s="1600">
        <v>1245</v>
      </c>
      <c r="H71" s="1601">
        <v>0</v>
      </c>
      <c r="I71" s="1142"/>
      <c r="J71" s="1142"/>
      <c r="K71" s="1142"/>
      <c r="L71" s="1601">
        <v>0</v>
      </c>
      <c r="M71" s="4204"/>
      <c r="N71" s="4269"/>
    </row>
    <row r="72" spans="1:15" s="1208" customFormat="1" ht="12" customHeight="1">
      <c r="A72" s="3671"/>
      <c r="B72" s="3248" t="s">
        <v>17</v>
      </c>
      <c r="C72" s="4116"/>
      <c r="D72" s="1135">
        <f t="shared" ref="D72:H72" si="49">D73</f>
        <v>10581</v>
      </c>
      <c r="E72" s="1136">
        <f t="shared" si="49"/>
        <v>0</v>
      </c>
      <c r="F72" s="1135">
        <f t="shared" si="49"/>
        <v>10581</v>
      </c>
      <c r="G72" s="3003">
        <f t="shared" si="49"/>
        <v>0</v>
      </c>
      <c r="H72" s="1136">
        <f t="shared" si="49"/>
        <v>0</v>
      </c>
      <c r="I72" s="1135"/>
      <c r="J72" s="1135"/>
      <c r="K72" s="1135"/>
      <c r="L72" s="1136">
        <f>L73</f>
        <v>0</v>
      </c>
      <c r="M72" s="4204"/>
      <c r="N72" s="4269"/>
    </row>
    <row r="73" spans="1:15" s="1208" customFormat="1" ht="12" customHeight="1" thickBot="1">
      <c r="A73" s="3672"/>
      <c r="B73" s="292" t="s">
        <v>19</v>
      </c>
      <c r="C73" s="4062"/>
      <c r="D73" s="693">
        <f>E73+L73+F73+G73+H73+I73+J73+K73</f>
        <v>10581</v>
      </c>
      <c r="E73" s="3244">
        <v>0</v>
      </c>
      <c r="F73" s="471">
        <f>10710-129</f>
        <v>10581</v>
      </c>
      <c r="G73" s="3091">
        <v>0</v>
      </c>
      <c r="H73" s="3091">
        <v>0</v>
      </c>
      <c r="I73" s="471"/>
      <c r="J73" s="471"/>
      <c r="K73" s="471"/>
      <c r="L73" s="3091">
        <v>0</v>
      </c>
      <c r="M73" s="4205"/>
      <c r="N73" s="4270"/>
    </row>
    <row r="74" spans="1:15" s="1208" customFormat="1" ht="36.75" customHeight="1">
      <c r="A74" s="3953" t="s">
        <v>57</v>
      </c>
      <c r="B74" s="142" t="s">
        <v>243</v>
      </c>
      <c r="C74" s="143" t="s">
        <v>99</v>
      </c>
      <c r="D74" s="159"/>
      <c r="E74" s="158"/>
      <c r="F74" s="158"/>
      <c r="G74" s="158"/>
      <c r="H74" s="158"/>
      <c r="I74" s="158"/>
      <c r="J74" s="158"/>
      <c r="K74" s="214"/>
      <c r="L74" s="323"/>
      <c r="M74" s="286"/>
      <c r="N74" s="4281" t="s">
        <v>338</v>
      </c>
    </row>
    <row r="75" spans="1:15" s="1208" customFormat="1" ht="14.25" customHeight="1">
      <c r="A75" s="3954"/>
      <c r="B75" s="475" t="s">
        <v>9</v>
      </c>
      <c r="C75" s="504"/>
      <c r="D75" s="699">
        <f>+D76+D78</f>
        <v>8566275</v>
      </c>
      <c r="E75" s="699">
        <f t="shared" ref="E75" si="50">+E76+E78</f>
        <v>4108690</v>
      </c>
      <c r="F75" s="699">
        <f>+F76+F78</f>
        <v>1557585</v>
      </c>
      <c r="G75" s="699">
        <f>+G76+G78</f>
        <v>1500000</v>
      </c>
      <c r="H75" s="699">
        <f>+H76+H78</f>
        <v>1400000</v>
      </c>
      <c r="I75" s="699"/>
      <c r="J75" s="699"/>
      <c r="K75" s="699"/>
      <c r="L75" s="699">
        <f>+L76+L78</f>
        <v>0</v>
      </c>
      <c r="M75" s="700">
        <f>M76+M78</f>
        <v>2900000</v>
      </c>
      <c r="N75" s="4283"/>
      <c r="O75" s="261">
        <f>D75-'[5]Tab. 6E - Administracja'!$D$72</f>
        <v>-336183</v>
      </c>
    </row>
    <row r="76" spans="1:15" s="1208" customFormat="1">
      <c r="A76" s="3954"/>
      <c r="B76" s="453" t="s">
        <v>22</v>
      </c>
      <c r="C76" s="4271" t="s">
        <v>192</v>
      </c>
      <c r="D76" s="701">
        <f>+D77</f>
        <v>1284941</v>
      </c>
      <c r="E76" s="701">
        <f t="shared" ref="E76:H76" si="51">+E77</f>
        <v>616303</v>
      </c>
      <c r="F76" s="701">
        <f t="shared" si="51"/>
        <v>233638</v>
      </c>
      <c r="G76" s="701">
        <f t="shared" si="51"/>
        <v>225000</v>
      </c>
      <c r="H76" s="701">
        <f t="shared" si="51"/>
        <v>210000</v>
      </c>
      <c r="I76" s="701"/>
      <c r="J76" s="701"/>
      <c r="K76" s="701"/>
      <c r="L76" s="701">
        <f>+L77</f>
        <v>0</v>
      </c>
      <c r="M76" s="497">
        <f>+M77</f>
        <v>435000</v>
      </c>
      <c r="N76" s="4283"/>
    </row>
    <row r="77" spans="1:15" s="1208" customFormat="1">
      <c r="A77" s="3954"/>
      <c r="B77" s="145" t="s">
        <v>12</v>
      </c>
      <c r="C77" s="4116"/>
      <c r="D77" s="1160">
        <f>E77+L77+F77+G77+H77+I77+J77+K77</f>
        <v>1284941</v>
      </c>
      <c r="E77" s="1132">
        <f>388354+227949</f>
        <v>616303</v>
      </c>
      <c r="F77" s="146">
        <f>330000-45935-50427</f>
        <v>233638</v>
      </c>
      <c r="G77" s="146">
        <v>225000</v>
      </c>
      <c r="H77" s="146">
        <v>210000</v>
      </c>
      <c r="I77" s="146"/>
      <c r="J77" s="146"/>
      <c r="K77" s="146"/>
      <c r="L77" s="146">
        <v>0</v>
      </c>
      <c r="M77" s="507">
        <f>SUM(G77:K77)</f>
        <v>435000</v>
      </c>
      <c r="N77" s="4283"/>
    </row>
    <row r="78" spans="1:15" s="1208" customFormat="1" ht="12" customHeight="1">
      <c r="A78" s="3954"/>
      <c r="B78" s="498" t="s">
        <v>17</v>
      </c>
      <c r="C78" s="4116"/>
      <c r="D78" s="702">
        <f>+D79</f>
        <v>7281334</v>
      </c>
      <c r="E78" s="702">
        <f t="shared" ref="E78:H78" si="52">E79</f>
        <v>3492387</v>
      </c>
      <c r="F78" s="702">
        <f t="shared" si="52"/>
        <v>1323947</v>
      </c>
      <c r="G78" s="702">
        <f t="shared" si="52"/>
        <v>1275000</v>
      </c>
      <c r="H78" s="702">
        <f t="shared" si="52"/>
        <v>1190000</v>
      </c>
      <c r="I78" s="702"/>
      <c r="J78" s="702"/>
      <c r="K78" s="702"/>
      <c r="L78" s="702">
        <f>L79</f>
        <v>0</v>
      </c>
      <c r="M78" s="497">
        <f>+M79</f>
        <v>2465000</v>
      </c>
      <c r="N78" s="4283"/>
    </row>
    <row r="79" spans="1:15" s="1208" customFormat="1" ht="12" customHeight="1">
      <c r="A79" s="3954"/>
      <c r="B79" s="499" t="s">
        <v>19</v>
      </c>
      <c r="C79" s="4117"/>
      <c r="D79" s="206">
        <f>E79+L79+F79+G79+H79+I79+J79+K79</f>
        <v>7281334</v>
      </c>
      <c r="E79" s="976">
        <f>2200675+1291712</f>
        <v>3492387</v>
      </c>
      <c r="F79" s="110">
        <f>1870000-260297-285756</f>
        <v>1323947</v>
      </c>
      <c r="G79" s="110">
        <v>1275000</v>
      </c>
      <c r="H79" s="110">
        <v>1190000</v>
      </c>
      <c r="I79" s="110"/>
      <c r="J79" s="110"/>
      <c r="K79" s="110"/>
      <c r="L79" s="110">
        <v>0</v>
      </c>
      <c r="M79" s="507">
        <f>SUM(G79:K79)</f>
        <v>2465000</v>
      </c>
      <c r="N79" s="4283"/>
    </row>
    <row r="80" spans="1:15" s="1208" customFormat="1" ht="14.25" customHeight="1">
      <c r="A80" s="3671"/>
      <c r="B80" s="475" t="s">
        <v>20</v>
      </c>
      <c r="C80" s="500"/>
      <c r="D80" s="699">
        <f>+D81+D83</f>
        <v>8566275</v>
      </c>
      <c r="E80" s="699">
        <f t="shared" ref="E80" si="53">E81+E83</f>
        <v>4108690</v>
      </c>
      <c r="F80" s="699">
        <f>F81+F83</f>
        <v>1557585</v>
      </c>
      <c r="G80" s="476">
        <f>G81+G83</f>
        <v>1500000</v>
      </c>
      <c r="H80" s="699">
        <f>H81+H83</f>
        <v>1400000</v>
      </c>
      <c r="I80" s="699"/>
      <c r="J80" s="699"/>
      <c r="K80" s="699"/>
      <c r="L80" s="699">
        <f>L81+L83</f>
        <v>0</v>
      </c>
      <c r="M80" s="4311" t="s">
        <v>52</v>
      </c>
      <c r="N80" s="4283"/>
      <c r="O80" s="261">
        <f>D80-'[5]Tab. 6E - Administracja'!$D$77</f>
        <v>-336183</v>
      </c>
    </row>
    <row r="81" spans="1:17" s="1208" customFormat="1" ht="13.5" customHeight="1">
      <c r="A81" s="3671"/>
      <c r="B81" s="501" t="s">
        <v>22</v>
      </c>
      <c r="C81" s="4271" t="s">
        <v>192</v>
      </c>
      <c r="D81" s="701">
        <f>+D82</f>
        <v>1284941</v>
      </c>
      <c r="E81" s="701">
        <f t="shared" ref="E81:H81" si="54">E82</f>
        <v>616303</v>
      </c>
      <c r="F81" s="701">
        <f t="shared" si="54"/>
        <v>233638</v>
      </c>
      <c r="G81" s="502">
        <f t="shared" si="54"/>
        <v>225000</v>
      </c>
      <c r="H81" s="701">
        <f t="shared" si="54"/>
        <v>210000</v>
      </c>
      <c r="I81" s="701"/>
      <c r="J81" s="701"/>
      <c r="K81" s="701"/>
      <c r="L81" s="701">
        <f>L82</f>
        <v>0</v>
      </c>
      <c r="M81" s="4204"/>
      <c r="N81" s="4283"/>
    </row>
    <row r="82" spans="1:17" s="1208" customFormat="1" ht="13.5" customHeight="1">
      <c r="A82" s="3671"/>
      <c r="B82" s="149" t="s">
        <v>12</v>
      </c>
      <c r="C82" s="4116"/>
      <c r="D82" s="206">
        <f>E82+L82+F82+G82+H82+I82+J82+K82</f>
        <v>1284941</v>
      </c>
      <c r="E82" s="976">
        <f>388354+227949</f>
        <v>616303</v>
      </c>
      <c r="F82" s="482">
        <f>330000-45935-50427</f>
        <v>233638</v>
      </c>
      <c r="G82" s="482">
        <v>225000</v>
      </c>
      <c r="H82" s="482">
        <v>210000</v>
      </c>
      <c r="I82" s="482"/>
      <c r="J82" s="482"/>
      <c r="K82" s="482"/>
      <c r="L82" s="482">
        <v>0</v>
      </c>
      <c r="M82" s="4204"/>
      <c r="N82" s="4283"/>
    </row>
    <row r="83" spans="1:17" s="1208" customFormat="1">
      <c r="A83" s="3671"/>
      <c r="B83" s="503" t="s">
        <v>17</v>
      </c>
      <c r="C83" s="4116"/>
      <c r="D83" s="702">
        <f>+D84</f>
        <v>7281334</v>
      </c>
      <c r="E83" s="702">
        <f t="shared" ref="E83:H83" si="55">E84</f>
        <v>3492387</v>
      </c>
      <c r="F83" s="702">
        <f t="shared" si="55"/>
        <v>1323947</v>
      </c>
      <c r="G83" s="484">
        <f t="shared" si="55"/>
        <v>1275000</v>
      </c>
      <c r="H83" s="702">
        <f t="shared" si="55"/>
        <v>1190000</v>
      </c>
      <c r="I83" s="702"/>
      <c r="J83" s="702"/>
      <c r="K83" s="702"/>
      <c r="L83" s="702">
        <f>L84</f>
        <v>0</v>
      </c>
      <c r="M83" s="4204"/>
      <c r="N83" s="4283"/>
    </row>
    <row r="84" spans="1:17" s="1208" customFormat="1" ht="12" customHeight="1" thickBot="1">
      <c r="A84" s="3672"/>
      <c r="B84" s="292" t="s">
        <v>19</v>
      </c>
      <c r="C84" s="4062"/>
      <c r="D84" s="206">
        <f>E84+L84+F84+G84+H84+I84+J84+K84</f>
        <v>7281334</v>
      </c>
      <c r="E84" s="976">
        <f>2200675+1291712</f>
        <v>3492387</v>
      </c>
      <c r="F84" s="471">
        <f>1870000-260297-285756</f>
        <v>1323947</v>
      </c>
      <c r="G84" s="471">
        <v>1275000</v>
      </c>
      <c r="H84" s="471">
        <v>1190000</v>
      </c>
      <c r="I84" s="471"/>
      <c r="J84" s="471"/>
      <c r="K84" s="471"/>
      <c r="L84" s="471">
        <v>0</v>
      </c>
      <c r="M84" s="4205"/>
      <c r="N84" s="4284"/>
    </row>
    <row r="85" spans="1:17" s="1208" customFormat="1" ht="37.5" customHeight="1">
      <c r="A85" s="3953" t="s">
        <v>58</v>
      </c>
      <c r="B85" s="142" t="s">
        <v>278</v>
      </c>
      <c r="C85" s="143" t="s">
        <v>72</v>
      </c>
      <c r="D85" s="159"/>
      <c r="E85" s="323"/>
      <c r="F85" s="158"/>
      <c r="G85" s="158"/>
      <c r="H85" s="158"/>
      <c r="I85" s="158"/>
      <c r="J85" s="158"/>
      <c r="K85" s="214"/>
      <c r="L85" s="158"/>
      <c r="M85" s="286"/>
      <c r="N85" s="4281" t="s">
        <v>338</v>
      </c>
    </row>
    <row r="86" spans="1:17" s="1208" customFormat="1" ht="12" customHeight="1">
      <c r="A86" s="3954"/>
      <c r="B86" s="17" t="s">
        <v>9</v>
      </c>
      <c r="C86" s="1047"/>
      <c r="D86" s="330">
        <f>+D87+D89</f>
        <v>41857</v>
      </c>
      <c r="E86" s="330">
        <f t="shared" ref="E86" si="56">+E87+E89</f>
        <v>41857</v>
      </c>
      <c r="F86" s="330">
        <f>+F87+F89</f>
        <v>0</v>
      </c>
      <c r="G86" s="330">
        <f>+G87+G89</f>
        <v>0</v>
      </c>
      <c r="H86" s="330">
        <f>+H87+H89</f>
        <v>0</v>
      </c>
      <c r="I86" s="330"/>
      <c r="J86" s="330"/>
      <c r="K86" s="330"/>
      <c r="L86" s="330">
        <f>+L87+L89</f>
        <v>0</v>
      </c>
      <c r="M86" s="2046">
        <f>M87+M89</f>
        <v>0</v>
      </c>
      <c r="N86" s="4282"/>
      <c r="O86" s="261">
        <f>D86-'[5]Tab. 6E - Administracja'!$D$83</f>
        <v>0</v>
      </c>
    </row>
    <row r="87" spans="1:17" s="1208" customFormat="1" ht="12" customHeight="1">
      <c r="A87" s="3954"/>
      <c r="B87" s="144" t="s">
        <v>22</v>
      </c>
      <c r="C87" s="4287" t="s">
        <v>192</v>
      </c>
      <c r="D87" s="331">
        <f>+D88</f>
        <v>6279</v>
      </c>
      <c r="E87" s="331">
        <f t="shared" ref="E87:H87" si="57">+E88</f>
        <v>6279</v>
      </c>
      <c r="F87" s="331">
        <f t="shared" si="57"/>
        <v>0</v>
      </c>
      <c r="G87" s="331">
        <f t="shared" si="57"/>
        <v>0</v>
      </c>
      <c r="H87" s="331">
        <f t="shared" si="57"/>
        <v>0</v>
      </c>
      <c r="I87" s="331"/>
      <c r="J87" s="331"/>
      <c r="K87" s="331"/>
      <c r="L87" s="331">
        <f>+L88</f>
        <v>0</v>
      </c>
      <c r="M87" s="2045">
        <f>+M88</f>
        <v>0</v>
      </c>
      <c r="N87" s="4283"/>
    </row>
    <row r="88" spans="1:17" s="1208" customFormat="1" ht="12" customHeight="1">
      <c r="A88" s="3954"/>
      <c r="B88" s="145" t="s">
        <v>12</v>
      </c>
      <c r="C88" s="4116"/>
      <c r="D88" s="206">
        <f>E88+L88+F88+G88+H88+I88+J88+K88</f>
        <v>6279</v>
      </c>
      <c r="E88" s="976">
        <f>5706+573</f>
        <v>6279</v>
      </c>
      <c r="F88" s="146">
        <v>0</v>
      </c>
      <c r="G88" s="146">
        <v>0</v>
      </c>
      <c r="H88" s="146">
        <v>0</v>
      </c>
      <c r="I88" s="146"/>
      <c r="J88" s="146"/>
      <c r="K88" s="146"/>
      <c r="L88" s="146">
        <v>0</v>
      </c>
      <c r="M88" s="507">
        <f>SUM(G88:K88)</f>
        <v>0</v>
      </c>
      <c r="N88" s="4283"/>
    </row>
    <row r="89" spans="1:17" s="1208" customFormat="1" ht="12" customHeight="1">
      <c r="A89" s="3954"/>
      <c r="B89" s="69" t="s">
        <v>17</v>
      </c>
      <c r="C89" s="4116"/>
      <c r="D89" s="332">
        <f>D90</f>
        <v>35578</v>
      </c>
      <c r="E89" s="332">
        <f t="shared" ref="E89:H89" si="58">E90</f>
        <v>35578</v>
      </c>
      <c r="F89" s="332">
        <f t="shared" si="58"/>
        <v>0</v>
      </c>
      <c r="G89" s="332">
        <f t="shared" si="58"/>
        <v>0</v>
      </c>
      <c r="H89" s="332">
        <f t="shared" si="58"/>
        <v>0</v>
      </c>
      <c r="I89" s="332"/>
      <c r="J89" s="332"/>
      <c r="K89" s="332"/>
      <c r="L89" s="332">
        <f>L90</f>
        <v>0</v>
      </c>
      <c r="M89" s="2045">
        <f>+M90</f>
        <v>0</v>
      </c>
      <c r="N89" s="4283"/>
    </row>
    <row r="90" spans="1:17" s="1208" customFormat="1" ht="12" customHeight="1">
      <c r="A90" s="3954"/>
      <c r="B90" s="1048" t="s">
        <v>19</v>
      </c>
      <c r="C90" s="4117"/>
      <c r="D90" s="206">
        <f>E90+L90+F90+G90+H90+I90+J90+K90</f>
        <v>35578</v>
      </c>
      <c r="E90" s="976">
        <f>32332+3246</f>
        <v>35578</v>
      </c>
      <c r="F90" s="110">
        <v>0</v>
      </c>
      <c r="G90" s="110">
        <v>0</v>
      </c>
      <c r="H90" s="110">
        <v>0</v>
      </c>
      <c r="I90" s="110"/>
      <c r="J90" s="110"/>
      <c r="K90" s="110"/>
      <c r="L90" s="110">
        <v>0</v>
      </c>
      <c r="M90" s="507">
        <f>SUM(G90:K90)</f>
        <v>0</v>
      </c>
      <c r="N90" s="4283"/>
    </row>
    <row r="91" spans="1:17" s="1208" customFormat="1" ht="12" customHeight="1">
      <c r="A91" s="3671"/>
      <c r="B91" s="17" t="s">
        <v>20</v>
      </c>
      <c r="C91" s="1049"/>
      <c r="D91" s="330">
        <f>D92+D94</f>
        <v>41857</v>
      </c>
      <c r="E91" s="330">
        <f t="shared" ref="E91" si="59">E92+E94</f>
        <v>41857</v>
      </c>
      <c r="F91" s="330">
        <f>F92+F94</f>
        <v>0</v>
      </c>
      <c r="G91" s="330">
        <f>G92+G94</f>
        <v>0</v>
      </c>
      <c r="H91" s="330">
        <f>H92+H94</f>
        <v>0</v>
      </c>
      <c r="I91" s="330"/>
      <c r="J91" s="330"/>
      <c r="K91" s="330"/>
      <c r="L91" s="330">
        <f>L92+L94</f>
        <v>0</v>
      </c>
      <c r="M91" s="4070" t="s">
        <v>52</v>
      </c>
      <c r="N91" s="4283"/>
      <c r="O91" s="261">
        <f>D91-'[5]Tab. 6E - Administracja'!$D$88</f>
        <v>0</v>
      </c>
    </row>
    <row r="92" spans="1:17" s="1208" customFormat="1" ht="12" customHeight="1" thickBot="1">
      <c r="A92" s="3671"/>
      <c r="B92" s="1050" t="s">
        <v>22</v>
      </c>
      <c r="C92" s="4287" t="s">
        <v>192</v>
      </c>
      <c r="D92" s="331">
        <f>D93</f>
        <v>6279</v>
      </c>
      <c r="E92" s="331">
        <f t="shared" ref="E92:H92" si="60">E93</f>
        <v>6279</v>
      </c>
      <c r="F92" s="331">
        <f t="shared" si="60"/>
        <v>0</v>
      </c>
      <c r="G92" s="331">
        <f t="shared" si="60"/>
        <v>0</v>
      </c>
      <c r="H92" s="331">
        <f t="shared" si="60"/>
        <v>0</v>
      </c>
      <c r="I92" s="331"/>
      <c r="J92" s="331"/>
      <c r="K92" s="331"/>
      <c r="L92" s="331">
        <f>L93</f>
        <v>0</v>
      </c>
      <c r="M92" s="4071"/>
      <c r="N92" s="4284"/>
    </row>
    <row r="93" spans="1:17" s="1208" customFormat="1" ht="12" customHeight="1" thickBot="1">
      <c r="A93" s="3671"/>
      <c r="B93" s="149" t="s">
        <v>12</v>
      </c>
      <c r="C93" s="4116"/>
      <c r="D93" s="206">
        <f>E93+L93+F93+G93+H93+I93+J93+K93</f>
        <v>6279</v>
      </c>
      <c r="E93" s="976">
        <f>5706+573</f>
        <v>6279</v>
      </c>
      <c r="F93" s="326">
        <v>0</v>
      </c>
      <c r="G93" s="195">
        <v>0</v>
      </c>
      <c r="H93" s="195">
        <v>0</v>
      </c>
      <c r="I93" s="195"/>
      <c r="J93" s="195"/>
      <c r="K93" s="195"/>
      <c r="L93" s="326">
        <v>0</v>
      </c>
      <c r="M93" s="4071"/>
      <c r="N93" s="4285"/>
    </row>
    <row r="94" spans="1:17" s="1208" customFormat="1" ht="12" customHeight="1" thickBot="1">
      <c r="A94" s="3671"/>
      <c r="B94" s="1051" t="s">
        <v>17</v>
      </c>
      <c r="C94" s="4116"/>
      <c r="D94" s="332">
        <f>D95</f>
        <v>35578</v>
      </c>
      <c r="E94" s="332">
        <f t="shared" ref="E94:H94" si="61">E95</f>
        <v>35578</v>
      </c>
      <c r="F94" s="332">
        <f t="shared" si="61"/>
        <v>0</v>
      </c>
      <c r="G94" s="332">
        <f t="shared" si="61"/>
        <v>0</v>
      </c>
      <c r="H94" s="332">
        <f t="shared" si="61"/>
        <v>0</v>
      </c>
      <c r="I94" s="332"/>
      <c r="J94" s="332"/>
      <c r="K94" s="332"/>
      <c r="L94" s="332">
        <f>L95</f>
        <v>0</v>
      </c>
      <c r="M94" s="4071"/>
      <c r="N94" s="4285"/>
    </row>
    <row r="95" spans="1:17" s="1208" customFormat="1" ht="12" customHeight="1" thickBot="1">
      <c r="A95" s="3671"/>
      <c r="B95" s="292" t="s">
        <v>19</v>
      </c>
      <c r="C95" s="4062"/>
      <c r="D95" s="206">
        <f>E95+L95+F95+G95+H95+I95+J95+K95</f>
        <v>35578</v>
      </c>
      <c r="E95" s="976">
        <f>32332+3246</f>
        <v>35578</v>
      </c>
      <c r="F95" s="150">
        <v>0</v>
      </c>
      <c r="G95" s="91">
        <v>0</v>
      </c>
      <c r="H95" s="91">
        <v>0</v>
      </c>
      <c r="I95" s="91"/>
      <c r="J95" s="91"/>
      <c r="K95" s="91"/>
      <c r="L95" s="150">
        <v>0</v>
      </c>
      <c r="M95" s="4223"/>
      <c r="N95" s="4286"/>
    </row>
    <row r="96" spans="1:17" s="280" customFormat="1" ht="17.25" customHeight="1" thickBot="1">
      <c r="A96" s="3955" t="s">
        <v>105</v>
      </c>
      <c r="B96" s="142" t="s">
        <v>236</v>
      </c>
      <c r="C96" s="143" t="s">
        <v>99</v>
      </c>
      <c r="D96" s="323">
        <f>+D103+D113</f>
        <v>110624012</v>
      </c>
      <c r="E96" s="323"/>
      <c r="F96" s="323"/>
      <c r="G96" s="323"/>
      <c r="H96" s="323"/>
      <c r="I96" s="323"/>
      <c r="J96" s="323"/>
      <c r="K96" s="323"/>
      <c r="L96" s="323"/>
      <c r="M96" s="323">
        <f>+M101+M111</f>
        <v>15707642</v>
      </c>
      <c r="N96" s="4240" t="s">
        <v>330</v>
      </c>
      <c r="O96" s="957" t="s">
        <v>332</v>
      </c>
      <c r="P96" s="957" t="s">
        <v>333</v>
      </c>
      <c r="Q96" s="285"/>
    </row>
    <row r="97" spans="1:19" s="280" customFormat="1" ht="15.75" customHeight="1" thickBot="1">
      <c r="A97" s="4058"/>
      <c r="B97" s="475" t="s">
        <v>9</v>
      </c>
      <c r="C97" s="1145"/>
      <c r="D97" s="1146">
        <f>+D108+D98</f>
        <v>218512517</v>
      </c>
      <c r="E97" s="1146">
        <f t="shared" ref="E97" si="62">+E108+E98</f>
        <v>50112149</v>
      </c>
      <c r="F97" s="1146">
        <f t="shared" ref="F97:H97" si="63">+F108+F98</f>
        <v>27351831</v>
      </c>
      <c r="G97" s="1146">
        <f t="shared" si="63"/>
        <v>32391820</v>
      </c>
      <c r="H97" s="1146">
        <f t="shared" si="63"/>
        <v>33227978</v>
      </c>
      <c r="I97" s="1146">
        <f>+I108+I98</f>
        <v>26742271</v>
      </c>
      <c r="J97" s="1146">
        <f>+J108+J98</f>
        <v>25648096</v>
      </c>
      <c r="K97" s="1146">
        <f>+K108+K98</f>
        <v>23038372</v>
      </c>
      <c r="L97" s="1146">
        <f>+L108+L98</f>
        <v>0</v>
      </c>
      <c r="M97" s="1147">
        <f>+M108+M98</f>
        <v>140652257</v>
      </c>
      <c r="N97" s="4241"/>
      <c r="O97" s="959">
        <f>+O98+O108</f>
        <v>24456849</v>
      </c>
      <c r="P97" s="958">
        <f>D96-'[5]Tab. 6E - Administracja'!$D$93</f>
        <v>-106803644</v>
      </c>
    </row>
    <row r="98" spans="1:19" s="268" customFormat="1" ht="15.75" customHeight="1" thickBot="1">
      <c r="A98" s="4058"/>
      <c r="B98" s="453" t="s">
        <v>22</v>
      </c>
      <c r="C98" s="3746" t="s">
        <v>328</v>
      </c>
      <c r="D98" s="1148">
        <f>D99+D105</f>
        <v>35857730</v>
      </c>
      <c r="E98" s="1148">
        <f t="shared" ref="E98" si="64">E99+E105</f>
        <v>9566334</v>
      </c>
      <c r="F98" s="1148">
        <f t="shared" ref="F98:H98" si="65">F99+F105</f>
        <v>5039550</v>
      </c>
      <c r="G98" s="1148">
        <f t="shared" si="65"/>
        <v>5415787</v>
      </c>
      <c r="H98" s="1148">
        <f t="shared" si="65"/>
        <v>5671595</v>
      </c>
      <c r="I98" s="1148">
        <f>I99+I105</f>
        <v>4500165</v>
      </c>
      <c r="J98" s="1148">
        <f>J99+J105</f>
        <v>3065310</v>
      </c>
      <c r="K98" s="1148">
        <f>K99+K105</f>
        <v>2598989</v>
      </c>
      <c r="L98" s="1148">
        <f>L99+L105</f>
        <v>0</v>
      </c>
      <c r="M98" s="1149">
        <f>M99+M105</f>
        <v>20855566</v>
      </c>
      <c r="N98" s="4241"/>
      <c r="O98" s="961">
        <f>+O99+O105</f>
        <v>2983757</v>
      </c>
      <c r="P98" s="960"/>
    </row>
    <row r="99" spans="1:19" s="280" customFormat="1" ht="12.75" customHeight="1" thickBot="1">
      <c r="A99" s="4058"/>
      <c r="B99" s="2067" t="s">
        <v>11</v>
      </c>
      <c r="C99" s="4116"/>
      <c r="D99" s="1160">
        <f t="shared" ref="D99:D107" si="66">E99+L99+F99+G99+H99+I99+J99+K99</f>
        <v>34742163</v>
      </c>
      <c r="E99" s="1630">
        <f>+E101+E102+E103+E104</f>
        <v>8907379</v>
      </c>
      <c r="F99" s="1150">
        <f t="shared" ref="F99:K99" si="67">+F101+F102+F103+F104</f>
        <v>4979218</v>
      </c>
      <c r="G99" s="1150">
        <f t="shared" si="67"/>
        <v>5321519</v>
      </c>
      <c r="H99" s="1150">
        <f t="shared" si="67"/>
        <v>5587595</v>
      </c>
      <c r="I99" s="1150">
        <f t="shared" si="67"/>
        <v>4423365</v>
      </c>
      <c r="J99" s="1150">
        <f t="shared" si="67"/>
        <v>2988510</v>
      </c>
      <c r="K99" s="1150">
        <f t="shared" si="67"/>
        <v>2534577</v>
      </c>
      <c r="L99" s="1150">
        <f>+L101+L102+L103+L104</f>
        <v>0</v>
      </c>
      <c r="M99" s="507">
        <f>SUM(G99:K99)</f>
        <v>20855566</v>
      </c>
      <c r="N99" s="4242"/>
      <c r="O99" s="2545">
        <v>2627754</v>
      </c>
      <c r="P99" s="2546"/>
    </row>
    <row r="100" spans="1:19" s="280" customFormat="1" ht="12.75" customHeight="1" thickBot="1">
      <c r="A100" s="4058"/>
      <c r="B100" s="2068" t="s">
        <v>139</v>
      </c>
      <c r="C100" s="4116"/>
      <c r="D100" s="2062">
        <f t="shared" si="66"/>
        <v>0</v>
      </c>
      <c r="E100" s="2077"/>
      <c r="F100" s="1151"/>
      <c r="G100" s="1151"/>
      <c r="H100" s="1151"/>
      <c r="I100" s="1151"/>
      <c r="J100" s="1151"/>
      <c r="K100" s="1151"/>
      <c r="L100" s="1151"/>
      <c r="M100" s="1152"/>
      <c r="N100" s="4243"/>
      <c r="O100" s="2545"/>
      <c r="P100" s="2546"/>
    </row>
    <row r="101" spans="1:19" s="280" customFormat="1" ht="12.75" customHeight="1">
      <c r="A101" s="3953"/>
      <c r="B101" s="2069" t="s">
        <v>140</v>
      </c>
      <c r="C101" s="4116"/>
      <c r="D101" s="2062">
        <f t="shared" si="66"/>
        <v>12010544</v>
      </c>
      <c r="E101" s="2078">
        <f>2627754+3999921</f>
        <v>6627675</v>
      </c>
      <c r="F101" s="1153">
        <f>2649563+743210+23964+12346+216379+104606+521912-2</f>
        <v>4271978</v>
      </c>
      <c r="G101" s="1153">
        <f>209584+437321+232973+17729+132553+31212+49519</f>
        <v>1110891</v>
      </c>
      <c r="H101" s="1153">
        <f>152659-152659</f>
        <v>0</v>
      </c>
      <c r="I101" s="1153"/>
      <c r="J101" s="1153"/>
      <c r="K101" s="1153"/>
      <c r="L101" s="1153">
        <v>0</v>
      </c>
      <c r="M101" s="2072">
        <f>+G101+H101+I101+J101+K101</f>
        <v>1110891</v>
      </c>
      <c r="N101" s="4244"/>
      <c r="O101" s="2545"/>
      <c r="P101" s="2546"/>
    </row>
    <row r="102" spans="1:19" s="280" customFormat="1" ht="12.75" customHeight="1" thickBot="1">
      <c r="A102" s="3955"/>
      <c r="B102" s="1998" t="s">
        <v>141</v>
      </c>
      <c r="C102" s="4116"/>
      <c r="D102" s="2062">
        <f t="shared" si="66"/>
        <v>0</v>
      </c>
      <c r="E102" s="2079"/>
      <c r="F102" s="1154"/>
      <c r="G102" s="1154"/>
      <c r="H102" s="1154"/>
      <c r="I102" s="1154"/>
      <c r="J102" s="1154"/>
      <c r="K102" s="1154"/>
      <c r="L102" s="1154"/>
      <c r="M102" s="2073">
        <f>+F102+G102+H102+I102+J102+K102</f>
        <v>0</v>
      </c>
      <c r="N102" s="4245"/>
      <c r="O102" s="2545"/>
      <c r="P102" s="2546"/>
    </row>
    <row r="103" spans="1:19" s="280" customFormat="1" ht="12.75" customHeight="1" thickBot="1">
      <c r="A103" s="4058"/>
      <c r="B103" s="2004" t="s">
        <v>142</v>
      </c>
      <c r="C103" s="4062"/>
      <c r="D103" s="1160">
        <f t="shared" si="66"/>
        <v>22731619</v>
      </c>
      <c r="E103" s="1160">
        <f>12575+1455753-13283+824659</f>
        <v>2279704</v>
      </c>
      <c r="F103" s="2013">
        <f>2845477-121293-214551-743210-23964-12346-216379-104606-521912-179976</f>
        <v>707240</v>
      </c>
      <c r="G103" s="2013">
        <f>903845+1354520+99595+2103807+347372+333239+179141-209584-437321-232973-17729-132553-31212-49519</f>
        <v>4210628</v>
      </c>
      <c r="H103" s="2013">
        <f>921922+1381610+101587+2145884+357793+162483+30806+485510</f>
        <v>5587595</v>
      </c>
      <c r="I103" s="2013">
        <f>4642023+192558-411216</f>
        <v>4423365</v>
      </c>
      <c r="J103" s="2013">
        <f>2551196+450141-14983+2156</f>
        <v>2988510</v>
      </c>
      <c r="K103" s="2013">
        <f>2645893+416877-14984+2157+13-515379</f>
        <v>2534577</v>
      </c>
      <c r="L103" s="2547">
        <v>0</v>
      </c>
      <c r="M103" s="2072">
        <f>+G103+H103+I103+J103+K103</f>
        <v>19744675</v>
      </c>
      <c r="N103" s="4242"/>
      <c r="O103" s="2545"/>
      <c r="P103" s="2546"/>
    </row>
    <row r="104" spans="1:19" s="280" customFormat="1" ht="12.75" customHeight="1" thickBot="1">
      <c r="A104" s="4058"/>
      <c r="B104" s="2070" t="s">
        <v>143</v>
      </c>
      <c r="C104" s="4234"/>
      <c r="D104" s="2063">
        <f t="shared" si="66"/>
        <v>0</v>
      </c>
      <c r="E104" s="2080"/>
      <c r="F104" s="2008"/>
      <c r="G104" s="2008"/>
      <c r="H104" s="2008"/>
      <c r="I104" s="2008"/>
      <c r="J104" s="2008"/>
      <c r="K104" s="2008"/>
      <c r="L104" s="2008"/>
      <c r="M104" s="2073">
        <f>+F104+G104+H104+I104+J104+K104</f>
        <v>0</v>
      </c>
      <c r="N104" s="4245"/>
      <c r="O104" s="2545"/>
      <c r="P104" s="2546"/>
    </row>
    <row r="105" spans="1:19" s="280" customFormat="1">
      <c r="A105" s="3954"/>
      <c r="B105" s="2071" t="s">
        <v>30</v>
      </c>
      <c r="C105" s="4116"/>
      <c r="D105" s="2075">
        <f t="shared" si="66"/>
        <v>1115567</v>
      </c>
      <c r="E105" s="1630">
        <f t="shared" ref="E105:K105" si="68">SUM(E106:E107)</f>
        <v>658955</v>
      </c>
      <c r="F105" s="1598">
        <f t="shared" si="68"/>
        <v>60332</v>
      </c>
      <c r="G105" s="1598">
        <f t="shared" si="68"/>
        <v>94268</v>
      </c>
      <c r="H105" s="1598">
        <f t="shared" si="68"/>
        <v>84000</v>
      </c>
      <c r="I105" s="1598">
        <f t="shared" si="68"/>
        <v>76800</v>
      </c>
      <c r="J105" s="1598">
        <f t="shared" si="68"/>
        <v>76800</v>
      </c>
      <c r="K105" s="1598">
        <f t="shared" si="68"/>
        <v>64412</v>
      </c>
      <c r="L105" s="1598">
        <f>SUM(L106:L107)</f>
        <v>0</v>
      </c>
      <c r="M105" s="2074">
        <f>M106+M107</f>
        <v>0</v>
      </c>
      <c r="N105" s="4246"/>
      <c r="O105" s="2545">
        <v>356003</v>
      </c>
      <c r="P105" s="2546"/>
    </row>
    <row r="106" spans="1:19" s="280" customFormat="1" ht="12.75" customHeight="1">
      <c r="A106" s="4301"/>
      <c r="B106" s="1978" t="s">
        <v>226</v>
      </c>
      <c r="C106" s="3920"/>
      <c r="D106" s="1972">
        <f t="shared" si="66"/>
        <v>576913</v>
      </c>
      <c r="E106" s="2076">
        <f>51728+68573</f>
        <v>120301</v>
      </c>
      <c r="F106" s="1979">
        <f>70167+14504+8153-30706-1786</f>
        <v>60332</v>
      </c>
      <c r="G106" s="1979">
        <f>64019+3544+20673+6032</f>
        <v>94268</v>
      </c>
      <c r="H106" s="1979">
        <f>64019+13446+6535</f>
        <v>84000</v>
      </c>
      <c r="I106" s="1979">
        <f>64019+12781</f>
        <v>76800</v>
      </c>
      <c r="J106" s="1979">
        <f>64018+12782</f>
        <v>76800</v>
      </c>
      <c r="K106" s="1979">
        <f>64018+394</f>
        <v>64412</v>
      </c>
      <c r="L106" s="1979">
        <v>0</v>
      </c>
      <c r="M106" s="2066">
        <v>0</v>
      </c>
      <c r="N106" s="4246"/>
      <c r="O106" s="2545"/>
      <c r="P106" s="2546"/>
    </row>
    <row r="107" spans="1:19" s="280" customFormat="1" ht="12.75" customHeight="1">
      <c r="A107" s="4301"/>
      <c r="B107" s="1978" t="s">
        <v>227</v>
      </c>
      <c r="C107" s="3920"/>
      <c r="D107" s="1972">
        <f t="shared" si="66"/>
        <v>538654</v>
      </c>
      <c r="E107" s="2076">
        <f>304275+234379</f>
        <v>538654</v>
      </c>
      <c r="F107" s="1979">
        <f>441506+300-2-441804</f>
        <v>0</v>
      </c>
      <c r="G107" s="1979">
        <f>406479-406479</f>
        <v>0</v>
      </c>
      <c r="H107" s="1979">
        <f>406478-406478</f>
        <v>0</v>
      </c>
      <c r="I107" s="1979">
        <f>406478-406478</f>
        <v>0</v>
      </c>
      <c r="J107" s="1979">
        <f>406479-406479</f>
        <v>0</v>
      </c>
      <c r="K107" s="1979">
        <f>406479-406479</f>
        <v>0</v>
      </c>
      <c r="L107" s="1979">
        <v>0</v>
      </c>
      <c r="M107" s="2066">
        <v>0</v>
      </c>
      <c r="N107" s="4246"/>
      <c r="O107" s="2545"/>
      <c r="P107" s="2546"/>
    </row>
    <row r="108" spans="1:19" s="280" customFormat="1" ht="12.75" customHeight="1">
      <c r="A108" s="4301"/>
      <c r="B108" s="2095" t="s">
        <v>17</v>
      </c>
      <c r="C108" s="3920"/>
      <c r="D108" s="2064">
        <f>+D109</f>
        <v>182654787</v>
      </c>
      <c r="E108" s="404">
        <f>+E109</f>
        <v>40545815</v>
      </c>
      <c r="F108" s="404">
        <f t="shared" ref="F108:M108" si="69">+F109</f>
        <v>22312281</v>
      </c>
      <c r="G108" s="404">
        <f t="shared" si="69"/>
        <v>26976033</v>
      </c>
      <c r="H108" s="404">
        <f t="shared" si="69"/>
        <v>27556383</v>
      </c>
      <c r="I108" s="404">
        <f t="shared" si="69"/>
        <v>22242106</v>
      </c>
      <c r="J108" s="404">
        <f t="shared" si="69"/>
        <v>22582786</v>
      </c>
      <c r="K108" s="2064">
        <f t="shared" si="69"/>
        <v>20439383</v>
      </c>
      <c r="L108" s="404">
        <f>+L109</f>
        <v>0</v>
      </c>
      <c r="M108" s="2065">
        <f t="shared" si="69"/>
        <v>119796691</v>
      </c>
      <c r="N108" s="4246"/>
      <c r="O108" s="961">
        <f>+O109</f>
        <v>21473092</v>
      </c>
      <c r="P108" s="960">
        <f>D118-'[5]Tab. 6E - Administracja'!$D$115</f>
        <v>0</v>
      </c>
    </row>
    <row r="109" spans="1:19" s="1208" customFormat="1" ht="13.5" thickBot="1">
      <c r="A109" s="3955"/>
      <c r="B109" s="1599" t="s">
        <v>19</v>
      </c>
      <c r="C109" s="4117"/>
      <c r="D109" s="2020">
        <f>E109+L109+F109+G109+H109+I109+J109+K109</f>
        <v>182654787</v>
      </c>
      <c r="E109" s="1598">
        <f>+E111+E112+E113+E114+E115+E116+E117</f>
        <v>40545815</v>
      </c>
      <c r="F109" s="1598">
        <f t="shared" ref="F109:K109" si="70">+F111+F112+F113+F114+F115+F116+F117</f>
        <v>22312281</v>
      </c>
      <c r="G109" s="1598">
        <f t="shared" si="70"/>
        <v>26976033</v>
      </c>
      <c r="H109" s="1598">
        <f t="shared" si="70"/>
        <v>27556383</v>
      </c>
      <c r="I109" s="1598">
        <f t="shared" si="70"/>
        <v>22242106</v>
      </c>
      <c r="J109" s="1598">
        <f t="shared" si="70"/>
        <v>22582786</v>
      </c>
      <c r="K109" s="1598">
        <f t="shared" si="70"/>
        <v>20439383</v>
      </c>
      <c r="L109" s="1598">
        <f>+L111+L112+L113+L114+L115+L116+L117</f>
        <v>0</v>
      </c>
      <c r="M109" s="507">
        <f>SUM(G109:K109)</f>
        <v>119796691</v>
      </c>
      <c r="N109" s="4245"/>
      <c r="O109" s="2545">
        <v>21473092</v>
      </c>
      <c r="P109" s="2546">
        <f>F118-'[1]Tab. 6E - Administracja'!$G$115</f>
        <v>-4615365</v>
      </c>
      <c r="S109" s="297"/>
    </row>
    <row r="110" spans="1:19" s="1208" customFormat="1" ht="15.75" customHeight="1" thickBot="1">
      <c r="A110" s="4058"/>
      <c r="B110" s="977" t="s">
        <v>139</v>
      </c>
      <c r="C110" s="1841"/>
      <c r="D110" s="1842"/>
      <c r="E110" s="1843"/>
      <c r="F110" s="1843"/>
      <c r="G110" s="1843"/>
      <c r="H110" s="1843"/>
      <c r="I110" s="1843"/>
      <c r="J110" s="1843"/>
      <c r="K110" s="1843"/>
      <c r="L110" s="1843"/>
      <c r="M110" s="1161"/>
      <c r="N110" s="4241"/>
      <c r="O110" s="2545"/>
      <c r="P110" s="959"/>
      <c r="S110" s="153"/>
    </row>
    <row r="111" spans="1:19" s="1208" customFormat="1" ht="12.75" customHeight="1" thickBot="1">
      <c r="A111" s="4058"/>
      <c r="B111" s="340" t="s">
        <v>140</v>
      </c>
      <c r="C111" s="301"/>
      <c r="D111" s="698">
        <f t="shared" ref="D111:D117" si="71">E111+L111+F111+G111+H111+I111+J111+K111</f>
        <v>53599454</v>
      </c>
      <c r="E111" s="934">
        <f>6418+10696707-5063+12765994</f>
        <v>23464056</v>
      </c>
      <c r="F111" s="927">
        <f>11149912-250000+2639699-890000+135797+69956+438395+592761+1811212-159085</f>
        <v>15538647</v>
      </c>
      <c r="G111" s="927">
        <f>1820395+620000-140395+15000+227456+400000+1187640+888759+510111+100457+751134+176877+280604</f>
        <v>6838038</v>
      </c>
      <c r="H111" s="927">
        <f>1820395+865067-985462+326000+516456+281316</f>
        <v>2823772</v>
      </c>
      <c r="I111" s="927">
        <f>1820395-120395</f>
        <v>1700000</v>
      </c>
      <c r="J111" s="927">
        <f>1820395-120395</f>
        <v>1700000</v>
      </c>
      <c r="K111" s="927">
        <f>1820391-285524+74</f>
        <v>1534941</v>
      </c>
      <c r="L111" s="927">
        <v>0</v>
      </c>
      <c r="M111" s="2072">
        <f t="shared" ref="M111:M116" si="72">+G111+H111+I111+J111+K111</f>
        <v>14596751</v>
      </c>
      <c r="N111" s="4241"/>
      <c r="O111" s="2545"/>
      <c r="P111" s="961"/>
      <c r="S111" s="153"/>
    </row>
    <row r="112" spans="1:19" s="1208" customFormat="1" ht="12.75" customHeight="1" thickBot="1">
      <c r="A112" s="4058"/>
      <c r="B112" s="1039" t="s">
        <v>141</v>
      </c>
      <c r="C112" s="1162"/>
      <c r="D112" s="698">
        <f t="shared" si="71"/>
        <v>17450144</v>
      </c>
      <c r="E112" s="1154">
        <f>5406+2022679+2320551</f>
        <v>4348636</v>
      </c>
      <c r="F112" s="1154">
        <f>2618000-118000+599987+19922-763500-306035</f>
        <v>2050374</v>
      </c>
      <c r="G112" s="1154">
        <f>1813339+841315-154654+596852</f>
        <v>3096852</v>
      </c>
      <c r="H112" s="1154">
        <f>1813339-113339+446000+17000+805414</f>
        <v>2968414</v>
      </c>
      <c r="I112" s="1154">
        <f>1813339-113339+17000</f>
        <v>1717000</v>
      </c>
      <c r="J112" s="1154">
        <f>1813339-113339+17000</f>
        <v>1717000</v>
      </c>
      <c r="K112" s="1154">
        <f>1813335-278467+17000</f>
        <v>1551868</v>
      </c>
      <c r="L112" s="1154">
        <v>0</v>
      </c>
      <c r="M112" s="2072">
        <f t="shared" si="72"/>
        <v>11051134</v>
      </c>
      <c r="N112" s="4241"/>
      <c r="O112" s="2545"/>
      <c r="P112" s="2545"/>
      <c r="S112" s="153"/>
    </row>
    <row r="113" spans="1:20" s="298" customFormat="1" ht="12.75" customHeight="1" thickBot="1">
      <c r="A113" s="4058"/>
      <c r="B113" s="1041" t="s">
        <v>142</v>
      </c>
      <c r="C113" s="1163"/>
      <c r="D113" s="698">
        <f t="shared" si="71"/>
        <v>87892393</v>
      </c>
      <c r="E113" s="1164">
        <f>71254+3533980-75275+2330050</f>
        <v>5860009</v>
      </c>
      <c r="F113" s="936">
        <f>10062170-687329-417765-2639699-135797-69956-438395-592761-1811212-831085</f>
        <v>2438171</v>
      </c>
      <c r="G113" s="936">
        <f>5121786+7675610+564375+1968441+2006240+376679-1187640-888759-510111-100457-751134-176877-280604</f>
        <v>13817549</v>
      </c>
      <c r="H113" s="936">
        <f>5224221+7829122+575662+2027494+491996+174564+2275728</f>
        <v>18598787</v>
      </c>
      <c r="I113" s="936">
        <f>13901587+2088319</f>
        <v>15989906</v>
      </c>
      <c r="J113" s="936">
        <f>14179618+2150968</f>
        <v>16330586</v>
      </c>
      <c r="K113" s="936">
        <f>14463209+2215498-1821322</f>
        <v>14857385</v>
      </c>
      <c r="L113" s="936">
        <v>0</v>
      </c>
      <c r="M113" s="2072">
        <f t="shared" si="72"/>
        <v>79594213</v>
      </c>
      <c r="N113" s="4241"/>
      <c r="O113" s="2545"/>
      <c r="P113" s="2545"/>
      <c r="S113" s="299"/>
    </row>
    <row r="114" spans="1:20" s="298" customFormat="1" ht="12.75" customHeight="1" thickBot="1">
      <c r="A114" s="4058"/>
      <c r="B114" s="1239" t="s">
        <v>143</v>
      </c>
      <c r="C114" s="1165"/>
      <c r="D114" s="698">
        <f t="shared" si="71"/>
        <v>14097114</v>
      </c>
      <c r="E114" s="1156">
        <f>1532968+1445489</f>
        <v>2978457</v>
      </c>
      <c r="F114" s="1156">
        <f>2190000-190000-256200-355333</f>
        <v>1388467</v>
      </c>
      <c r="G114" s="1156">
        <f>2048339-48339</f>
        <v>2000000</v>
      </c>
      <c r="H114" s="1156">
        <f>2048339-48339</f>
        <v>2000000</v>
      </c>
      <c r="I114" s="1156">
        <f>2048339-48339</f>
        <v>2000000</v>
      </c>
      <c r="J114" s="1156">
        <f>2048339-48339</f>
        <v>2000000</v>
      </c>
      <c r="K114" s="1156">
        <f>2048336-148336-169810</f>
        <v>1730190</v>
      </c>
      <c r="L114" s="1156">
        <v>0</v>
      </c>
      <c r="M114" s="2072">
        <f t="shared" si="72"/>
        <v>9730190</v>
      </c>
      <c r="N114" s="4241"/>
      <c r="O114" s="2545"/>
      <c r="P114" s="2545"/>
      <c r="S114" s="299"/>
    </row>
    <row r="115" spans="1:20" s="298" customFormat="1" ht="12.75" customHeight="1" thickBot="1">
      <c r="A115" s="4058"/>
      <c r="B115" s="1239" t="s">
        <v>320</v>
      </c>
      <c r="C115" s="1166"/>
      <c r="D115" s="698">
        <f t="shared" si="71"/>
        <v>3294147</v>
      </c>
      <c r="E115" s="937">
        <v>160590</v>
      </c>
      <c r="F115" s="937">
        <f>420000+309000-139400-34863</f>
        <v>554737</v>
      </c>
      <c r="G115" s="937">
        <f>420000+88900+180510</f>
        <v>689410</v>
      </c>
      <c r="H115" s="937">
        <f>405000+284410</f>
        <v>689410</v>
      </c>
      <c r="I115" s="937">
        <v>400000</v>
      </c>
      <c r="J115" s="937">
        <v>400000</v>
      </c>
      <c r="K115" s="937">
        <v>400000</v>
      </c>
      <c r="L115" s="937">
        <v>0</v>
      </c>
      <c r="M115" s="2072">
        <f t="shared" si="72"/>
        <v>2578820</v>
      </c>
      <c r="N115" s="4241"/>
      <c r="O115" s="2545"/>
      <c r="P115" s="2545"/>
      <c r="S115" s="299"/>
    </row>
    <row r="116" spans="1:20" s="298" customFormat="1" ht="12.75" customHeight="1" thickBot="1">
      <c r="A116" s="4058"/>
      <c r="B116" s="1040" t="s">
        <v>241</v>
      </c>
      <c r="C116" s="1167"/>
      <c r="D116" s="698">
        <f t="shared" si="71"/>
        <v>3269172</v>
      </c>
      <c r="E116" s="1157">
        <f>293127+388577</f>
        <v>681704</v>
      </c>
      <c r="F116" s="938">
        <f>397613+82194+46193-174000-10115</f>
        <v>341885</v>
      </c>
      <c r="G116" s="938">
        <f>362772+20083+117145+34184</f>
        <v>534184</v>
      </c>
      <c r="H116" s="938">
        <f>362772+76194+37034</f>
        <v>476000</v>
      </c>
      <c r="I116" s="938">
        <f>362772+72428</f>
        <v>435200</v>
      </c>
      <c r="J116" s="938">
        <f>362773+72427</f>
        <v>435200</v>
      </c>
      <c r="K116" s="938">
        <f>362773+2226</f>
        <v>364999</v>
      </c>
      <c r="L116" s="2548">
        <v>0</v>
      </c>
      <c r="M116" s="2072">
        <f t="shared" si="72"/>
        <v>2245583</v>
      </c>
      <c r="N116" s="4241"/>
      <c r="O116" s="2545"/>
      <c r="P116" s="2545"/>
      <c r="S116" s="299"/>
    </row>
    <row r="117" spans="1:20" s="298" customFormat="1" ht="12.75" customHeight="1">
      <c r="A117" s="3953"/>
      <c r="B117" s="1040" t="s">
        <v>242</v>
      </c>
      <c r="C117" s="1168"/>
      <c r="D117" s="698">
        <f t="shared" si="71"/>
        <v>3052363</v>
      </c>
      <c r="E117" s="1157">
        <f>1724218+1328145</f>
        <v>3052363</v>
      </c>
      <c r="F117" s="938">
        <f>2501869+1700-1-2503568</f>
        <v>0</v>
      </c>
      <c r="G117" s="938">
        <f>2303378-2303378</f>
        <v>0</v>
      </c>
      <c r="H117" s="938">
        <f>2303378-2303378</f>
        <v>0</v>
      </c>
      <c r="I117" s="938">
        <f>2303378-2303378</f>
        <v>0</v>
      </c>
      <c r="J117" s="938">
        <f>2303377-2303377</f>
        <v>0</v>
      </c>
      <c r="K117" s="938">
        <f>2303377-2303377</f>
        <v>0</v>
      </c>
      <c r="L117" s="2548">
        <v>0</v>
      </c>
      <c r="M117" s="935">
        <f t="shared" ref="M117" si="73">+F117+G117+H117+I117+J117+K117</f>
        <v>0</v>
      </c>
      <c r="N117" s="4244"/>
      <c r="O117" s="2545"/>
      <c r="P117" s="2545"/>
      <c r="S117" s="299"/>
    </row>
    <row r="118" spans="1:20" s="1208" customFormat="1" ht="16.5" customHeight="1">
      <c r="A118" s="3671"/>
      <c r="B118" s="68" t="s">
        <v>20</v>
      </c>
      <c r="C118" s="151"/>
      <c r="D118" s="302">
        <f>+D119</f>
        <v>182654787</v>
      </c>
      <c r="E118" s="302">
        <f t="shared" ref="E118:K118" si="74">+E119</f>
        <v>37278457</v>
      </c>
      <c r="F118" s="302">
        <f t="shared" si="74"/>
        <v>21846610</v>
      </c>
      <c r="G118" s="1169">
        <f t="shared" si="74"/>
        <v>26918191</v>
      </c>
      <c r="H118" s="1169">
        <f t="shared" si="74"/>
        <v>28553916</v>
      </c>
      <c r="I118" s="1169">
        <f t="shared" si="74"/>
        <v>18342132</v>
      </c>
      <c r="J118" s="1169">
        <f t="shared" si="74"/>
        <v>23254317</v>
      </c>
      <c r="K118" s="1169">
        <f t="shared" si="74"/>
        <v>24298290</v>
      </c>
      <c r="L118" s="302">
        <f>+L119</f>
        <v>0</v>
      </c>
      <c r="M118" s="4203" t="s">
        <v>52</v>
      </c>
      <c r="N118" s="4246"/>
      <c r="O118" s="4235" t="s">
        <v>590</v>
      </c>
      <c r="P118" s="4235"/>
      <c r="Q118" s="4235"/>
      <c r="R118" s="4235"/>
      <c r="T118" s="261">
        <f>D122-'[5]Tab. 6E - Administracja'!$D$119</f>
        <v>0</v>
      </c>
    </row>
    <row r="119" spans="1:20" s="1208" customFormat="1">
      <c r="A119" s="3671"/>
      <c r="B119" s="1170" t="s">
        <v>17</v>
      </c>
      <c r="C119" s="3746" t="s">
        <v>225</v>
      </c>
      <c r="D119" s="1135">
        <f t="shared" ref="D119:K119" si="75">+D120</f>
        <v>182654787</v>
      </c>
      <c r="E119" s="1135">
        <f t="shared" si="75"/>
        <v>37278457</v>
      </c>
      <c r="F119" s="1159">
        <f t="shared" si="75"/>
        <v>21846610</v>
      </c>
      <c r="G119" s="1159">
        <f t="shared" si="75"/>
        <v>26918191</v>
      </c>
      <c r="H119" s="1159">
        <f t="shared" si="75"/>
        <v>28553916</v>
      </c>
      <c r="I119" s="1159">
        <f t="shared" si="75"/>
        <v>18342132</v>
      </c>
      <c r="J119" s="1159">
        <f t="shared" si="75"/>
        <v>23254317</v>
      </c>
      <c r="K119" s="1159">
        <f t="shared" si="75"/>
        <v>24298290</v>
      </c>
      <c r="L119" s="1159">
        <f>+L120</f>
        <v>0</v>
      </c>
      <c r="M119" s="4204"/>
      <c r="N119" s="4246"/>
      <c r="O119" s="4235"/>
      <c r="P119" s="4235"/>
      <c r="Q119" s="4235"/>
      <c r="R119" s="4235"/>
    </row>
    <row r="120" spans="1:20" s="1208" customFormat="1" ht="13.5" thickBot="1">
      <c r="A120" s="3672"/>
      <c r="B120" s="292" t="s">
        <v>374</v>
      </c>
      <c r="C120" s="4062"/>
      <c r="D120" s="1636">
        <f>E120+L120+F120+G120+H120+I120+J120+K120+2029435+2998719+2055406+3812897+2520257-11253840</f>
        <v>182654787</v>
      </c>
      <c r="E120" s="2178">
        <f>14581335-5063-75275+22777460</f>
        <v>37278457</v>
      </c>
      <c r="F120" s="1382">
        <f>30885930-8318334+1316270-584995-2464989+5628093+19922-250000-3794592-590695</f>
        <v>21846610</v>
      </c>
      <c r="G120" s="1382">
        <f>29939078-8229084+354097+1107218+5454925-5693167+221045-354239+3399481+916964-198127</f>
        <v>26918191</v>
      </c>
      <c r="H120" s="1382">
        <f>30223312-8246084-386089+82192+1168964-1018024+848194+17000-7137103-1301481+14303035</f>
        <v>28553916</v>
      </c>
      <c r="I120" s="1382">
        <f>30407494-8157684-97132+17000+472638-4300184</f>
        <v>18342132</v>
      </c>
      <c r="J120" s="1382">
        <f>30073524-7545683-34482+17000+743958</f>
        <v>23254317</v>
      </c>
      <c r="K120" s="1382">
        <f>30175721-7364300-400206-169810+74+17000+2039811</f>
        <v>24298290</v>
      </c>
      <c r="L120" s="1382">
        <v>0</v>
      </c>
      <c r="M120" s="4205"/>
      <c r="N120" s="4245"/>
      <c r="O120" s="4235"/>
      <c r="P120" s="4235"/>
      <c r="Q120" s="4235"/>
      <c r="R120" s="4235"/>
    </row>
    <row r="121" spans="1:20" s="1208" customFormat="1" ht="24" customHeight="1">
      <c r="A121" s="3953" t="s">
        <v>78</v>
      </c>
      <c r="B121" s="142" t="s">
        <v>237</v>
      </c>
      <c r="C121" s="143" t="s">
        <v>72</v>
      </c>
      <c r="D121" s="322"/>
      <c r="E121" s="321"/>
      <c r="F121" s="321"/>
      <c r="G121" s="321"/>
      <c r="H121" s="321"/>
      <c r="I121" s="321"/>
      <c r="J121" s="321"/>
      <c r="K121" s="1108"/>
      <c r="L121" s="321"/>
      <c r="M121" s="322"/>
      <c r="N121" s="4237" t="s">
        <v>334</v>
      </c>
      <c r="O121" s="4236"/>
      <c r="P121" s="4235"/>
      <c r="Q121" s="4235"/>
      <c r="R121" s="4235"/>
    </row>
    <row r="122" spans="1:20" s="1208" customFormat="1">
      <c r="A122" s="3954"/>
      <c r="B122" s="475" t="s">
        <v>9</v>
      </c>
      <c r="C122" s="1145"/>
      <c r="D122" s="1146">
        <f t="shared" ref="D122:H122" si="76">+D127+D123</f>
        <v>2776726</v>
      </c>
      <c r="E122" s="1146">
        <f t="shared" ref="E122" si="77">+E127+E123</f>
        <v>815099</v>
      </c>
      <c r="F122" s="1146">
        <f t="shared" si="76"/>
        <v>598459</v>
      </c>
      <c r="G122" s="1146">
        <f t="shared" si="76"/>
        <v>617127</v>
      </c>
      <c r="H122" s="1146">
        <f t="shared" si="76"/>
        <v>200000</v>
      </c>
      <c r="I122" s="1146">
        <f>+I127+I123</f>
        <v>200000</v>
      </c>
      <c r="J122" s="1146">
        <f>+J127+J123</f>
        <v>200000</v>
      </c>
      <c r="K122" s="1146">
        <f>+K127+K123</f>
        <v>146041</v>
      </c>
      <c r="L122" s="1146">
        <f>+L127+L123</f>
        <v>0</v>
      </c>
      <c r="M122" s="1147">
        <f>+M127</f>
        <v>1363168</v>
      </c>
      <c r="N122" s="4238"/>
      <c r="O122" s="4236"/>
      <c r="P122" s="4235"/>
      <c r="Q122" s="4235"/>
      <c r="R122" s="4235"/>
    </row>
    <row r="123" spans="1:20" s="1208" customFormat="1" ht="13.5" customHeight="1">
      <c r="A123" s="3954"/>
      <c r="B123" s="453" t="s">
        <v>22</v>
      </c>
      <c r="C123" s="3746" t="s">
        <v>328</v>
      </c>
      <c r="D123" s="1148">
        <f>+D124</f>
        <v>35657</v>
      </c>
      <c r="E123" s="1148">
        <f t="shared" ref="E123:K123" si="78">+E124</f>
        <v>35657</v>
      </c>
      <c r="F123" s="1148">
        <f t="shared" si="78"/>
        <v>0</v>
      </c>
      <c r="G123" s="1148">
        <f t="shared" si="78"/>
        <v>0</v>
      </c>
      <c r="H123" s="1148">
        <f t="shared" si="78"/>
        <v>0</v>
      </c>
      <c r="I123" s="1148">
        <f t="shared" si="78"/>
        <v>0</v>
      </c>
      <c r="J123" s="1148">
        <f t="shared" si="78"/>
        <v>0</v>
      </c>
      <c r="K123" s="1148">
        <f t="shared" si="78"/>
        <v>0</v>
      </c>
      <c r="L123" s="1148">
        <f>+L124</f>
        <v>0</v>
      </c>
      <c r="M123" s="1234">
        <f>+M124</f>
        <v>0</v>
      </c>
      <c r="N123" s="4238"/>
      <c r="O123" s="4236"/>
      <c r="P123" s="4235"/>
      <c r="Q123" s="4235"/>
      <c r="R123" s="4235"/>
    </row>
    <row r="124" spans="1:20" s="1208" customFormat="1" ht="13.5" customHeight="1">
      <c r="A124" s="3954"/>
      <c r="B124" s="1689" t="s">
        <v>30</v>
      </c>
      <c r="C124" s="4116"/>
      <c r="D124" s="1150">
        <f>E124+L124+F124+G124+H124+I124+J124+K124</f>
        <v>35657</v>
      </c>
      <c r="E124" s="1150">
        <f t="shared" ref="E124:K124" si="79">SUM(E125:E126)</f>
        <v>35657</v>
      </c>
      <c r="F124" s="1150">
        <f t="shared" si="79"/>
        <v>0</v>
      </c>
      <c r="G124" s="1150">
        <f t="shared" si="79"/>
        <v>0</v>
      </c>
      <c r="H124" s="1150">
        <f t="shared" si="79"/>
        <v>0</v>
      </c>
      <c r="I124" s="1150">
        <f t="shared" si="79"/>
        <v>0</v>
      </c>
      <c r="J124" s="1150">
        <f t="shared" si="79"/>
        <v>0</v>
      </c>
      <c r="K124" s="1150">
        <f t="shared" si="79"/>
        <v>0</v>
      </c>
      <c r="L124" s="1150">
        <f>SUM(L125:L126)</f>
        <v>0</v>
      </c>
      <c r="M124" s="1235">
        <v>0</v>
      </c>
      <c r="N124" s="4238"/>
      <c r="O124" s="4236"/>
      <c r="P124" s="4235"/>
      <c r="Q124" s="4235"/>
      <c r="R124" s="4235"/>
    </row>
    <row r="125" spans="1:20" s="1208" customFormat="1" ht="13.5" hidden="1" customHeight="1">
      <c r="A125" s="3954"/>
      <c r="B125" s="1690" t="s">
        <v>226</v>
      </c>
      <c r="C125" s="4116"/>
      <c r="D125" s="1157">
        <f>E125+L125+F125+G125+H125+I125+J125+K125</f>
        <v>7180</v>
      </c>
      <c r="E125" s="1157">
        <f>6636+544</f>
        <v>7180</v>
      </c>
      <c r="F125" s="933">
        <f>865-865</f>
        <v>0</v>
      </c>
      <c r="G125" s="933">
        <f>865-865</f>
        <v>0</v>
      </c>
      <c r="H125" s="933"/>
      <c r="I125" s="933"/>
      <c r="J125" s="933"/>
      <c r="K125" s="933"/>
      <c r="L125" s="2549">
        <v>0</v>
      </c>
      <c r="M125" s="1158">
        <v>0</v>
      </c>
      <c r="N125" s="4238"/>
      <c r="O125" s="4236"/>
      <c r="P125" s="4235"/>
      <c r="Q125" s="4235"/>
      <c r="R125" s="4235"/>
    </row>
    <row r="126" spans="1:20" s="1208" customFormat="1" ht="13.5" hidden="1" customHeight="1">
      <c r="A126" s="3954"/>
      <c r="B126" s="1690" t="s">
        <v>227</v>
      </c>
      <c r="C126" s="4116"/>
      <c r="D126" s="1157">
        <f>E126+L126+F126+G126+H126+I126+J126+K126</f>
        <v>28477</v>
      </c>
      <c r="E126" s="1157">
        <v>28477</v>
      </c>
      <c r="F126" s="933">
        <f>1800-300-1500</f>
        <v>0</v>
      </c>
      <c r="G126" s="933">
        <f>975-975</f>
        <v>0</v>
      </c>
      <c r="H126" s="933">
        <f>975-975</f>
        <v>0</v>
      </c>
      <c r="I126" s="933">
        <f>975-975</f>
        <v>0</v>
      </c>
      <c r="J126" s="933">
        <f>975-975</f>
        <v>0</v>
      </c>
      <c r="K126" s="933">
        <f>975-975</f>
        <v>0</v>
      </c>
      <c r="L126" s="2549">
        <f>975+525+5215-6715</f>
        <v>0</v>
      </c>
      <c r="M126" s="1158">
        <v>0</v>
      </c>
      <c r="N126" s="4238"/>
      <c r="O126" s="4236"/>
      <c r="P126" s="4235"/>
      <c r="Q126" s="4235"/>
      <c r="R126" s="4235"/>
    </row>
    <row r="127" spans="1:20" s="1208" customFormat="1" ht="13.5" customHeight="1" thickBot="1">
      <c r="A127" s="3955"/>
      <c r="B127" s="1691" t="s">
        <v>17</v>
      </c>
      <c r="C127" s="4062"/>
      <c r="D127" s="1619">
        <f>+D128</f>
        <v>2741069</v>
      </c>
      <c r="E127" s="1692">
        <f>+E128</f>
        <v>779442</v>
      </c>
      <c r="F127" s="1619">
        <f t="shared" ref="F127:M127" si="80">+F128</f>
        <v>598459</v>
      </c>
      <c r="G127" s="1619">
        <f t="shared" si="80"/>
        <v>617127</v>
      </c>
      <c r="H127" s="1619">
        <f t="shared" si="80"/>
        <v>200000</v>
      </c>
      <c r="I127" s="1619">
        <f t="shared" si="80"/>
        <v>200000</v>
      </c>
      <c r="J127" s="1619">
        <f t="shared" si="80"/>
        <v>200000</v>
      </c>
      <c r="K127" s="1619">
        <f t="shared" si="80"/>
        <v>146041</v>
      </c>
      <c r="L127" s="1692">
        <f>+L128</f>
        <v>0</v>
      </c>
      <c r="M127" s="1693">
        <f t="shared" si="80"/>
        <v>1363168</v>
      </c>
      <c r="N127" s="4239"/>
      <c r="O127" s="4236"/>
      <c r="P127" s="4235"/>
      <c r="Q127" s="4235"/>
      <c r="R127" s="4235"/>
    </row>
    <row r="128" spans="1:20" s="1208" customFormat="1">
      <c r="A128" s="3954"/>
      <c r="B128" s="1599" t="s">
        <v>19</v>
      </c>
      <c r="C128" s="4117"/>
      <c r="D128" s="1598">
        <f>E128+L128+F128+G128+H128+I128+J128+K128</f>
        <v>2741069</v>
      </c>
      <c r="E128" s="1598">
        <f>+E130+E131+E132+E133+E134+E135+E136</f>
        <v>779442</v>
      </c>
      <c r="F128" s="1598">
        <f t="shared" ref="F128:K128" si="81">+F130+F131+F132+F133+F134+F135+F136</f>
        <v>598459</v>
      </c>
      <c r="G128" s="1598">
        <f t="shared" si="81"/>
        <v>617127</v>
      </c>
      <c r="H128" s="1598">
        <f t="shared" si="81"/>
        <v>200000</v>
      </c>
      <c r="I128" s="1598">
        <f t="shared" si="81"/>
        <v>200000</v>
      </c>
      <c r="J128" s="1598">
        <f t="shared" si="81"/>
        <v>200000</v>
      </c>
      <c r="K128" s="1598">
        <f t="shared" si="81"/>
        <v>146041</v>
      </c>
      <c r="L128" s="1598">
        <f>+L130+L131+L132+L133+L134+L135+L136</f>
        <v>0</v>
      </c>
      <c r="M128" s="507">
        <f>SUM(G128:K128)</f>
        <v>1363168</v>
      </c>
      <c r="N128" s="4238"/>
      <c r="O128" s="4236"/>
      <c r="P128" s="4235"/>
      <c r="Q128" s="4235"/>
      <c r="R128" s="4235"/>
    </row>
    <row r="129" spans="1:18" s="1208" customFormat="1" ht="12.75" hidden="1" customHeight="1">
      <c r="A129" s="3954"/>
      <c r="B129" s="977" t="s">
        <v>139</v>
      </c>
      <c r="C129" s="1236"/>
      <c r="D129" s="1133"/>
      <c r="E129" s="1133"/>
      <c r="F129" s="1137"/>
      <c r="G129" s="1137"/>
      <c r="H129" s="1137"/>
      <c r="I129" s="1137"/>
      <c r="J129" s="1137"/>
      <c r="K129" s="1137"/>
      <c r="L129" s="1137"/>
      <c r="M129" s="1161"/>
      <c r="N129" s="4238"/>
      <c r="O129" s="4236"/>
      <c r="P129" s="4235"/>
      <c r="Q129" s="4235"/>
      <c r="R129" s="4235"/>
    </row>
    <row r="130" spans="1:18" s="1208" customFormat="1" ht="12.75" hidden="1" customHeight="1">
      <c r="A130" s="3954"/>
      <c r="B130" s="340" t="s">
        <v>140</v>
      </c>
      <c r="C130" s="301"/>
      <c r="D130" s="934">
        <f t="shared" ref="D130:D136" si="82">E130+L130+F130+G130+H130+I130+J130+K130</f>
        <v>2107424</v>
      </c>
      <c r="E130" s="934">
        <f>144449+351348</f>
        <v>495797</v>
      </c>
      <c r="F130" s="927">
        <f>144500+51+205449+250000-1541</f>
        <v>598459</v>
      </c>
      <c r="G130" s="927">
        <f>144500+50000+42627+30000</f>
        <v>267127</v>
      </c>
      <c r="H130" s="927">
        <f>144500+55500</f>
        <v>200000</v>
      </c>
      <c r="I130" s="927">
        <f>144500+55500</f>
        <v>200000</v>
      </c>
      <c r="J130" s="927">
        <f>144500+55500</f>
        <v>200000</v>
      </c>
      <c r="K130" s="927">
        <f>144500+1541</f>
        <v>146041</v>
      </c>
      <c r="L130" s="927">
        <v>0</v>
      </c>
      <c r="M130" s="1134">
        <f t="shared" ref="M130:M136" si="83">SUM(F130:K130)</f>
        <v>1611627</v>
      </c>
      <c r="N130" s="4238"/>
      <c r="O130" s="4236"/>
      <c r="P130" s="4235"/>
      <c r="Q130" s="4235"/>
      <c r="R130" s="4235"/>
    </row>
    <row r="131" spans="1:18" s="1208" customFormat="1" ht="12.75" hidden="1" customHeight="1">
      <c r="A131" s="3954"/>
      <c r="B131" s="1039" t="s">
        <v>141</v>
      </c>
      <c r="C131" s="1237"/>
      <c r="D131" s="1154">
        <f t="shared" si="82"/>
        <v>409673</v>
      </c>
      <c r="E131" s="1154">
        <f>14078+45595</f>
        <v>59673</v>
      </c>
      <c r="F131" s="1154">
        <f>17000+2922-19922</f>
        <v>0</v>
      </c>
      <c r="G131" s="1154">
        <v>350000</v>
      </c>
      <c r="H131" s="1154">
        <f>17000-17000</f>
        <v>0</v>
      </c>
      <c r="I131" s="1154">
        <f>17000-17000</f>
        <v>0</v>
      </c>
      <c r="J131" s="1154">
        <f>17000-17000</f>
        <v>0</v>
      </c>
      <c r="K131" s="1154">
        <f>17000-17000</f>
        <v>0</v>
      </c>
      <c r="L131" s="1154">
        <v>0</v>
      </c>
      <c r="M131" s="1134">
        <f t="shared" si="83"/>
        <v>350000</v>
      </c>
      <c r="N131" s="4238"/>
      <c r="O131" s="4236"/>
      <c r="P131" s="4235"/>
      <c r="Q131" s="4235"/>
      <c r="R131" s="4235"/>
    </row>
    <row r="132" spans="1:18" s="1208" customFormat="1" ht="12.75" hidden="1" customHeight="1">
      <c r="A132" s="3954"/>
      <c r="B132" s="1041" t="s">
        <v>142</v>
      </c>
      <c r="C132" s="1238"/>
      <c r="D132" s="1164">
        <f t="shared" si="82"/>
        <v>0</v>
      </c>
      <c r="E132" s="1164"/>
      <c r="F132" s="936"/>
      <c r="G132" s="936"/>
      <c r="H132" s="936"/>
      <c r="I132" s="936"/>
      <c r="J132" s="936"/>
      <c r="K132" s="936"/>
      <c r="L132" s="936"/>
      <c r="M132" s="1134">
        <f t="shared" si="83"/>
        <v>0</v>
      </c>
      <c r="N132" s="4238"/>
      <c r="O132" s="4236"/>
      <c r="P132" s="4235"/>
      <c r="Q132" s="4235"/>
      <c r="R132" s="4235"/>
    </row>
    <row r="133" spans="1:18" s="1208" customFormat="1" ht="12.75" hidden="1" customHeight="1">
      <c r="A133" s="3954"/>
      <c r="B133" s="1239" t="s">
        <v>143</v>
      </c>
      <c r="C133" s="1240"/>
      <c r="D133" s="1156">
        <f t="shared" si="82"/>
        <v>21912</v>
      </c>
      <c r="E133" s="1156">
        <v>21912</v>
      </c>
      <c r="F133" s="1156"/>
      <c r="G133" s="1156"/>
      <c r="H133" s="1156"/>
      <c r="I133" s="1156"/>
      <c r="J133" s="1156"/>
      <c r="K133" s="1156"/>
      <c r="L133" s="1156">
        <v>0</v>
      </c>
      <c r="M133" s="1134">
        <f t="shared" si="83"/>
        <v>0</v>
      </c>
      <c r="N133" s="4238"/>
      <c r="O133" s="4236"/>
      <c r="P133" s="4235"/>
      <c r="Q133" s="4235"/>
      <c r="R133" s="4235"/>
    </row>
    <row r="134" spans="1:18" s="1208" customFormat="1" ht="12.75" hidden="1" customHeight="1">
      <c r="A134" s="3954"/>
      <c r="B134" s="1239" t="s">
        <v>321</v>
      </c>
      <c r="C134" s="926"/>
      <c r="D134" s="1156">
        <f t="shared" si="82"/>
        <v>0</v>
      </c>
      <c r="E134" s="1156">
        <v>0</v>
      </c>
      <c r="F134" s="1156"/>
      <c r="G134" s="1156"/>
      <c r="H134" s="1156"/>
      <c r="I134" s="1156"/>
      <c r="J134" s="1156"/>
      <c r="K134" s="1156"/>
      <c r="L134" s="1156">
        <f>25000-25000</f>
        <v>0</v>
      </c>
      <c r="M134" s="1134">
        <f t="shared" si="83"/>
        <v>0</v>
      </c>
      <c r="N134" s="4238"/>
      <c r="O134" s="4236"/>
      <c r="P134" s="4235"/>
      <c r="Q134" s="4235"/>
      <c r="R134" s="4235"/>
    </row>
    <row r="135" spans="1:18" s="1208" customFormat="1" ht="12.75" hidden="1" customHeight="1">
      <c r="A135" s="3954"/>
      <c r="B135" s="1040" t="s">
        <v>309</v>
      </c>
      <c r="C135" s="1241"/>
      <c r="D135" s="1157">
        <f t="shared" si="82"/>
        <v>40690</v>
      </c>
      <c r="E135" s="1157">
        <f>37607+3083</f>
        <v>40690</v>
      </c>
      <c r="F135" s="1157">
        <f>4907-4907</f>
        <v>0</v>
      </c>
      <c r="G135" s="1157">
        <f>4907-4907</f>
        <v>0</v>
      </c>
      <c r="H135" s="1157"/>
      <c r="I135" s="1157"/>
      <c r="J135" s="1157"/>
      <c r="K135" s="1157"/>
      <c r="L135" s="1157">
        <v>0</v>
      </c>
      <c r="M135" s="1134">
        <f t="shared" si="83"/>
        <v>0</v>
      </c>
      <c r="N135" s="4238"/>
      <c r="O135" s="4236"/>
      <c r="P135" s="4235"/>
      <c r="Q135" s="4235"/>
      <c r="R135" s="4235"/>
    </row>
    <row r="136" spans="1:18" s="1208" customFormat="1" ht="12.75" hidden="1" customHeight="1">
      <c r="A136" s="3954"/>
      <c r="B136" s="1040" t="s">
        <v>242</v>
      </c>
      <c r="C136" s="1242"/>
      <c r="D136" s="1157">
        <f t="shared" si="82"/>
        <v>161370</v>
      </c>
      <c r="E136" s="1157">
        <v>161370</v>
      </c>
      <c r="F136" s="1157">
        <f>10200-1700-8500</f>
        <v>0</v>
      </c>
      <c r="G136" s="1157">
        <f>5525-5525</f>
        <v>0</v>
      </c>
      <c r="H136" s="1157">
        <f>5525-5525</f>
        <v>0</v>
      </c>
      <c r="I136" s="1157">
        <f>5525-5525</f>
        <v>0</v>
      </c>
      <c r="J136" s="1157">
        <f>5525-5525</f>
        <v>0</v>
      </c>
      <c r="K136" s="1157">
        <f>5525-5525</f>
        <v>0</v>
      </c>
      <c r="L136" s="1157">
        <f>5525+2975+29556-38056</f>
        <v>0</v>
      </c>
      <c r="M136" s="1134">
        <f t="shared" si="83"/>
        <v>0</v>
      </c>
      <c r="N136" s="4238"/>
      <c r="O136" s="4236"/>
      <c r="P136" s="4235"/>
      <c r="Q136" s="4235"/>
      <c r="R136" s="4235"/>
    </row>
    <row r="137" spans="1:18" s="1208" customFormat="1">
      <c r="A137" s="3954"/>
      <c r="B137" s="68" t="s">
        <v>20</v>
      </c>
      <c r="C137" s="151"/>
      <c r="D137" s="302">
        <f>+D138</f>
        <v>2741069</v>
      </c>
      <c r="E137" s="302">
        <f t="shared" ref="E137:K137" si="84">+E138</f>
        <v>468371</v>
      </c>
      <c r="F137" s="302">
        <f t="shared" si="84"/>
        <v>420131</v>
      </c>
      <c r="G137" s="302">
        <f t="shared" si="84"/>
        <v>1106526</v>
      </c>
      <c r="H137" s="302">
        <f t="shared" si="84"/>
        <v>200000</v>
      </c>
      <c r="I137" s="302">
        <f t="shared" si="84"/>
        <v>200000</v>
      </c>
      <c r="J137" s="302">
        <f t="shared" si="84"/>
        <v>200000</v>
      </c>
      <c r="K137" s="302">
        <f t="shared" si="84"/>
        <v>146041</v>
      </c>
      <c r="L137" s="302">
        <f>+L138</f>
        <v>0</v>
      </c>
      <c r="M137" s="4272" t="s">
        <v>52</v>
      </c>
      <c r="N137" s="4238"/>
      <c r="O137" s="4236"/>
      <c r="P137" s="4235"/>
      <c r="Q137" s="4235"/>
      <c r="R137" s="4235"/>
    </row>
    <row r="138" spans="1:18" s="1208" customFormat="1" ht="15.75" customHeight="1">
      <c r="A138" s="3954"/>
      <c r="B138" s="1212" t="s">
        <v>17</v>
      </c>
      <c r="C138" s="4302" t="s">
        <v>225</v>
      </c>
      <c r="D138" s="1243">
        <f t="shared" ref="D138:K138" si="85">+D139</f>
        <v>2741069</v>
      </c>
      <c r="E138" s="1243">
        <f t="shared" si="85"/>
        <v>468371</v>
      </c>
      <c r="F138" s="1243">
        <f t="shared" si="85"/>
        <v>420131</v>
      </c>
      <c r="G138" s="1243">
        <f t="shared" si="85"/>
        <v>1106526</v>
      </c>
      <c r="H138" s="1243">
        <f t="shared" si="85"/>
        <v>200000</v>
      </c>
      <c r="I138" s="1243">
        <f t="shared" si="85"/>
        <v>200000</v>
      </c>
      <c r="J138" s="1243">
        <f t="shared" si="85"/>
        <v>200000</v>
      </c>
      <c r="K138" s="1243">
        <f t="shared" si="85"/>
        <v>146041</v>
      </c>
      <c r="L138" s="1243">
        <f>+L139</f>
        <v>0</v>
      </c>
      <c r="M138" s="4204"/>
      <c r="N138" s="4238"/>
      <c r="O138" s="4236"/>
      <c r="P138" s="4235"/>
      <c r="Q138" s="4235"/>
      <c r="R138" s="4235"/>
    </row>
    <row r="139" spans="1:18" s="1208" customFormat="1" ht="13.5" customHeight="1" thickBot="1">
      <c r="A139" s="3955"/>
      <c r="B139" s="292" t="s">
        <v>19</v>
      </c>
      <c r="C139" s="4062"/>
      <c r="D139" s="693">
        <f>E139+L139+F139+G139+H139+I139+J139+K139+11590+299481-61071-200000-50000</f>
        <v>2741069</v>
      </c>
      <c r="E139" s="1144">
        <f>236568+231803</f>
        <v>468371</v>
      </c>
      <c r="F139" s="939">
        <f>171700-1700-620+200542-19922+311071-240895-45</f>
        <v>420131</v>
      </c>
      <c r="G139" s="939">
        <f>167025-5525+4907+50000+20720+820895+48504</f>
        <v>1106526</v>
      </c>
      <c r="H139" s="939">
        <f>167025-5525-17000+55500</f>
        <v>200000</v>
      </c>
      <c r="I139" s="939">
        <f>167025-5525-17000+55500</f>
        <v>200000</v>
      </c>
      <c r="J139" s="939">
        <f>167025-5525-17000+55500</f>
        <v>200000</v>
      </c>
      <c r="K139" s="939">
        <f>167025-5525-17000+1541</f>
        <v>146041</v>
      </c>
      <c r="L139" s="939">
        <v>0</v>
      </c>
      <c r="M139" s="4205"/>
      <c r="N139" s="4239"/>
      <c r="O139" s="4236"/>
      <c r="P139" s="4235"/>
      <c r="Q139" s="4235"/>
      <c r="R139" s="4235"/>
    </row>
    <row r="140" spans="1:18" s="1208" customFormat="1" ht="24.75" customHeight="1">
      <c r="A140" s="3953" t="s">
        <v>79</v>
      </c>
      <c r="B140" s="1052" t="s">
        <v>595</v>
      </c>
      <c r="C140" s="2113" t="s">
        <v>72</v>
      </c>
      <c r="D140" s="159"/>
      <c r="E140" s="323"/>
      <c r="F140" s="158"/>
      <c r="G140" s="158"/>
      <c r="H140" s="158"/>
      <c r="I140" s="158"/>
      <c r="J140" s="158"/>
      <c r="K140" s="214"/>
      <c r="L140" s="158"/>
      <c r="M140" s="2282"/>
      <c r="N140" s="4237" t="s">
        <v>287</v>
      </c>
      <c r="O140" s="261">
        <f>D137-'[5]Tab. 6E - Administracja'!$D$124</f>
        <v>0</v>
      </c>
      <c r="P140" s="261">
        <f>D150-'[5]Tab. 6E - Administracja'!$D$147</f>
        <v>0</v>
      </c>
    </row>
    <row r="141" spans="1:18" s="1208" customFormat="1" ht="13.5" customHeight="1">
      <c r="A141" s="3954"/>
      <c r="B141" s="367" t="s">
        <v>9</v>
      </c>
      <c r="C141" s="3249"/>
      <c r="D141" s="3250">
        <f>+D142+D145</f>
        <v>130350000</v>
      </c>
      <c r="E141" s="2309">
        <f>+E142+E145</f>
        <v>1379880</v>
      </c>
      <c r="F141" s="2309">
        <f t="shared" ref="F141:K141" si="86">+F142+F145</f>
        <v>919899</v>
      </c>
      <c r="G141" s="2309">
        <f t="shared" si="86"/>
        <v>18000000</v>
      </c>
      <c r="H141" s="2309">
        <f t="shared" si="86"/>
        <v>48895582</v>
      </c>
      <c r="I141" s="2309">
        <f t="shared" si="86"/>
        <v>42918885</v>
      </c>
      <c r="J141" s="2309">
        <f t="shared" si="86"/>
        <v>18235754</v>
      </c>
      <c r="K141" s="2309">
        <f t="shared" si="86"/>
        <v>0</v>
      </c>
      <c r="L141" s="2309">
        <f>+L142+L145</f>
        <v>0</v>
      </c>
      <c r="M141" s="2310">
        <f>+M142+M145</f>
        <v>128050221</v>
      </c>
      <c r="N141" s="4238"/>
      <c r="O141" s="261">
        <f>D141-'[5]Tab. 6E - Administracja'!$D$138</f>
        <v>32197890</v>
      </c>
    </row>
    <row r="142" spans="1:18" s="1208" customFormat="1" ht="13.5" customHeight="1">
      <c r="A142" s="3954"/>
      <c r="B142" s="481" t="s">
        <v>22</v>
      </c>
      <c r="C142" s="4299" t="s">
        <v>259</v>
      </c>
      <c r="D142" s="3251">
        <f>+D143+D144</f>
        <v>61100000</v>
      </c>
      <c r="E142" s="2311">
        <f t="shared" ref="E142" si="87">+E143+E144</f>
        <v>39719</v>
      </c>
      <c r="F142" s="2311">
        <f t="shared" ref="F142:K142" si="88">+F143+F144</f>
        <v>35015</v>
      </c>
      <c r="G142" s="2311">
        <f t="shared" si="88"/>
        <v>5425229</v>
      </c>
      <c r="H142" s="2311">
        <f t="shared" si="88"/>
        <v>20645582</v>
      </c>
      <c r="I142" s="2311">
        <f t="shared" si="88"/>
        <v>21718701</v>
      </c>
      <c r="J142" s="2311">
        <f t="shared" si="88"/>
        <v>13235754</v>
      </c>
      <c r="K142" s="2311">
        <f t="shared" si="88"/>
        <v>0</v>
      </c>
      <c r="L142" s="2311">
        <f>+L143+L144</f>
        <v>0</v>
      </c>
      <c r="M142" s="2312">
        <f>+M143</f>
        <v>61025266</v>
      </c>
      <c r="N142" s="4238"/>
      <c r="O142" s="261"/>
    </row>
    <row r="143" spans="1:18" s="1208" customFormat="1" ht="13.5" customHeight="1">
      <c r="A143" s="3954"/>
      <c r="B143" s="3252" t="s">
        <v>11</v>
      </c>
      <c r="C143" s="4299"/>
      <c r="D143" s="3253">
        <f>E143+L143+F143+G143+H143+I143+J143+K143</f>
        <v>61100000</v>
      </c>
      <c r="E143" s="3254">
        <f>+E161+E175+E191+E202</f>
        <v>39719</v>
      </c>
      <c r="F143" s="1602">
        <f t="shared" ref="F143:K143" si="89">+F161+F175+F191+F202</f>
        <v>35015</v>
      </c>
      <c r="G143" s="1602">
        <f t="shared" si="89"/>
        <v>5425229</v>
      </c>
      <c r="H143" s="1602">
        <f t="shared" si="89"/>
        <v>20645582</v>
      </c>
      <c r="I143" s="1602">
        <f t="shared" si="89"/>
        <v>21718701</v>
      </c>
      <c r="J143" s="1602">
        <f t="shared" si="89"/>
        <v>13235754</v>
      </c>
      <c r="K143" s="1602">
        <f t="shared" si="89"/>
        <v>0</v>
      </c>
      <c r="L143" s="1602">
        <f>+L161+L175+L191+L202</f>
        <v>0</v>
      </c>
      <c r="M143" s="507">
        <f>SUM(G143:K143)</f>
        <v>61025266</v>
      </c>
      <c r="N143" s="4238"/>
      <c r="O143" s="261"/>
    </row>
    <row r="144" spans="1:18" s="1208" customFormat="1" ht="13.5" hidden="1" customHeight="1">
      <c r="A144" s="3954"/>
      <c r="B144" s="3252" t="s">
        <v>15</v>
      </c>
      <c r="C144" s="4299"/>
      <c r="D144" s="3253">
        <f>E144+L144+F144+G144+H144+I144+J144+K144</f>
        <v>0</v>
      </c>
      <c r="E144" s="3255">
        <v>0</v>
      </c>
      <c r="F144" s="1602">
        <f t="shared" ref="F144:K144" si="90">+F162+F176+F203</f>
        <v>0</v>
      </c>
      <c r="G144" s="1602">
        <f t="shared" si="90"/>
        <v>0</v>
      </c>
      <c r="H144" s="1602">
        <f t="shared" si="90"/>
        <v>0</v>
      </c>
      <c r="I144" s="1602">
        <f t="shared" si="90"/>
        <v>0</v>
      </c>
      <c r="J144" s="1602">
        <f t="shared" si="90"/>
        <v>0</v>
      </c>
      <c r="K144" s="1602">
        <f t="shared" si="90"/>
        <v>0</v>
      </c>
      <c r="L144" s="1602">
        <f>+L162+L176+L203</f>
        <v>0</v>
      </c>
      <c r="M144" s="2313">
        <f>SUM(F144:K144)</f>
        <v>0</v>
      </c>
      <c r="N144" s="4238"/>
      <c r="O144" s="261"/>
    </row>
    <row r="145" spans="1:15" s="1208" customFormat="1" ht="13.5" customHeight="1">
      <c r="A145" s="3954"/>
      <c r="B145" s="3256" t="s">
        <v>17</v>
      </c>
      <c r="C145" s="4299"/>
      <c r="D145" s="3257">
        <f>+D146</f>
        <v>69250000</v>
      </c>
      <c r="E145" s="3257">
        <f t="shared" ref="E145" si="91">+E146</f>
        <v>1340161</v>
      </c>
      <c r="F145" s="2314">
        <f t="shared" ref="F145:K145" si="92">+F146</f>
        <v>884884</v>
      </c>
      <c r="G145" s="2314">
        <f t="shared" si="92"/>
        <v>12574771</v>
      </c>
      <c r="H145" s="2314">
        <f t="shared" si="92"/>
        <v>28250000</v>
      </c>
      <c r="I145" s="2314">
        <f t="shared" si="92"/>
        <v>21200184</v>
      </c>
      <c r="J145" s="2314">
        <f t="shared" si="92"/>
        <v>5000000</v>
      </c>
      <c r="K145" s="2314">
        <f t="shared" si="92"/>
        <v>0</v>
      </c>
      <c r="L145" s="2314">
        <f>+L146</f>
        <v>0</v>
      </c>
      <c r="M145" s="2312">
        <f>+M146</f>
        <v>67024955</v>
      </c>
      <c r="N145" s="4238"/>
      <c r="O145" s="261"/>
    </row>
    <row r="146" spans="1:15" s="1208" customFormat="1" ht="12.75" customHeight="1">
      <c r="A146" s="3954"/>
      <c r="B146" s="523" t="s">
        <v>19</v>
      </c>
      <c r="C146" s="4299"/>
      <c r="D146" s="3253">
        <f>E146+L146+F146+G146+H146+I146+J146+K146</f>
        <v>69250000</v>
      </c>
      <c r="E146" s="3258">
        <f>+E147+E148+E149</f>
        <v>1340161</v>
      </c>
      <c r="F146" s="1602">
        <f t="shared" ref="F146:K146" si="93">+F147+F148+F149</f>
        <v>884884</v>
      </c>
      <c r="G146" s="1602">
        <f t="shared" si="93"/>
        <v>12574771</v>
      </c>
      <c r="H146" s="1602">
        <f t="shared" si="93"/>
        <v>28250000</v>
      </c>
      <c r="I146" s="1602">
        <f t="shared" si="93"/>
        <v>21200184</v>
      </c>
      <c r="J146" s="1602">
        <f t="shared" si="93"/>
        <v>5000000</v>
      </c>
      <c r="K146" s="1602">
        <f t="shared" si="93"/>
        <v>0</v>
      </c>
      <c r="L146" s="1602">
        <f>+L147+L148+L149</f>
        <v>0</v>
      </c>
      <c r="M146" s="507">
        <f>SUM(G146:K146)</f>
        <v>67024955</v>
      </c>
      <c r="N146" s="4238"/>
      <c r="O146" s="261"/>
    </row>
    <row r="147" spans="1:15" s="1208" customFormat="1" ht="13.5" hidden="1" customHeight="1">
      <c r="A147" s="3954"/>
      <c r="B147" s="3259" t="s">
        <v>573</v>
      </c>
      <c r="C147" s="4299"/>
      <c r="D147" s="3258">
        <f>+D179</f>
        <v>18000000</v>
      </c>
      <c r="E147" s="3258">
        <f t="shared" ref="E147:K147" si="94">+E165+E179+E194+E206</f>
        <v>1340161</v>
      </c>
      <c r="F147" s="1602">
        <f t="shared" si="94"/>
        <v>884884</v>
      </c>
      <c r="G147" s="1602">
        <f t="shared" si="94"/>
        <v>5574771</v>
      </c>
      <c r="H147" s="1602">
        <f t="shared" si="94"/>
        <v>6000000</v>
      </c>
      <c r="I147" s="1602">
        <f t="shared" si="94"/>
        <v>4200184</v>
      </c>
      <c r="J147" s="1602">
        <f t="shared" si="94"/>
        <v>0</v>
      </c>
      <c r="K147" s="1602">
        <f t="shared" si="94"/>
        <v>0</v>
      </c>
      <c r="L147" s="1602">
        <f>+L165+L179+L194+L206</f>
        <v>0</v>
      </c>
      <c r="M147" s="2315">
        <f>SUM(F147:K147)</f>
        <v>16659839</v>
      </c>
      <c r="N147" s="4238"/>
      <c r="O147" s="261"/>
    </row>
    <row r="148" spans="1:15" s="1208" customFormat="1" ht="13.5" hidden="1" customHeight="1">
      <c r="A148" s="3954"/>
      <c r="B148" s="3259" t="s">
        <v>575</v>
      </c>
      <c r="C148" s="4299"/>
      <c r="D148" s="3258">
        <f>+D180</f>
        <v>10250000</v>
      </c>
      <c r="E148" s="1602">
        <v>0</v>
      </c>
      <c r="F148" s="1602">
        <f t="shared" ref="F148:K148" si="95">+F180</f>
        <v>0</v>
      </c>
      <c r="G148" s="1602">
        <f t="shared" si="95"/>
        <v>3000000</v>
      </c>
      <c r="H148" s="1602">
        <f t="shared" si="95"/>
        <v>7250000</v>
      </c>
      <c r="I148" s="1602">
        <f t="shared" si="95"/>
        <v>0</v>
      </c>
      <c r="J148" s="1602">
        <f t="shared" si="95"/>
        <v>0</v>
      </c>
      <c r="K148" s="1602">
        <f t="shared" si="95"/>
        <v>0</v>
      </c>
      <c r="L148" s="1602">
        <f>+L180</f>
        <v>0</v>
      </c>
      <c r="M148" s="2315">
        <f>SUM(F148:K148)</f>
        <v>10250000</v>
      </c>
      <c r="N148" s="4238"/>
      <c r="O148" s="261"/>
    </row>
    <row r="149" spans="1:15" s="1208" customFormat="1" ht="13.5" hidden="1" customHeight="1">
      <c r="A149" s="3954"/>
      <c r="B149" s="3259" t="s">
        <v>574</v>
      </c>
      <c r="C149" s="4299"/>
      <c r="D149" s="3258">
        <f>+D181</f>
        <v>28250000</v>
      </c>
      <c r="E149" s="2316">
        <v>0</v>
      </c>
      <c r="F149" s="2316">
        <f t="shared" ref="F149:K149" si="96">+F207</f>
        <v>0</v>
      </c>
      <c r="G149" s="2316">
        <f t="shared" si="96"/>
        <v>4000000</v>
      </c>
      <c r="H149" s="2316">
        <f t="shared" si="96"/>
        <v>15000000</v>
      </c>
      <c r="I149" s="2316">
        <f t="shared" si="96"/>
        <v>17000000</v>
      </c>
      <c r="J149" s="2316">
        <f t="shared" si="96"/>
        <v>5000000</v>
      </c>
      <c r="K149" s="2316">
        <f t="shared" si="96"/>
        <v>0</v>
      </c>
      <c r="L149" s="2316">
        <f>+L207</f>
        <v>0</v>
      </c>
      <c r="M149" s="2315">
        <f>SUM(F149:K149)</f>
        <v>41000000</v>
      </c>
      <c r="N149" s="4238"/>
      <c r="O149" s="261"/>
    </row>
    <row r="150" spans="1:15" s="1208" customFormat="1" ht="18" customHeight="1">
      <c r="A150" s="3954"/>
      <c r="B150" s="160" t="s">
        <v>251</v>
      </c>
      <c r="C150" s="3249"/>
      <c r="D150" s="3250">
        <f t="shared" ref="D150:K150" si="97">+D151+D153</f>
        <v>69250000</v>
      </c>
      <c r="E150" s="2309">
        <f t="shared" si="97"/>
        <v>1242115</v>
      </c>
      <c r="F150" s="2309">
        <f t="shared" si="97"/>
        <v>783716</v>
      </c>
      <c r="G150" s="2309">
        <f t="shared" si="97"/>
        <v>11673985</v>
      </c>
      <c r="H150" s="2309">
        <f t="shared" si="97"/>
        <v>25000000</v>
      </c>
      <c r="I150" s="2309">
        <f t="shared" si="97"/>
        <v>22550184</v>
      </c>
      <c r="J150" s="2309">
        <f t="shared" si="97"/>
        <v>8000000</v>
      </c>
      <c r="K150" s="2309">
        <f t="shared" si="97"/>
        <v>0</v>
      </c>
      <c r="L150" s="2309">
        <f>+L151+L153</f>
        <v>0</v>
      </c>
      <c r="M150" s="4292" t="s">
        <v>52</v>
      </c>
      <c r="N150" s="4238"/>
      <c r="O150" s="261"/>
    </row>
    <row r="151" spans="1:15" s="1208" customFormat="1" ht="13.5" hidden="1" customHeight="1">
      <c r="A151" s="3954"/>
      <c r="B151" s="481" t="s">
        <v>22</v>
      </c>
      <c r="C151" s="4298" t="s">
        <v>532</v>
      </c>
      <c r="D151" s="3251">
        <f>+D152</f>
        <v>0</v>
      </c>
      <c r="E151" s="2311">
        <f t="shared" ref="E151:K151" si="98">+E152</f>
        <v>0</v>
      </c>
      <c r="F151" s="2311">
        <f t="shared" si="98"/>
        <v>0</v>
      </c>
      <c r="G151" s="2311">
        <f t="shared" si="98"/>
        <v>0</v>
      </c>
      <c r="H151" s="2311">
        <f t="shared" si="98"/>
        <v>0</v>
      </c>
      <c r="I151" s="2311">
        <f t="shared" si="98"/>
        <v>0</v>
      </c>
      <c r="J151" s="2311">
        <f t="shared" si="98"/>
        <v>0</v>
      </c>
      <c r="K151" s="2311">
        <f t="shared" si="98"/>
        <v>0</v>
      </c>
      <c r="L151" s="2311">
        <f>+L152</f>
        <v>0</v>
      </c>
      <c r="M151" s="4229"/>
      <c r="N151" s="4238"/>
      <c r="O151" s="261"/>
    </row>
    <row r="152" spans="1:15" s="1208" customFormat="1" ht="13.5" hidden="1" customHeight="1">
      <c r="A152" s="3954"/>
      <c r="B152" s="3252" t="s">
        <v>15</v>
      </c>
      <c r="C152" s="4299"/>
      <c r="D152" s="3253">
        <f>E152+L152+F152+G152+H152+I152+J152+K152</f>
        <v>0</v>
      </c>
      <c r="E152" s="3260">
        <v>0</v>
      </c>
      <c r="F152" s="2317">
        <f t="shared" ref="F152:K152" si="99">+F183+F210</f>
        <v>0</v>
      </c>
      <c r="G152" s="2317">
        <f t="shared" si="99"/>
        <v>0</v>
      </c>
      <c r="H152" s="2317">
        <f t="shared" si="99"/>
        <v>0</v>
      </c>
      <c r="I152" s="2317">
        <f t="shared" si="99"/>
        <v>0</v>
      </c>
      <c r="J152" s="2317">
        <f t="shared" si="99"/>
        <v>0</v>
      </c>
      <c r="K152" s="2317">
        <f t="shared" si="99"/>
        <v>0</v>
      </c>
      <c r="L152" s="2317">
        <f>+L183+L210</f>
        <v>0</v>
      </c>
      <c r="M152" s="4229"/>
      <c r="N152" s="4238"/>
      <c r="O152" s="261"/>
    </row>
    <row r="153" spans="1:15" s="1208" customFormat="1" ht="26.25" customHeight="1">
      <c r="A153" s="3954"/>
      <c r="B153" s="483" t="s">
        <v>17</v>
      </c>
      <c r="C153" s="4299"/>
      <c r="D153" s="3251">
        <f>+D154</f>
        <v>69250000</v>
      </c>
      <c r="E153" s="2311">
        <f>+E154</f>
        <v>1242115</v>
      </c>
      <c r="F153" s="2311">
        <f t="shared" ref="F153:K153" si="100">+F154</f>
        <v>783716</v>
      </c>
      <c r="G153" s="2311">
        <f t="shared" si="100"/>
        <v>11673985</v>
      </c>
      <c r="H153" s="2311">
        <f t="shared" si="100"/>
        <v>25000000</v>
      </c>
      <c r="I153" s="2311">
        <f t="shared" si="100"/>
        <v>22550184</v>
      </c>
      <c r="J153" s="2311">
        <f t="shared" si="100"/>
        <v>8000000</v>
      </c>
      <c r="K153" s="2311">
        <f t="shared" si="100"/>
        <v>0</v>
      </c>
      <c r="L153" s="2311">
        <f>+L154</f>
        <v>0</v>
      </c>
      <c r="M153" s="4229"/>
      <c r="N153" s="4238"/>
      <c r="O153" s="261"/>
    </row>
    <row r="154" spans="1:15" s="1208" customFormat="1" ht="17.25" customHeight="1" thickBot="1">
      <c r="A154" s="3954"/>
      <c r="B154" s="63" t="s">
        <v>19</v>
      </c>
      <c r="C154" s="4300"/>
      <c r="D154" s="3261">
        <f>E154+L154+F154+G154+H154+I154+J154+K154</f>
        <v>69250000</v>
      </c>
      <c r="E154" s="1603">
        <f t="shared" ref="E154:K154" si="101">+E170+E185+E212+E197</f>
        <v>1242115</v>
      </c>
      <c r="F154" s="1603">
        <f t="shared" si="101"/>
        <v>783716</v>
      </c>
      <c r="G154" s="1603">
        <f t="shared" si="101"/>
        <v>11673985</v>
      </c>
      <c r="H154" s="1603">
        <f t="shared" si="101"/>
        <v>25000000</v>
      </c>
      <c r="I154" s="1603">
        <f t="shared" si="101"/>
        <v>22550184</v>
      </c>
      <c r="J154" s="1603">
        <f t="shared" si="101"/>
        <v>8000000</v>
      </c>
      <c r="K154" s="1603">
        <f t="shared" si="101"/>
        <v>0</v>
      </c>
      <c r="L154" s="1603">
        <f>+L170+L185+L212+L197</f>
        <v>0</v>
      </c>
      <c r="M154" s="4230"/>
      <c r="N154" s="4239"/>
      <c r="O154" s="261">
        <f>'[5]Tab. 6E - Administracja'!$D$220+'[5]Tab. 6E - Administracja'!$D$231</f>
        <v>4942000</v>
      </c>
    </row>
    <row r="155" spans="1:15" s="1208" customFormat="1" ht="12.75" hidden="1" customHeight="1">
      <c r="A155" s="3045"/>
      <c r="B155" s="3262" t="s">
        <v>573</v>
      </c>
      <c r="C155" s="3263"/>
      <c r="D155" s="1604">
        <f t="shared" ref="D155:K155" si="102">+D171+D186+D198+D213</f>
        <v>18000000</v>
      </c>
      <c r="E155" s="1604">
        <f>+E171+E186+E198+E213</f>
        <v>1242115</v>
      </c>
      <c r="F155" s="1604">
        <f t="shared" si="102"/>
        <v>783716</v>
      </c>
      <c r="G155" s="1604">
        <f t="shared" si="102"/>
        <v>5673985</v>
      </c>
      <c r="H155" s="1604">
        <f t="shared" si="102"/>
        <v>6000000</v>
      </c>
      <c r="I155" s="1604">
        <f t="shared" si="102"/>
        <v>4300184</v>
      </c>
      <c r="J155" s="1604">
        <f t="shared" si="102"/>
        <v>0</v>
      </c>
      <c r="K155" s="1604">
        <f t="shared" si="102"/>
        <v>0</v>
      </c>
      <c r="L155" s="1604">
        <f>+L171+L186+L198+L213</f>
        <v>0</v>
      </c>
      <c r="M155" s="1605"/>
      <c r="N155" s="1606"/>
      <c r="O155" s="261"/>
    </row>
    <row r="156" spans="1:15" s="1208" customFormat="1" ht="12.75" hidden="1" customHeight="1">
      <c r="A156" s="3045"/>
      <c r="B156" s="3264" t="s">
        <v>575</v>
      </c>
      <c r="C156" s="3263"/>
      <c r="D156" s="1602">
        <f>+D187</f>
        <v>10250000</v>
      </c>
      <c r="E156" s="1602">
        <v>0</v>
      </c>
      <c r="F156" s="1602">
        <f t="shared" ref="F156:K156" si="103">+F187</f>
        <v>0</v>
      </c>
      <c r="G156" s="1602">
        <f t="shared" si="103"/>
        <v>2500000</v>
      </c>
      <c r="H156" s="1602">
        <f t="shared" si="103"/>
        <v>5500000</v>
      </c>
      <c r="I156" s="1602">
        <f t="shared" si="103"/>
        <v>2250000</v>
      </c>
      <c r="J156" s="1602">
        <f t="shared" si="103"/>
        <v>0</v>
      </c>
      <c r="K156" s="1602">
        <f t="shared" si="103"/>
        <v>0</v>
      </c>
      <c r="L156" s="1602">
        <f>+L187</f>
        <v>0</v>
      </c>
      <c r="M156" s="1605"/>
      <c r="N156" s="1606"/>
      <c r="O156" s="261"/>
    </row>
    <row r="157" spans="1:15" s="1208" customFormat="1" ht="13.5" hidden="1" customHeight="1" thickBot="1">
      <c r="A157" s="3046"/>
      <c r="B157" s="3265" t="s">
        <v>574</v>
      </c>
      <c r="C157" s="3266"/>
      <c r="D157" s="1603">
        <f>+D214</f>
        <v>41000000</v>
      </c>
      <c r="E157" s="1603">
        <v>0</v>
      </c>
      <c r="F157" s="1603">
        <f t="shared" ref="F157:K157" si="104">+F214</f>
        <v>0</v>
      </c>
      <c r="G157" s="1603">
        <f t="shared" si="104"/>
        <v>3500000</v>
      </c>
      <c r="H157" s="1603">
        <f t="shared" si="104"/>
        <v>13500000</v>
      </c>
      <c r="I157" s="1603">
        <f t="shared" si="104"/>
        <v>16000000</v>
      </c>
      <c r="J157" s="1603">
        <f t="shared" si="104"/>
        <v>8000000</v>
      </c>
      <c r="K157" s="1603">
        <f t="shared" si="104"/>
        <v>0</v>
      </c>
      <c r="L157" s="1603">
        <f>+L214</f>
        <v>0</v>
      </c>
      <c r="M157" s="1607"/>
      <c r="N157" s="1608"/>
      <c r="O157" s="261"/>
    </row>
    <row r="158" spans="1:15" s="1208" customFormat="1" ht="18.75" hidden="1" customHeight="1">
      <c r="A158" s="3953" t="s">
        <v>379</v>
      </c>
      <c r="B158" s="1644" t="s">
        <v>252</v>
      </c>
      <c r="C158" s="2686" t="s">
        <v>99</v>
      </c>
      <c r="D158" s="3267"/>
      <c r="E158" s="3268"/>
      <c r="F158" s="3269"/>
      <c r="G158" s="3269"/>
      <c r="H158" s="3269"/>
      <c r="I158" s="3269"/>
      <c r="J158" s="3269"/>
      <c r="K158" s="3270"/>
      <c r="L158" s="1610"/>
      <c r="M158" s="2318"/>
      <c r="N158" s="1606"/>
      <c r="O158" s="261"/>
    </row>
    <row r="159" spans="1:15" s="1208" customFormat="1" ht="13.5" hidden="1" customHeight="1">
      <c r="A159" s="3954"/>
      <c r="B159" s="160" t="s">
        <v>9</v>
      </c>
      <c r="C159" s="3271"/>
      <c r="D159" s="329">
        <f t="shared" ref="D159:D171" si="105">SUM(E159:K159)</f>
        <v>0</v>
      </c>
      <c r="E159" s="2330">
        <v>0</v>
      </c>
      <c r="F159" s="2330">
        <f t="shared" ref="F159:K159" si="106">+F160+F163</f>
        <v>0</v>
      </c>
      <c r="G159" s="2330">
        <f t="shared" si="106"/>
        <v>0</v>
      </c>
      <c r="H159" s="2330">
        <f t="shared" si="106"/>
        <v>0</v>
      </c>
      <c r="I159" s="2330">
        <f t="shared" si="106"/>
        <v>0</v>
      </c>
      <c r="J159" s="2330">
        <f t="shared" si="106"/>
        <v>0</v>
      </c>
      <c r="K159" s="2330">
        <f t="shared" si="106"/>
        <v>0</v>
      </c>
      <c r="L159" s="302">
        <f>+L160+L163</f>
        <v>0</v>
      </c>
      <c r="M159" s="305">
        <f t="shared" ref="M159:M165" si="107">SUM(E159:K159)</f>
        <v>0</v>
      </c>
      <c r="N159" s="1606"/>
      <c r="O159" s="261"/>
    </row>
    <row r="160" spans="1:15" s="1208" customFormat="1" ht="13.5" hidden="1" customHeight="1">
      <c r="A160" s="3954"/>
      <c r="B160" s="194" t="s">
        <v>22</v>
      </c>
      <c r="C160" s="4291" t="s">
        <v>259</v>
      </c>
      <c r="D160" s="3272">
        <f t="shared" si="105"/>
        <v>0</v>
      </c>
      <c r="E160" s="3273">
        <v>0</v>
      </c>
      <c r="F160" s="3273">
        <f t="shared" ref="F160:K160" si="108">+F161+F162</f>
        <v>0</v>
      </c>
      <c r="G160" s="3273">
        <f t="shared" si="108"/>
        <v>0</v>
      </c>
      <c r="H160" s="3273">
        <f t="shared" si="108"/>
        <v>0</v>
      </c>
      <c r="I160" s="3273">
        <f t="shared" si="108"/>
        <v>0</v>
      </c>
      <c r="J160" s="3273">
        <f t="shared" si="108"/>
        <v>0</v>
      </c>
      <c r="K160" s="3273">
        <f t="shared" si="108"/>
        <v>0</v>
      </c>
      <c r="L160" s="290">
        <f>+L161+L162</f>
        <v>0</v>
      </c>
      <c r="M160" s="305">
        <f t="shared" si="107"/>
        <v>0</v>
      </c>
      <c r="N160" s="1606"/>
      <c r="O160" s="261"/>
    </row>
    <row r="161" spans="1:15" s="1208" customFormat="1" ht="13.5" hidden="1" customHeight="1">
      <c r="A161" s="3954"/>
      <c r="B161" s="3274" t="s">
        <v>11</v>
      </c>
      <c r="C161" s="4260"/>
      <c r="D161" s="3275">
        <f t="shared" si="105"/>
        <v>0</v>
      </c>
      <c r="E161" s="3276"/>
      <c r="F161" s="3275">
        <f>1840690-1840690</f>
        <v>0</v>
      </c>
      <c r="G161" s="3275"/>
      <c r="H161" s="3275"/>
      <c r="I161" s="3277"/>
      <c r="J161" s="3277"/>
      <c r="K161" s="3277"/>
      <c r="L161" s="1611">
        <f>1524390-1524390</f>
        <v>0</v>
      </c>
      <c r="M161" s="2320">
        <f t="shared" si="107"/>
        <v>0</v>
      </c>
      <c r="N161" s="1606"/>
      <c r="O161" s="261"/>
    </row>
    <row r="162" spans="1:15" s="1208" customFormat="1" ht="13.5" hidden="1" customHeight="1">
      <c r="A162" s="3954"/>
      <c r="B162" s="3274" t="s">
        <v>53</v>
      </c>
      <c r="C162" s="4260"/>
      <c r="D162" s="3278">
        <f t="shared" si="105"/>
        <v>0</v>
      </c>
      <c r="E162" s="3279"/>
      <c r="F162" s="3278"/>
      <c r="G162" s="3278"/>
      <c r="H162" s="3278"/>
      <c r="I162" s="3280"/>
      <c r="J162" s="3280"/>
      <c r="K162" s="3280"/>
      <c r="L162" s="1612"/>
      <c r="M162" s="2321">
        <f t="shared" si="107"/>
        <v>0</v>
      </c>
      <c r="N162" s="1606"/>
      <c r="O162" s="261"/>
    </row>
    <row r="163" spans="1:15" s="1208" customFormat="1" ht="13.5" hidden="1" customHeight="1">
      <c r="A163" s="3954"/>
      <c r="B163" s="3281" t="s">
        <v>17</v>
      </c>
      <c r="C163" s="4260"/>
      <c r="D163" s="3272">
        <f t="shared" si="105"/>
        <v>0</v>
      </c>
      <c r="E163" s="3273">
        <v>0</v>
      </c>
      <c r="F163" s="3273">
        <f t="shared" ref="F163:K163" si="109">+F164</f>
        <v>0</v>
      </c>
      <c r="G163" s="3273">
        <f t="shared" si="109"/>
        <v>0</v>
      </c>
      <c r="H163" s="3273">
        <f t="shared" si="109"/>
        <v>0</v>
      </c>
      <c r="I163" s="3273">
        <f t="shared" si="109"/>
        <v>0</v>
      </c>
      <c r="J163" s="3273">
        <f t="shared" si="109"/>
        <v>0</v>
      </c>
      <c r="K163" s="3273">
        <f t="shared" si="109"/>
        <v>0</v>
      </c>
      <c r="L163" s="290">
        <f>+L164</f>
        <v>0</v>
      </c>
      <c r="M163" s="2322">
        <f t="shared" si="107"/>
        <v>0</v>
      </c>
      <c r="N163" s="1606"/>
      <c r="O163" s="261"/>
    </row>
    <row r="164" spans="1:15" s="1208" customFormat="1" ht="13.5" hidden="1" customHeight="1">
      <c r="A164" s="3954"/>
      <c r="B164" s="3282" t="s">
        <v>19</v>
      </c>
      <c r="C164" s="4260"/>
      <c r="D164" s="3275">
        <f t="shared" si="105"/>
        <v>0</v>
      </c>
      <c r="E164" s="3276">
        <v>0</v>
      </c>
      <c r="F164" s="3276">
        <f t="shared" ref="F164:K164" si="110">+F165</f>
        <v>0</v>
      </c>
      <c r="G164" s="3276">
        <f t="shared" si="110"/>
        <v>0</v>
      </c>
      <c r="H164" s="3276">
        <f t="shared" si="110"/>
        <v>0</v>
      </c>
      <c r="I164" s="3276">
        <f t="shared" si="110"/>
        <v>0</v>
      </c>
      <c r="J164" s="3276">
        <f t="shared" si="110"/>
        <v>0</v>
      </c>
      <c r="K164" s="3276">
        <f t="shared" si="110"/>
        <v>0</v>
      </c>
      <c r="L164" s="2319">
        <f>+L165</f>
        <v>0</v>
      </c>
      <c r="M164" s="2320">
        <f t="shared" si="107"/>
        <v>0</v>
      </c>
      <c r="N164" s="1606"/>
      <c r="O164" s="261"/>
    </row>
    <row r="165" spans="1:15" s="1208" customFormat="1" ht="24.75" hidden="1" customHeight="1">
      <c r="A165" s="3954"/>
      <c r="B165" s="3283" t="s">
        <v>253</v>
      </c>
      <c r="C165" s="4256"/>
      <c r="D165" s="3278">
        <f t="shared" si="105"/>
        <v>0</v>
      </c>
      <c r="E165" s="3279"/>
      <c r="F165" s="3278">
        <f>312400-312400</f>
        <v>0</v>
      </c>
      <c r="G165" s="3278"/>
      <c r="H165" s="3278"/>
      <c r="I165" s="3280"/>
      <c r="J165" s="3280"/>
      <c r="K165" s="3278"/>
      <c r="L165" s="1612">
        <f>624800-624800</f>
        <v>0</v>
      </c>
      <c r="M165" s="2321">
        <f t="shared" si="107"/>
        <v>0</v>
      </c>
      <c r="N165" s="1606"/>
      <c r="O165" s="261"/>
    </row>
    <row r="166" spans="1:15" s="1208" customFormat="1" ht="13.5" hidden="1" customHeight="1">
      <c r="A166" s="3954"/>
      <c r="B166" s="66" t="s">
        <v>251</v>
      </c>
      <c r="C166" s="147"/>
      <c r="D166" s="3284">
        <f t="shared" si="105"/>
        <v>0</v>
      </c>
      <c r="E166" s="3284">
        <v>0</v>
      </c>
      <c r="F166" s="3284">
        <f t="shared" ref="F166:K166" si="111">+F167+F169</f>
        <v>0</v>
      </c>
      <c r="G166" s="3284">
        <f t="shared" si="111"/>
        <v>0</v>
      </c>
      <c r="H166" s="3284">
        <f t="shared" si="111"/>
        <v>0</v>
      </c>
      <c r="I166" s="3284">
        <f t="shared" si="111"/>
        <v>0</v>
      </c>
      <c r="J166" s="3284">
        <f t="shared" si="111"/>
        <v>0</v>
      </c>
      <c r="K166" s="3284">
        <f t="shared" si="111"/>
        <v>0</v>
      </c>
      <c r="L166" s="2323">
        <f>+L167+L169</f>
        <v>0</v>
      </c>
      <c r="M166" s="4203" t="s">
        <v>52</v>
      </c>
      <c r="N166" s="1606"/>
      <c r="O166" s="261"/>
    </row>
    <row r="167" spans="1:15" s="1208" customFormat="1" ht="13.5" hidden="1" customHeight="1">
      <c r="A167" s="3954"/>
      <c r="B167" s="194" t="s">
        <v>22</v>
      </c>
      <c r="C167" s="4291" t="s">
        <v>259</v>
      </c>
      <c r="D167" s="2331">
        <f t="shared" si="105"/>
        <v>0</v>
      </c>
      <c r="E167" s="2332">
        <v>0</v>
      </c>
      <c r="F167" s="2332">
        <f t="shared" ref="F167:K167" si="112">+F168</f>
        <v>0</v>
      </c>
      <c r="G167" s="2332">
        <f t="shared" si="112"/>
        <v>0</v>
      </c>
      <c r="H167" s="2332">
        <f t="shared" si="112"/>
        <v>0</v>
      </c>
      <c r="I167" s="2332">
        <f t="shared" si="112"/>
        <v>0</v>
      </c>
      <c r="J167" s="2332">
        <f t="shared" si="112"/>
        <v>0</v>
      </c>
      <c r="K167" s="2332">
        <f t="shared" si="112"/>
        <v>0</v>
      </c>
      <c r="L167" s="2324">
        <f>+L168</f>
        <v>0</v>
      </c>
      <c r="M167" s="4204"/>
      <c r="N167" s="1606"/>
      <c r="O167" s="261"/>
    </row>
    <row r="168" spans="1:15" s="1208" customFormat="1" ht="13.5" hidden="1" customHeight="1">
      <c r="A168" s="3954"/>
      <c r="B168" s="3274" t="s">
        <v>53</v>
      </c>
      <c r="C168" s="4256"/>
      <c r="D168" s="2334">
        <f t="shared" si="105"/>
        <v>0</v>
      </c>
      <c r="E168" s="2335"/>
      <c r="F168" s="2336"/>
      <c r="G168" s="2336"/>
      <c r="H168" s="2336"/>
      <c r="I168" s="2336"/>
      <c r="J168" s="2336"/>
      <c r="K168" s="2336"/>
      <c r="L168" s="2325"/>
      <c r="M168" s="4204"/>
      <c r="N168" s="1606"/>
      <c r="O168" s="261"/>
    </row>
    <row r="169" spans="1:15" s="1208" customFormat="1" ht="12" hidden="1" customHeight="1">
      <c r="A169" s="3954"/>
      <c r="B169" s="3281" t="s">
        <v>17</v>
      </c>
      <c r="C169" s="4288" t="s">
        <v>225</v>
      </c>
      <c r="D169" s="3285">
        <f t="shared" si="105"/>
        <v>0</v>
      </c>
      <c r="E169" s="3286">
        <v>0</v>
      </c>
      <c r="F169" s="3286">
        <f t="shared" ref="F169:K169" si="113">+F170</f>
        <v>0</v>
      </c>
      <c r="G169" s="3286">
        <f t="shared" si="113"/>
        <v>0</v>
      </c>
      <c r="H169" s="3286">
        <f t="shared" si="113"/>
        <v>0</v>
      </c>
      <c r="I169" s="3286">
        <f t="shared" si="113"/>
        <v>0</v>
      </c>
      <c r="J169" s="3286">
        <f t="shared" si="113"/>
        <v>0</v>
      </c>
      <c r="K169" s="3286">
        <f t="shared" si="113"/>
        <v>0</v>
      </c>
      <c r="L169" s="2326">
        <f>+L170</f>
        <v>0</v>
      </c>
      <c r="M169" s="4204"/>
      <c r="N169" s="1606"/>
      <c r="O169" s="261"/>
    </row>
    <row r="170" spans="1:15" s="1208" customFormat="1" ht="15" hidden="1" customHeight="1">
      <c r="A170" s="3954"/>
      <c r="B170" s="3282" t="s">
        <v>19</v>
      </c>
      <c r="C170" s="4289"/>
      <c r="D170" s="2334">
        <f t="shared" si="105"/>
        <v>0</v>
      </c>
      <c r="E170" s="2335">
        <v>0</v>
      </c>
      <c r="F170" s="2335">
        <f t="shared" ref="F170:K170" si="114">+F171</f>
        <v>0</v>
      </c>
      <c r="G170" s="2335">
        <f t="shared" si="114"/>
        <v>0</v>
      </c>
      <c r="H170" s="2335">
        <f t="shared" si="114"/>
        <v>0</v>
      </c>
      <c r="I170" s="2335">
        <f t="shared" si="114"/>
        <v>0</v>
      </c>
      <c r="J170" s="2335">
        <f t="shared" si="114"/>
        <v>0</v>
      </c>
      <c r="K170" s="2335">
        <f t="shared" si="114"/>
        <v>0</v>
      </c>
      <c r="L170" s="326">
        <f>+L171</f>
        <v>0</v>
      </c>
      <c r="M170" s="4204"/>
      <c r="N170" s="1606"/>
      <c r="O170" s="261"/>
    </row>
    <row r="171" spans="1:15" s="1208" customFormat="1" ht="24" hidden="1" customHeight="1">
      <c r="A171" s="3287"/>
      <c r="B171" s="3288" t="s">
        <v>248</v>
      </c>
      <c r="C171" s="4290"/>
      <c r="D171" s="3289">
        <f t="shared" si="105"/>
        <v>0</v>
      </c>
      <c r="E171" s="3290"/>
      <c r="F171" s="3289">
        <f>312400-312400</f>
        <v>0</v>
      </c>
      <c r="G171" s="3289"/>
      <c r="H171" s="3289"/>
      <c r="I171" s="3289"/>
      <c r="J171" s="3289"/>
      <c r="K171" s="3289"/>
      <c r="L171" s="2327">
        <f>624800-624800</f>
        <v>0</v>
      </c>
      <c r="M171" s="4247"/>
      <c r="N171" s="1606"/>
      <c r="O171" s="261"/>
    </row>
    <row r="172" spans="1:15" s="1208" customFormat="1" ht="15.75" hidden="1" customHeight="1">
      <c r="A172" s="4297" t="s">
        <v>380</v>
      </c>
      <c r="B172" s="3291" t="s">
        <v>252</v>
      </c>
      <c r="C172" s="3292" t="s">
        <v>72</v>
      </c>
      <c r="D172" s="3293"/>
      <c r="E172" s="3294"/>
      <c r="F172" s="2328"/>
      <c r="G172" s="2328"/>
      <c r="H172" s="2328"/>
      <c r="I172" s="2328"/>
      <c r="J172" s="2328"/>
      <c r="K172" s="3295"/>
      <c r="L172" s="2328"/>
      <c r="M172" s="2329"/>
      <c r="N172" s="1606"/>
      <c r="O172" s="261"/>
    </row>
    <row r="173" spans="1:15" s="1208" customFormat="1" ht="13.5" hidden="1" customHeight="1">
      <c r="A173" s="3954"/>
      <c r="B173" s="160" t="s">
        <v>9</v>
      </c>
      <c r="C173" s="3296"/>
      <c r="D173" s="329">
        <f t="shared" ref="D173:D180" si="115">SUM(E173:K173)</f>
        <v>51995499</v>
      </c>
      <c r="E173" s="2330">
        <f t="shared" ref="E173" si="116">+E174+E177</f>
        <v>1379880</v>
      </c>
      <c r="F173" s="2330">
        <f t="shared" ref="F173:K173" si="117">+F174+F177</f>
        <v>919899</v>
      </c>
      <c r="G173" s="2330">
        <f t="shared" si="117"/>
        <v>12000000</v>
      </c>
      <c r="H173" s="2330">
        <f t="shared" si="117"/>
        <v>22836208</v>
      </c>
      <c r="I173" s="2330">
        <f t="shared" si="117"/>
        <v>14859512</v>
      </c>
      <c r="J173" s="2330">
        <f t="shared" si="117"/>
        <v>0</v>
      </c>
      <c r="K173" s="2330">
        <f t="shared" si="117"/>
        <v>0</v>
      </c>
      <c r="L173" s="2330">
        <f>+L174+L177</f>
        <v>0</v>
      </c>
      <c r="M173" s="2310">
        <f>+M174+M177</f>
        <v>49695720</v>
      </c>
      <c r="N173" s="1606"/>
      <c r="O173" s="261"/>
    </row>
    <row r="174" spans="1:15" s="1208" customFormat="1" ht="14.25" hidden="1" customHeight="1">
      <c r="A174" s="3954"/>
      <c r="B174" s="194" t="s">
        <v>22</v>
      </c>
      <c r="C174" s="4255" t="s">
        <v>259</v>
      </c>
      <c r="D174" s="2331">
        <f t="shared" si="115"/>
        <v>23745499</v>
      </c>
      <c r="E174" s="2332">
        <f t="shared" ref="E174" si="118">+E175+E176</f>
        <v>39719</v>
      </c>
      <c r="F174" s="2332">
        <f t="shared" ref="F174:K174" si="119">+F175+F176</f>
        <v>35015</v>
      </c>
      <c r="G174" s="2332">
        <f t="shared" si="119"/>
        <v>3425229</v>
      </c>
      <c r="H174" s="2332">
        <f t="shared" si="119"/>
        <v>9586208</v>
      </c>
      <c r="I174" s="2332">
        <f t="shared" si="119"/>
        <v>10659328</v>
      </c>
      <c r="J174" s="2332">
        <f t="shared" si="119"/>
        <v>0</v>
      </c>
      <c r="K174" s="2332">
        <f t="shared" si="119"/>
        <v>0</v>
      </c>
      <c r="L174" s="2332">
        <f>+L175+L176</f>
        <v>0</v>
      </c>
      <c r="M174" s="2333">
        <f>+M175+M176</f>
        <v>23670765</v>
      </c>
      <c r="N174" s="1606"/>
      <c r="O174" s="261"/>
    </row>
    <row r="175" spans="1:15" s="1208" customFormat="1" ht="15" hidden="1" customHeight="1">
      <c r="A175" s="3954"/>
      <c r="B175" s="3274" t="s">
        <v>11</v>
      </c>
      <c r="C175" s="4260"/>
      <c r="D175" s="2334">
        <f t="shared" si="115"/>
        <v>23745499</v>
      </c>
      <c r="E175" s="2335">
        <f>6785+32934</f>
        <v>39719</v>
      </c>
      <c r="F175" s="2334">
        <f>1331570+1528290+1746993-424083+157710-2889542-1412421-3275-227</f>
        <v>35015</v>
      </c>
      <c r="G175" s="2334">
        <f>2870218+1290507-735496</f>
        <v>3425229</v>
      </c>
      <c r="H175" s="2334">
        <f>5000+1274578+3595+8303035</f>
        <v>9586208</v>
      </c>
      <c r="I175" s="2334">
        <v>10659328</v>
      </c>
      <c r="J175" s="2334"/>
      <c r="K175" s="2334"/>
      <c r="L175" s="2334">
        <v>0</v>
      </c>
      <c r="M175" s="2179">
        <f>SUM(G175:K175)</f>
        <v>23670765</v>
      </c>
      <c r="N175" s="1606"/>
      <c r="O175" s="261"/>
    </row>
    <row r="176" spans="1:15" s="1208" customFormat="1" ht="17.25" hidden="1" customHeight="1">
      <c r="A176" s="3954"/>
      <c r="B176" s="3274" t="s">
        <v>53</v>
      </c>
      <c r="C176" s="4260"/>
      <c r="D176" s="2336">
        <f t="shared" si="115"/>
        <v>0</v>
      </c>
      <c r="E176" s="3297"/>
      <c r="F176" s="2336"/>
      <c r="G176" s="2336"/>
      <c r="H176" s="2336"/>
      <c r="I176" s="2336"/>
      <c r="J176" s="2336"/>
      <c r="K176" s="2336"/>
      <c r="L176" s="2336"/>
      <c r="M176" s="2179">
        <f>SUM(G176:K176)</f>
        <v>0</v>
      </c>
      <c r="N176" s="1606"/>
      <c r="O176" s="261"/>
    </row>
    <row r="177" spans="1:15" s="2544" customFormat="1" ht="15.75" hidden="1" customHeight="1">
      <c r="A177" s="3954"/>
      <c r="B177" s="3298" t="s">
        <v>17</v>
      </c>
      <c r="C177" s="4260"/>
      <c r="D177" s="2331">
        <f t="shared" si="115"/>
        <v>28250000</v>
      </c>
      <c r="E177" s="2331">
        <f>+E178</f>
        <v>1340161</v>
      </c>
      <c r="F177" s="2331">
        <f t="shared" ref="F177:K177" si="120">+F178</f>
        <v>884884</v>
      </c>
      <c r="G177" s="2331">
        <f t="shared" si="120"/>
        <v>8574771</v>
      </c>
      <c r="H177" s="2331">
        <f t="shared" si="120"/>
        <v>13250000</v>
      </c>
      <c r="I177" s="2331">
        <f t="shared" si="120"/>
        <v>4200184</v>
      </c>
      <c r="J177" s="2331">
        <f t="shared" si="120"/>
        <v>0</v>
      </c>
      <c r="K177" s="2331">
        <f t="shared" si="120"/>
        <v>0</v>
      </c>
      <c r="L177" s="2331">
        <f>+L178</f>
        <v>0</v>
      </c>
      <c r="M177" s="2333">
        <f>+M178</f>
        <v>26024955</v>
      </c>
      <c r="N177" s="1606"/>
      <c r="O177" s="2550"/>
    </row>
    <row r="178" spans="1:15" s="1208" customFormat="1" ht="13.5" hidden="1" customHeight="1">
      <c r="A178" s="3954"/>
      <c r="B178" s="3282" t="s">
        <v>19</v>
      </c>
      <c r="C178" s="4260"/>
      <c r="D178" s="2334">
        <f t="shared" si="115"/>
        <v>28250000</v>
      </c>
      <c r="E178" s="2335">
        <f>+E179+E180</f>
        <v>1340161</v>
      </c>
      <c r="F178" s="2335">
        <f t="shared" ref="F178:K178" si="121">+F179+F180</f>
        <v>884884</v>
      </c>
      <c r="G178" s="2335">
        <f t="shared" si="121"/>
        <v>8574771</v>
      </c>
      <c r="H178" s="2335">
        <f t="shared" si="121"/>
        <v>13250000</v>
      </c>
      <c r="I178" s="2335">
        <f t="shared" si="121"/>
        <v>4200184</v>
      </c>
      <c r="J178" s="2335">
        <f t="shared" si="121"/>
        <v>0</v>
      </c>
      <c r="K178" s="2335">
        <f t="shared" si="121"/>
        <v>0</v>
      </c>
      <c r="L178" s="2335">
        <f>+L179+L180</f>
        <v>0</v>
      </c>
      <c r="M178" s="2179">
        <f>+M179+M180</f>
        <v>26024955</v>
      </c>
      <c r="N178" s="1606"/>
      <c r="O178" s="261"/>
    </row>
    <row r="179" spans="1:15" s="1208" customFormat="1" ht="27" hidden="1" customHeight="1">
      <c r="A179" s="3954"/>
      <c r="B179" s="3283" t="s">
        <v>248</v>
      </c>
      <c r="C179" s="4260"/>
      <c r="D179" s="2336">
        <f t="shared" si="115"/>
        <v>18000000</v>
      </c>
      <c r="E179" s="2336">
        <f>360377-6785+986569</f>
        <v>1340161</v>
      </c>
      <c r="F179" s="2336">
        <f>8003000+624800+1372200+2609637-7314788-2168789-1344027-897149</f>
        <v>884884</v>
      </c>
      <c r="G179" s="2336">
        <f>3584737+432072+5314788+1929747+81572-5768145</f>
        <v>5574771</v>
      </c>
      <c r="H179" s="2336">
        <f>7959008+1344027-3303035</f>
        <v>6000000</v>
      </c>
      <c r="I179" s="2336">
        <v>4200184</v>
      </c>
      <c r="J179" s="2336">
        <v>0</v>
      </c>
      <c r="K179" s="2336">
        <v>0</v>
      </c>
      <c r="L179" s="2336">
        <v>0</v>
      </c>
      <c r="M179" s="2179">
        <f>SUM(G179:K179)</f>
        <v>15774955</v>
      </c>
      <c r="N179" s="1606"/>
      <c r="O179" s="261"/>
    </row>
    <row r="180" spans="1:15" s="1208" customFormat="1" ht="21.75" hidden="1" customHeight="1">
      <c r="A180" s="3954"/>
      <c r="B180" s="3283" t="s">
        <v>249</v>
      </c>
      <c r="C180" s="4256"/>
      <c r="D180" s="2336">
        <f t="shared" si="115"/>
        <v>10250000</v>
      </c>
      <c r="E180" s="3297">
        <v>0</v>
      </c>
      <c r="F180" s="2336">
        <f>7000000+143000-583000-2342700-2034502-2144085-38713</f>
        <v>0</v>
      </c>
      <c r="G180" s="2336">
        <f>2857000+833000+2295496+2081706-2544380-2522822</f>
        <v>3000000</v>
      </c>
      <c r="H180" s="2336">
        <f>4688465+2561535</f>
        <v>7250000</v>
      </c>
      <c r="I180" s="2336">
        <v>0</v>
      </c>
      <c r="J180" s="2336">
        <v>0</v>
      </c>
      <c r="K180" s="2336">
        <v>0</v>
      </c>
      <c r="L180" s="2336">
        <f>3000000-3000000</f>
        <v>0</v>
      </c>
      <c r="M180" s="2179">
        <f>SUM(G180:K180)</f>
        <v>10250000</v>
      </c>
      <c r="N180" s="1606"/>
      <c r="O180" s="261"/>
    </row>
    <row r="181" spans="1:15" s="1208" customFormat="1" ht="17.25" hidden="1" customHeight="1">
      <c r="A181" s="3954"/>
      <c r="B181" s="160" t="s">
        <v>251</v>
      </c>
      <c r="C181" s="147"/>
      <c r="D181" s="2330">
        <f t="shared" ref="D181:K181" si="122">+D182+D184</f>
        <v>28250000</v>
      </c>
      <c r="E181" s="2330">
        <f t="shared" ref="E181" si="123">+E182+E184</f>
        <v>1242115</v>
      </c>
      <c r="F181" s="2330">
        <f t="shared" si="122"/>
        <v>783716</v>
      </c>
      <c r="G181" s="2330">
        <f t="shared" si="122"/>
        <v>8173985</v>
      </c>
      <c r="H181" s="2330">
        <f t="shared" si="122"/>
        <v>11500000</v>
      </c>
      <c r="I181" s="2330">
        <f t="shared" si="122"/>
        <v>6550184</v>
      </c>
      <c r="J181" s="2330">
        <f t="shared" si="122"/>
        <v>0</v>
      </c>
      <c r="K181" s="2330">
        <f t="shared" si="122"/>
        <v>0</v>
      </c>
      <c r="L181" s="2330">
        <f>+L182+L184</f>
        <v>0</v>
      </c>
      <c r="M181" s="4267" t="s">
        <v>52</v>
      </c>
      <c r="N181" s="1606"/>
      <c r="O181" s="261"/>
    </row>
    <row r="182" spans="1:15" s="1208" customFormat="1" ht="13.5" hidden="1" customHeight="1">
      <c r="A182" s="3954"/>
      <c r="B182" s="194" t="s">
        <v>22</v>
      </c>
      <c r="C182" s="4255" t="s">
        <v>259</v>
      </c>
      <c r="D182" s="2331">
        <f t="shared" ref="D182:D187" si="124">SUM(E182:K182)</f>
        <v>0</v>
      </c>
      <c r="E182" s="2332">
        <f t="shared" ref="E182:K182" si="125">+E183</f>
        <v>0</v>
      </c>
      <c r="F182" s="2332">
        <f t="shared" si="125"/>
        <v>0</v>
      </c>
      <c r="G182" s="2332">
        <f t="shared" si="125"/>
        <v>0</v>
      </c>
      <c r="H182" s="2332">
        <f t="shared" si="125"/>
        <v>0</v>
      </c>
      <c r="I182" s="2332">
        <f t="shared" si="125"/>
        <v>0</v>
      </c>
      <c r="J182" s="2332">
        <f t="shared" si="125"/>
        <v>0</v>
      </c>
      <c r="K182" s="2332">
        <f t="shared" si="125"/>
        <v>0</v>
      </c>
      <c r="L182" s="2332">
        <f>+L183</f>
        <v>0</v>
      </c>
      <c r="M182" s="4229"/>
      <c r="N182" s="1606"/>
      <c r="O182" s="261"/>
    </row>
    <row r="183" spans="1:15" s="1208" customFormat="1" ht="15" hidden="1" customHeight="1">
      <c r="A183" s="3954"/>
      <c r="B183" s="3274" t="s">
        <v>53</v>
      </c>
      <c r="C183" s="4256"/>
      <c r="D183" s="2336">
        <f t="shared" si="124"/>
        <v>0</v>
      </c>
      <c r="E183" s="2336"/>
      <c r="F183" s="2336"/>
      <c r="G183" s="2336"/>
      <c r="H183" s="2336"/>
      <c r="I183" s="2336"/>
      <c r="J183" s="2336"/>
      <c r="K183" s="2336"/>
      <c r="L183" s="2336"/>
      <c r="M183" s="4229"/>
      <c r="N183" s="1606"/>
      <c r="O183" s="261"/>
    </row>
    <row r="184" spans="1:15" s="1208" customFormat="1" ht="18.75" hidden="1" customHeight="1">
      <c r="A184" s="3954"/>
      <c r="B184" s="3298" t="s">
        <v>17</v>
      </c>
      <c r="C184" s="4255" t="s">
        <v>265</v>
      </c>
      <c r="D184" s="2331">
        <f t="shared" si="124"/>
        <v>28250000</v>
      </c>
      <c r="E184" s="2332">
        <f t="shared" ref="E184:K184" si="126">+E185</f>
        <v>1242115</v>
      </c>
      <c r="F184" s="2332">
        <f t="shared" si="126"/>
        <v>783716</v>
      </c>
      <c r="G184" s="2332">
        <f t="shared" si="126"/>
        <v>8173985</v>
      </c>
      <c r="H184" s="2332">
        <f t="shared" si="126"/>
        <v>11500000</v>
      </c>
      <c r="I184" s="2332">
        <f t="shared" si="126"/>
        <v>6550184</v>
      </c>
      <c r="J184" s="2332">
        <f t="shared" si="126"/>
        <v>0</v>
      </c>
      <c r="K184" s="2332">
        <f t="shared" si="126"/>
        <v>0</v>
      </c>
      <c r="L184" s="2332">
        <f>+L185</f>
        <v>0</v>
      </c>
      <c r="M184" s="4229"/>
      <c r="N184" s="1606"/>
      <c r="O184" s="261"/>
    </row>
    <row r="185" spans="1:15" s="1208" customFormat="1" ht="18" hidden="1" customHeight="1">
      <c r="A185" s="3954"/>
      <c r="B185" s="344" t="s">
        <v>19</v>
      </c>
      <c r="C185" s="4266"/>
      <c r="D185" s="2334">
        <f t="shared" si="124"/>
        <v>28250000</v>
      </c>
      <c r="E185" s="2334">
        <f t="shared" ref="E185:K185" si="127">+E186+E187</f>
        <v>1242115</v>
      </c>
      <c r="F185" s="2334">
        <f t="shared" si="127"/>
        <v>783716</v>
      </c>
      <c r="G185" s="2334">
        <f t="shared" si="127"/>
        <v>8173985</v>
      </c>
      <c r="H185" s="2334">
        <f t="shared" si="127"/>
        <v>11500000</v>
      </c>
      <c r="I185" s="2334">
        <f t="shared" si="127"/>
        <v>6550184</v>
      </c>
      <c r="J185" s="2334">
        <f t="shared" si="127"/>
        <v>0</v>
      </c>
      <c r="K185" s="2334">
        <f t="shared" si="127"/>
        <v>0</v>
      </c>
      <c r="L185" s="2334">
        <f>+L186+L187</f>
        <v>0</v>
      </c>
      <c r="M185" s="4229"/>
      <c r="N185" s="1606"/>
      <c r="O185" s="261"/>
    </row>
    <row r="186" spans="1:15" s="1208" customFormat="1" ht="22.5" hidden="1" customHeight="1">
      <c r="A186" s="3045"/>
      <c r="B186" s="3299" t="s">
        <v>254</v>
      </c>
      <c r="C186" s="3300" t="s">
        <v>225</v>
      </c>
      <c r="D186" s="2336">
        <f t="shared" si="124"/>
        <v>18000000</v>
      </c>
      <c r="E186" s="2336">
        <f>226180-6785+1022720</f>
        <v>1242115</v>
      </c>
      <c r="F186" s="2336">
        <f>8003000+624800+1372200+2609637-7314788-2611664-1048861-850608</f>
        <v>783716</v>
      </c>
      <c r="G186" s="2336">
        <f>3584737+432072+5314788+2062295-50976-5325270-197120-146541</f>
        <v>5673985</v>
      </c>
      <c r="H186" s="2336">
        <f>113335+7943719+1245981-3303035</f>
        <v>6000000</v>
      </c>
      <c r="I186" s="2336">
        <v>4300184</v>
      </c>
      <c r="J186" s="2336"/>
      <c r="K186" s="2336"/>
      <c r="L186" s="2336">
        <v>0</v>
      </c>
      <c r="M186" s="4229"/>
      <c r="N186" s="1606"/>
      <c r="O186" s="261"/>
    </row>
    <row r="187" spans="1:15" s="1208" customFormat="1" ht="24" hidden="1" customHeight="1" thickBot="1">
      <c r="A187" s="3046"/>
      <c r="B187" s="3283" t="s">
        <v>255</v>
      </c>
      <c r="C187" s="3300" t="s">
        <v>204</v>
      </c>
      <c r="D187" s="2334">
        <f t="shared" si="124"/>
        <v>10250000</v>
      </c>
      <c r="E187" s="2335"/>
      <c r="F187" s="2334">
        <f>7000000+143000-583000-2342700-2034502-2182798</f>
        <v>0</v>
      </c>
      <c r="G187" s="2334">
        <f>2857000+833000+2295496+2081706-2505667-3061535</f>
        <v>2500000</v>
      </c>
      <c r="H187" s="2334">
        <f>4688465+3061535-2250000</f>
        <v>5500000</v>
      </c>
      <c r="I187" s="2334">
        <v>2250000</v>
      </c>
      <c r="J187" s="2334"/>
      <c r="K187" s="2334"/>
      <c r="L187" s="2334">
        <f>3000000-3000000</f>
        <v>0</v>
      </c>
      <c r="M187" s="4268"/>
      <c r="N187" s="1606"/>
      <c r="O187" s="261"/>
    </row>
    <row r="188" spans="1:15" s="1208" customFormat="1" ht="15" hidden="1" customHeight="1" thickBot="1">
      <c r="A188" s="4058" t="s">
        <v>271</v>
      </c>
      <c r="B188" s="1644" t="s">
        <v>256</v>
      </c>
      <c r="C188" s="2686" t="s">
        <v>99</v>
      </c>
      <c r="D188" s="3293"/>
      <c r="E188" s="3294"/>
      <c r="F188" s="2328"/>
      <c r="G188" s="2328"/>
      <c r="H188" s="2328"/>
      <c r="I188" s="2328"/>
      <c r="J188" s="2328"/>
      <c r="K188" s="3295"/>
      <c r="L188" s="2338"/>
      <c r="M188" s="2339"/>
      <c r="N188" s="1606"/>
      <c r="O188" s="261"/>
    </row>
    <row r="189" spans="1:15" s="1208" customFormat="1" ht="13.5" hidden="1" customHeight="1" thickBot="1">
      <c r="A189" s="4058"/>
      <c r="B189" s="3301" t="s">
        <v>9</v>
      </c>
      <c r="C189" s="3296"/>
      <c r="D189" s="329">
        <f>+D190+D192</f>
        <v>0</v>
      </c>
      <c r="E189" s="329">
        <v>0</v>
      </c>
      <c r="F189" s="329">
        <f t="shared" ref="F189:K189" si="128">+F190+F192</f>
        <v>0</v>
      </c>
      <c r="G189" s="329">
        <f t="shared" si="128"/>
        <v>0</v>
      </c>
      <c r="H189" s="329">
        <f t="shared" si="128"/>
        <v>0</v>
      </c>
      <c r="I189" s="329">
        <f t="shared" si="128"/>
        <v>0</v>
      </c>
      <c r="J189" s="329">
        <f t="shared" si="128"/>
        <v>0</v>
      </c>
      <c r="K189" s="329">
        <f t="shared" si="128"/>
        <v>0</v>
      </c>
      <c r="L189" s="1053">
        <f>+L190+L192</f>
        <v>0</v>
      </c>
      <c r="M189" s="2340">
        <f>+M190+M192</f>
        <v>0</v>
      </c>
      <c r="N189" s="1606"/>
      <c r="O189" s="261"/>
    </row>
    <row r="190" spans="1:15" s="1208" customFormat="1" ht="13.5" hidden="1" customHeight="1" thickBot="1">
      <c r="A190" s="4058"/>
      <c r="B190" s="3302" t="s">
        <v>22</v>
      </c>
      <c r="C190" s="4257" t="s">
        <v>259</v>
      </c>
      <c r="D190" s="2331">
        <f>SUM(E190:K190)</f>
        <v>0</v>
      </c>
      <c r="E190" s="2332">
        <v>0</v>
      </c>
      <c r="F190" s="2332">
        <f t="shared" ref="F190:K190" si="129">+F191</f>
        <v>0</v>
      </c>
      <c r="G190" s="2332">
        <f t="shared" si="129"/>
        <v>0</v>
      </c>
      <c r="H190" s="2332">
        <f t="shared" si="129"/>
        <v>0</v>
      </c>
      <c r="I190" s="2332">
        <f t="shared" si="129"/>
        <v>0</v>
      </c>
      <c r="J190" s="2332">
        <f t="shared" si="129"/>
        <v>0</v>
      </c>
      <c r="K190" s="2332">
        <f t="shared" si="129"/>
        <v>0</v>
      </c>
      <c r="L190" s="2324">
        <f>+L191</f>
        <v>0</v>
      </c>
      <c r="M190" s="2341">
        <f>SUM(E190:K190)</f>
        <v>0</v>
      </c>
      <c r="N190" s="1606"/>
      <c r="O190" s="261"/>
    </row>
    <row r="191" spans="1:15" s="1208" customFormat="1" ht="13.5" hidden="1" customHeight="1" thickBot="1">
      <c r="A191" s="4058"/>
      <c r="B191" s="3303" t="s">
        <v>11</v>
      </c>
      <c r="C191" s="4258"/>
      <c r="D191" s="2336">
        <f>SUM(E191:K191)</f>
        <v>0</v>
      </c>
      <c r="E191" s="3297">
        <v>0</v>
      </c>
      <c r="F191" s="2336">
        <v>0</v>
      </c>
      <c r="G191" s="2336">
        <v>0</v>
      </c>
      <c r="H191" s="2336">
        <v>0</v>
      </c>
      <c r="I191" s="2336">
        <v>0</v>
      </c>
      <c r="J191" s="2336">
        <v>0</v>
      </c>
      <c r="K191" s="2336"/>
      <c r="L191" s="2325">
        <v>0</v>
      </c>
      <c r="M191" s="2179">
        <f>SUM(G191:K191)</f>
        <v>0</v>
      </c>
      <c r="N191" s="1606"/>
      <c r="O191" s="261"/>
    </row>
    <row r="192" spans="1:15" s="1208" customFormat="1" ht="13.5" hidden="1" customHeight="1" thickBot="1">
      <c r="A192" s="4058"/>
      <c r="B192" s="3281" t="s">
        <v>17</v>
      </c>
      <c r="C192" s="4261" t="s">
        <v>138</v>
      </c>
      <c r="D192" s="2331">
        <f>SUM(E192:K192)</f>
        <v>0</v>
      </c>
      <c r="E192" s="2332">
        <v>0</v>
      </c>
      <c r="F192" s="2332">
        <f t="shared" ref="F192:K192" si="130">+F193</f>
        <v>0</v>
      </c>
      <c r="G192" s="2332">
        <f t="shared" si="130"/>
        <v>0</v>
      </c>
      <c r="H192" s="2332">
        <f t="shared" si="130"/>
        <v>0</v>
      </c>
      <c r="I192" s="2332">
        <f t="shared" si="130"/>
        <v>0</v>
      </c>
      <c r="J192" s="2332">
        <f t="shared" si="130"/>
        <v>0</v>
      </c>
      <c r="K192" s="2332">
        <f t="shared" si="130"/>
        <v>0</v>
      </c>
      <c r="L192" s="2324">
        <f>+L193</f>
        <v>0</v>
      </c>
      <c r="M192" s="2341">
        <f>SUM(E192:K192)</f>
        <v>0</v>
      </c>
      <c r="N192" s="1606"/>
      <c r="O192" s="261"/>
    </row>
    <row r="193" spans="1:15" s="1208" customFormat="1" ht="13.5" hidden="1" customHeight="1" thickBot="1">
      <c r="A193" s="4058"/>
      <c r="B193" s="3282" t="s">
        <v>19</v>
      </c>
      <c r="C193" s="4262"/>
      <c r="D193" s="2334">
        <f>SUM(E193:K193)</f>
        <v>0</v>
      </c>
      <c r="E193" s="2335">
        <v>0</v>
      </c>
      <c r="F193" s="2335">
        <f t="shared" ref="F193:K193" si="131">+F194</f>
        <v>0</v>
      </c>
      <c r="G193" s="2335">
        <f t="shared" si="131"/>
        <v>0</v>
      </c>
      <c r="H193" s="2335">
        <f t="shared" si="131"/>
        <v>0</v>
      </c>
      <c r="I193" s="2335">
        <f t="shared" si="131"/>
        <v>0</v>
      </c>
      <c r="J193" s="2335">
        <f t="shared" si="131"/>
        <v>0</v>
      </c>
      <c r="K193" s="2335">
        <f t="shared" si="131"/>
        <v>0</v>
      </c>
      <c r="L193" s="326">
        <f>+L194</f>
        <v>0</v>
      </c>
      <c r="M193" s="2179">
        <f>SUM(G193:K193)</f>
        <v>0</v>
      </c>
      <c r="N193" s="1606"/>
      <c r="O193" s="261"/>
    </row>
    <row r="194" spans="1:15" s="1208" customFormat="1" ht="22.5" hidden="1" customHeight="1" thickBot="1">
      <c r="A194" s="4058"/>
      <c r="B194" s="3304" t="s">
        <v>253</v>
      </c>
      <c r="C194" s="4263"/>
      <c r="D194" s="2336">
        <f>SUM(E194:K194)</f>
        <v>0</v>
      </c>
      <c r="E194" s="3297">
        <v>0</v>
      </c>
      <c r="F194" s="2336">
        <f>312400-312400</f>
        <v>0</v>
      </c>
      <c r="G194" s="2336">
        <f>624800-624800</f>
        <v>0</v>
      </c>
      <c r="H194" s="2336">
        <f>625000-625000</f>
        <v>0</v>
      </c>
      <c r="I194" s="2336">
        <v>0</v>
      </c>
      <c r="J194" s="2336">
        <v>0</v>
      </c>
      <c r="K194" s="2336">
        <v>0</v>
      </c>
      <c r="L194" s="2325">
        <v>0</v>
      </c>
      <c r="M194" s="2179">
        <f>SUM(G194:K194)</f>
        <v>0</v>
      </c>
      <c r="N194" s="1606"/>
      <c r="O194" s="261"/>
    </row>
    <row r="195" spans="1:15" s="1208" customFormat="1" ht="13.5" hidden="1" customHeight="1" thickBot="1">
      <c r="A195" s="4058"/>
      <c r="B195" s="160" t="s">
        <v>251</v>
      </c>
      <c r="C195" s="151"/>
      <c r="D195" s="2330">
        <f>+D196</f>
        <v>0</v>
      </c>
      <c r="E195" s="2330">
        <v>0</v>
      </c>
      <c r="F195" s="2330">
        <f t="shared" ref="F195:K195" si="132">+F196</f>
        <v>0</v>
      </c>
      <c r="G195" s="2330">
        <f t="shared" si="132"/>
        <v>0</v>
      </c>
      <c r="H195" s="2330">
        <f t="shared" si="132"/>
        <v>0</v>
      </c>
      <c r="I195" s="2330">
        <f t="shared" si="132"/>
        <v>0</v>
      </c>
      <c r="J195" s="2330">
        <f t="shared" si="132"/>
        <v>0</v>
      </c>
      <c r="K195" s="2330">
        <f t="shared" si="132"/>
        <v>0</v>
      </c>
      <c r="L195" s="302">
        <f>+L196</f>
        <v>0</v>
      </c>
      <c r="M195" s="4259" t="s">
        <v>52</v>
      </c>
      <c r="N195" s="1606"/>
      <c r="O195" s="261"/>
    </row>
    <row r="196" spans="1:15" s="1208" customFormat="1" ht="13.5" hidden="1" customHeight="1" thickBot="1">
      <c r="A196" s="4058"/>
      <c r="B196" s="3281" t="s">
        <v>17</v>
      </c>
      <c r="C196" s="4261" t="s">
        <v>225</v>
      </c>
      <c r="D196" s="2331">
        <f>SUM(E196:K196)</f>
        <v>0</v>
      </c>
      <c r="E196" s="3305">
        <v>0</v>
      </c>
      <c r="F196" s="3305">
        <f t="shared" ref="F196:K197" si="133">+F197</f>
        <v>0</v>
      </c>
      <c r="G196" s="3305">
        <f t="shared" si="133"/>
        <v>0</v>
      </c>
      <c r="H196" s="3305">
        <f t="shared" si="133"/>
        <v>0</v>
      </c>
      <c r="I196" s="3305">
        <f t="shared" si="133"/>
        <v>0</v>
      </c>
      <c r="J196" s="3305">
        <f t="shared" si="133"/>
        <v>0</v>
      </c>
      <c r="K196" s="3305">
        <f t="shared" si="133"/>
        <v>0</v>
      </c>
      <c r="L196" s="332">
        <f>+L197</f>
        <v>0</v>
      </c>
      <c r="M196" s="4204"/>
      <c r="N196" s="1606"/>
      <c r="O196" s="261"/>
    </row>
    <row r="197" spans="1:15" s="1208" customFormat="1" ht="13.5" hidden="1" customHeight="1" thickBot="1">
      <c r="A197" s="4058"/>
      <c r="B197" s="67" t="s">
        <v>19</v>
      </c>
      <c r="C197" s="4293"/>
      <c r="D197" s="3306">
        <f>SUM(E197:K197)</f>
        <v>0</v>
      </c>
      <c r="E197" s="3307">
        <v>0</v>
      </c>
      <c r="F197" s="3307">
        <f t="shared" si="133"/>
        <v>0</v>
      </c>
      <c r="G197" s="3307">
        <f t="shared" si="133"/>
        <v>0</v>
      </c>
      <c r="H197" s="3307">
        <f t="shared" si="133"/>
        <v>0</v>
      </c>
      <c r="I197" s="3307">
        <f t="shared" si="133"/>
        <v>0</v>
      </c>
      <c r="J197" s="3307">
        <f t="shared" si="133"/>
        <v>0</v>
      </c>
      <c r="K197" s="3307">
        <f t="shared" si="133"/>
        <v>0</v>
      </c>
      <c r="L197" s="2342">
        <f>+L198</f>
        <v>0</v>
      </c>
      <c r="M197" s="4205"/>
      <c r="N197" s="1608"/>
      <c r="O197" s="261">
        <f>+D193+D204</f>
        <v>41000000</v>
      </c>
    </row>
    <row r="198" spans="1:15" s="1208" customFormat="1" ht="12" hidden="1" customHeight="1" thickBot="1">
      <c r="A198" s="2337"/>
      <c r="B198" s="2343" t="s">
        <v>248</v>
      </c>
      <c r="C198" s="2344"/>
      <c r="D198" s="2345">
        <f>SUM(E198:K198)</f>
        <v>0</v>
      </c>
      <c r="E198" s="2346"/>
      <c r="F198" s="2345">
        <f>312400-312400</f>
        <v>0</v>
      </c>
      <c r="G198" s="2345">
        <f>624800-624800</f>
        <v>0</v>
      </c>
      <c r="H198" s="2345">
        <f>625000-625000</f>
        <v>0</v>
      </c>
      <c r="I198" s="2347"/>
      <c r="J198" s="2347"/>
      <c r="K198" s="2345"/>
      <c r="L198" s="2345">
        <v>0</v>
      </c>
      <c r="M198" s="2348"/>
      <c r="N198" s="1608"/>
      <c r="O198" s="261"/>
    </row>
    <row r="199" spans="1:15" s="1208" customFormat="1" ht="16.5" hidden="1" customHeight="1" thickBot="1">
      <c r="A199" s="4058" t="s">
        <v>270</v>
      </c>
      <c r="B199" s="3308" t="s">
        <v>256</v>
      </c>
      <c r="C199" s="3309" t="s">
        <v>72</v>
      </c>
      <c r="D199" s="3310"/>
      <c r="E199" s="1609"/>
      <c r="F199" s="1610"/>
      <c r="G199" s="1610"/>
      <c r="H199" s="1610"/>
      <c r="I199" s="1610"/>
      <c r="J199" s="1610"/>
      <c r="K199" s="3311"/>
      <c r="L199" s="1610"/>
      <c r="M199" s="3044"/>
      <c r="N199" s="1606"/>
      <c r="O199" s="261"/>
    </row>
    <row r="200" spans="1:15" s="1208" customFormat="1" ht="13.5" hidden="1" customHeight="1" thickBot="1">
      <c r="A200" s="4058"/>
      <c r="B200" s="68" t="s">
        <v>9</v>
      </c>
      <c r="C200" s="3312"/>
      <c r="D200" s="1053">
        <f t="shared" ref="D200:M200" si="134">+D201+D204</f>
        <v>78354501</v>
      </c>
      <c r="E200" s="1053">
        <v>0</v>
      </c>
      <c r="F200" s="1053">
        <f t="shared" si="134"/>
        <v>0</v>
      </c>
      <c r="G200" s="1053">
        <f t="shared" si="134"/>
        <v>6000000</v>
      </c>
      <c r="H200" s="1053">
        <f t="shared" si="134"/>
        <v>26059374</v>
      </c>
      <c r="I200" s="1053">
        <f t="shared" si="134"/>
        <v>28059373</v>
      </c>
      <c r="J200" s="1053">
        <f t="shared" si="134"/>
        <v>18235754</v>
      </c>
      <c r="K200" s="1053">
        <f t="shared" si="134"/>
        <v>0</v>
      </c>
      <c r="L200" s="1053">
        <f>+L201+L204</f>
        <v>0</v>
      </c>
      <c r="M200" s="305">
        <f t="shared" si="134"/>
        <v>78354501</v>
      </c>
      <c r="N200" s="1606"/>
      <c r="O200" s="261"/>
    </row>
    <row r="201" spans="1:15" s="1208" customFormat="1" ht="13.5" hidden="1" customHeight="1" thickBot="1">
      <c r="A201" s="4058"/>
      <c r="B201" s="2089" t="s">
        <v>22</v>
      </c>
      <c r="C201" s="4255" t="s">
        <v>259</v>
      </c>
      <c r="D201" s="3313">
        <f>SUM(E201:K201)</f>
        <v>37354501</v>
      </c>
      <c r="E201" s="290">
        <v>0</v>
      </c>
      <c r="F201" s="290">
        <f>+F202+F203</f>
        <v>0</v>
      </c>
      <c r="G201" s="290">
        <f>+G202+G203</f>
        <v>2000000</v>
      </c>
      <c r="H201" s="290">
        <f>+H202+H203</f>
        <v>11059374</v>
      </c>
      <c r="I201" s="290">
        <f t="shared" ref="I201:K201" si="135">+I202+I203</f>
        <v>11059373</v>
      </c>
      <c r="J201" s="290">
        <f t="shared" si="135"/>
        <v>13235754</v>
      </c>
      <c r="K201" s="290">
        <f t="shared" si="135"/>
        <v>0</v>
      </c>
      <c r="L201" s="290">
        <f>+L202+L203</f>
        <v>0</v>
      </c>
      <c r="M201" s="3314">
        <f>SUM(E201:K201)</f>
        <v>37354501</v>
      </c>
      <c r="N201" s="1606"/>
      <c r="O201" s="261"/>
    </row>
    <row r="202" spans="1:15" s="1208" customFormat="1" ht="13.5" hidden="1" customHeight="1" thickBot="1">
      <c r="A202" s="4058"/>
      <c r="B202" s="3274" t="s">
        <v>11</v>
      </c>
      <c r="C202" s="4260"/>
      <c r="D202" s="1611">
        <f>SUM(E202:K202)</f>
        <v>37354501</v>
      </c>
      <c r="E202" s="291"/>
      <c r="F202" s="1611">
        <f>298890-145175+17079-170794</f>
        <v>0</v>
      </c>
      <c r="G202" s="1611">
        <f>4006159-2149730+11478766-1254345+1284139-1290507-10074482</f>
        <v>2000000</v>
      </c>
      <c r="H202" s="1611">
        <f>825200-119869+1136000+9043924+1438489-1284139+98690-78921</f>
        <v>11059374</v>
      </c>
      <c r="I202" s="1611">
        <v>11059373</v>
      </c>
      <c r="J202" s="1611">
        <v>13235754</v>
      </c>
      <c r="K202" s="1611"/>
      <c r="L202" s="1611">
        <v>0</v>
      </c>
      <c r="M202" s="3315">
        <f>SUM(G202:K202)</f>
        <v>37354501</v>
      </c>
      <c r="N202" s="1606"/>
      <c r="O202" s="261"/>
    </row>
    <row r="203" spans="1:15" s="1208" customFormat="1" ht="13.5" hidden="1" customHeight="1" thickBot="1">
      <c r="A203" s="4058"/>
      <c r="B203" s="3274" t="s">
        <v>15</v>
      </c>
      <c r="C203" s="4260"/>
      <c r="D203" s="1611">
        <f>SUM(E203:K203)</f>
        <v>0</v>
      </c>
      <c r="E203" s="291"/>
      <c r="F203" s="1611">
        <f>277300-277300</f>
        <v>0</v>
      </c>
      <c r="G203" s="1611">
        <f>3328200-3328200</f>
        <v>0</v>
      </c>
      <c r="H203" s="1611">
        <f>1394500+277300-1671800</f>
        <v>0</v>
      </c>
      <c r="I203" s="1611"/>
      <c r="J203" s="1611"/>
      <c r="K203" s="1611"/>
      <c r="L203" s="1611">
        <v>0</v>
      </c>
      <c r="M203" s="3315">
        <f>SUM(F203:K203)</f>
        <v>0</v>
      </c>
      <c r="N203" s="1606"/>
      <c r="O203" s="261"/>
    </row>
    <row r="204" spans="1:15" s="1208" customFormat="1" ht="15.75" hidden="1" customHeight="1" thickBot="1">
      <c r="A204" s="4058"/>
      <c r="B204" s="357" t="s">
        <v>17</v>
      </c>
      <c r="C204" s="4264"/>
      <c r="D204" s="3313">
        <f>SUM(E204:K204)</f>
        <v>41000000</v>
      </c>
      <c r="E204" s="3313">
        <v>0</v>
      </c>
      <c r="F204" s="3313">
        <f t="shared" ref="F204:K204" si="136">+F205</f>
        <v>0</v>
      </c>
      <c r="G204" s="3313">
        <f t="shared" si="136"/>
        <v>4000000</v>
      </c>
      <c r="H204" s="3313">
        <f t="shared" si="136"/>
        <v>15000000</v>
      </c>
      <c r="I204" s="3313">
        <f t="shared" si="136"/>
        <v>17000000</v>
      </c>
      <c r="J204" s="3313">
        <f t="shared" si="136"/>
        <v>5000000</v>
      </c>
      <c r="K204" s="3313">
        <f t="shared" si="136"/>
        <v>0</v>
      </c>
      <c r="L204" s="3313">
        <f>+L205</f>
        <v>0</v>
      </c>
      <c r="M204" s="3316">
        <f>SUM(E204:K204)</f>
        <v>41000000</v>
      </c>
      <c r="N204" s="1606"/>
      <c r="O204" s="261"/>
    </row>
    <row r="205" spans="1:15" s="1208" customFormat="1" ht="12" hidden="1" customHeight="1" thickBot="1">
      <c r="A205" s="4058"/>
      <c r="B205" s="344" t="s">
        <v>19</v>
      </c>
      <c r="C205" s="4265"/>
      <c r="D205" s="1611">
        <f>+D206+D207</f>
        <v>41000000</v>
      </c>
      <c r="E205" s="1611">
        <v>0</v>
      </c>
      <c r="F205" s="1611">
        <f t="shared" ref="F205:K205" si="137">+F206+F207</f>
        <v>0</v>
      </c>
      <c r="G205" s="1611">
        <f t="shared" si="137"/>
        <v>4000000</v>
      </c>
      <c r="H205" s="1611">
        <f>+H206+H207</f>
        <v>15000000</v>
      </c>
      <c r="I205" s="1611">
        <f t="shared" si="137"/>
        <v>17000000</v>
      </c>
      <c r="J205" s="1611">
        <f t="shared" si="137"/>
        <v>5000000</v>
      </c>
      <c r="K205" s="1611">
        <f t="shared" si="137"/>
        <v>0</v>
      </c>
      <c r="L205" s="1611">
        <f>+L206+L207</f>
        <v>0</v>
      </c>
      <c r="M205" s="3315">
        <f>SUM(G205:K205)</f>
        <v>41000000</v>
      </c>
      <c r="N205" s="1606"/>
      <c r="O205" s="261"/>
    </row>
    <row r="206" spans="1:15" s="1208" customFormat="1" ht="22.5" hidden="1" customHeight="1" thickBot="1">
      <c r="A206" s="4058"/>
      <c r="B206" s="3299" t="s">
        <v>257</v>
      </c>
      <c r="C206" s="4265"/>
      <c r="D206" s="1612">
        <f>+E206+L206+F206+G206+H206+I206+J206+K206</f>
        <v>0</v>
      </c>
      <c r="E206" s="3317">
        <v>0</v>
      </c>
      <c r="F206" s="1612">
        <v>0</v>
      </c>
      <c r="G206" s="1612">
        <f>915000+624800-1539800</f>
        <v>0</v>
      </c>
      <c r="H206" s="1612">
        <f>511000+625000-1136000</f>
        <v>0</v>
      </c>
      <c r="I206" s="1612">
        <v>0</v>
      </c>
      <c r="J206" s="1612">
        <v>0</v>
      </c>
      <c r="K206" s="1612">
        <v>0</v>
      </c>
      <c r="L206" s="1612">
        <v>0</v>
      </c>
      <c r="M206" s="3315">
        <f>SUM(F206:K206)</f>
        <v>0</v>
      </c>
      <c r="N206" s="1606"/>
      <c r="O206" s="261"/>
    </row>
    <row r="207" spans="1:15" s="1208" customFormat="1" ht="23.25" hidden="1" customHeight="1" thickBot="1">
      <c r="A207" s="3953"/>
      <c r="B207" s="3318" t="s">
        <v>250</v>
      </c>
      <c r="C207" s="4265"/>
      <c r="D207" s="3319">
        <f>+E207+L207+F207+G207+H207+I207+J207+K207</f>
        <v>41000000</v>
      </c>
      <c r="E207" s="3320">
        <v>0</v>
      </c>
      <c r="F207" s="3319">
        <f>2328000-2328000</f>
        <v>0</v>
      </c>
      <c r="G207" s="3319">
        <f>27936000-5731740+345740-2337736+2238756-2236767-16214253</f>
        <v>4000000</v>
      </c>
      <c r="H207" s="3319">
        <f>11600000+8059740-1209740+2337736-2238756+2236767-785747-5000000</f>
        <v>15000000</v>
      </c>
      <c r="I207" s="3319">
        <v>17000000</v>
      </c>
      <c r="J207" s="3319">
        <v>5000000</v>
      </c>
      <c r="K207" s="3319">
        <v>0</v>
      </c>
      <c r="L207" s="3319">
        <v>0</v>
      </c>
      <c r="M207" s="3321">
        <f>SUM(G207:K207)</f>
        <v>41000000</v>
      </c>
      <c r="N207" s="1606"/>
      <c r="O207" s="261"/>
    </row>
    <row r="208" spans="1:15" s="1208" customFormat="1" ht="13.5" hidden="1" customHeight="1">
      <c r="A208" s="3954"/>
      <c r="B208" s="17" t="s">
        <v>251</v>
      </c>
      <c r="C208" s="3322"/>
      <c r="D208" s="3323">
        <f t="shared" ref="D208:K208" si="138">+D209+D211</f>
        <v>41000000</v>
      </c>
      <c r="E208" s="3323">
        <v>0</v>
      </c>
      <c r="F208" s="3323">
        <f t="shared" si="138"/>
        <v>0</v>
      </c>
      <c r="G208" s="3323">
        <f t="shared" si="138"/>
        <v>3500000</v>
      </c>
      <c r="H208" s="3323">
        <f t="shared" si="138"/>
        <v>13500000</v>
      </c>
      <c r="I208" s="3323">
        <f t="shared" si="138"/>
        <v>16000000</v>
      </c>
      <c r="J208" s="3323">
        <f t="shared" si="138"/>
        <v>8000000</v>
      </c>
      <c r="K208" s="3323">
        <f t="shared" si="138"/>
        <v>0</v>
      </c>
      <c r="L208" s="3323">
        <f>+L209+L211</f>
        <v>0</v>
      </c>
      <c r="M208" s="4248" t="s">
        <v>52</v>
      </c>
      <c r="N208" s="1606"/>
      <c r="O208" s="261"/>
    </row>
    <row r="209" spans="1:15" s="1208" customFormat="1" ht="15" hidden="1" customHeight="1">
      <c r="A209" s="3954"/>
      <c r="B209" s="2089" t="s">
        <v>22</v>
      </c>
      <c r="C209" s="4252" t="s">
        <v>265</v>
      </c>
      <c r="D209" s="3313">
        <f>+D210</f>
        <v>0</v>
      </c>
      <c r="E209" s="3313">
        <v>0</v>
      </c>
      <c r="F209" s="3313">
        <f t="shared" ref="F209:K209" si="139">+F210</f>
        <v>0</v>
      </c>
      <c r="G209" s="3313">
        <f t="shared" si="139"/>
        <v>0</v>
      </c>
      <c r="H209" s="3313">
        <f t="shared" si="139"/>
        <v>0</v>
      </c>
      <c r="I209" s="3313">
        <f t="shared" si="139"/>
        <v>0</v>
      </c>
      <c r="J209" s="3313">
        <f t="shared" si="139"/>
        <v>0</v>
      </c>
      <c r="K209" s="3313">
        <f t="shared" si="139"/>
        <v>0</v>
      </c>
      <c r="L209" s="3313">
        <f>+L210</f>
        <v>0</v>
      </c>
      <c r="M209" s="4204"/>
      <c r="N209" s="1606"/>
      <c r="O209" s="261"/>
    </row>
    <row r="210" spans="1:15" s="1208" customFormat="1" ht="16.5" hidden="1" customHeight="1">
      <c r="A210" s="3954"/>
      <c r="B210" s="3274" t="s">
        <v>15</v>
      </c>
      <c r="C210" s="4253"/>
      <c r="D210" s="1611">
        <f>SUM(E210:K210)</f>
        <v>0</v>
      </c>
      <c r="E210" s="291"/>
      <c r="F210" s="1611">
        <f>277300-277300</f>
        <v>0</v>
      </c>
      <c r="G210" s="1611">
        <f>3328200-3328200</f>
        <v>0</v>
      </c>
      <c r="H210" s="1611">
        <f>1394500+277300-1671800</f>
        <v>0</v>
      </c>
      <c r="I210" s="1611"/>
      <c r="J210" s="1611"/>
      <c r="K210" s="1611"/>
      <c r="L210" s="1611">
        <v>0</v>
      </c>
      <c r="M210" s="4204"/>
      <c r="N210" s="1606"/>
      <c r="O210" s="261"/>
    </row>
    <row r="211" spans="1:15" s="1208" customFormat="1" ht="16.5" hidden="1" customHeight="1">
      <c r="A211" s="3954"/>
      <c r="B211" s="357" t="s">
        <v>17</v>
      </c>
      <c r="C211" s="4253"/>
      <c r="D211" s="3313">
        <f>SUM(E211:K211)</f>
        <v>41000000</v>
      </c>
      <c r="E211" s="3313">
        <v>0</v>
      </c>
      <c r="F211" s="3313">
        <f t="shared" ref="F211:K211" si="140">+F212</f>
        <v>0</v>
      </c>
      <c r="G211" s="3313">
        <f t="shared" si="140"/>
        <v>3500000</v>
      </c>
      <c r="H211" s="3313">
        <f t="shared" si="140"/>
        <v>13500000</v>
      </c>
      <c r="I211" s="3313">
        <f t="shared" si="140"/>
        <v>16000000</v>
      </c>
      <c r="J211" s="3313">
        <f t="shared" si="140"/>
        <v>8000000</v>
      </c>
      <c r="K211" s="3313">
        <f t="shared" si="140"/>
        <v>0</v>
      </c>
      <c r="L211" s="3313">
        <f>+L212</f>
        <v>0</v>
      </c>
      <c r="M211" s="4204"/>
      <c r="N211" s="1606"/>
      <c r="O211" s="261"/>
    </row>
    <row r="212" spans="1:15" s="1208" customFormat="1" ht="15" hidden="1" customHeight="1">
      <c r="A212" s="3047"/>
      <c r="B212" s="344" t="s">
        <v>19</v>
      </c>
      <c r="C212" s="4254"/>
      <c r="D212" s="1611">
        <f>SUM(E212:K212)</f>
        <v>41000000</v>
      </c>
      <c r="E212" s="1611">
        <v>0</v>
      </c>
      <c r="F212" s="1611">
        <f>+F213+F214</f>
        <v>0</v>
      </c>
      <c r="G212" s="1611">
        <f t="shared" ref="G212:K212" si="141">+G213+G214</f>
        <v>3500000</v>
      </c>
      <c r="H212" s="1611">
        <f t="shared" si="141"/>
        <v>13500000</v>
      </c>
      <c r="I212" s="1611">
        <f t="shared" si="141"/>
        <v>16000000</v>
      </c>
      <c r="J212" s="1611">
        <f t="shared" si="141"/>
        <v>8000000</v>
      </c>
      <c r="K212" s="1611">
        <f t="shared" si="141"/>
        <v>0</v>
      </c>
      <c r="L212" s="1611">
        <f>+L213+L214</f>
        <v>0</v>
      </c>
      <c r="M212" s="4204"/>
      <c r="N212" s="1606"/>
      <c r="O212" s="261"/>
    </row>
    <row r="213" spans="1:15" s="1208" customFormat="1" ht="27.75" hidden="1" customHeight="1">
      <c r="A213" s="3047"/>
      <c r="B213" s="3299" t="s">
        <v>248</v>
      </c>
      <c r="C213" s="3324" t="s">
        <v>225</v>
      </c>
      <c r="D213" s="1612">
        <f>SUM(E213:K213)</f>
        <v>0</v>
      </c>
      <c r="E213" s="3317">
        <v>0</v>
      </c>
      <c r="F213" s="1612">
        <v>0</v>
      </c>
      <c r="G213" s="1612">
        <f>915000+624800-1539800</f>
        <v>0</v>
      </c>
      <c r="H213" s="1612">
        <f>511000+625000-1136000</f>
        <v>0</v>
      </c>
      <c r="I213" s="1612">
        <v>0</v>
      </c>
      <c r="J213" s="1612">
        <v>0</v>
      </c>
      <c r="K213" s="1612">
        <v>0</v>
      </c>
      <c r="L213" s="1612">
        <v>0</v>
      </c>
      <c r="M213" s="4204"/>
      <c r="N213" s="3325"/>
      <c r="O213" s="261"/>
    </row>
    <row r="214" spans="1:15" s="1208" customFormat="1" ht="21.75" hidden="1" customHeight="1" thickBot="1">
      <c r="A214" s="3047"/>
      <c r="B214" s="3326" t="s">
        <v>258</v>
      </c>
      <c r="C214" s="3324" t="s">
        <v>204</v>
      </c>
      <c r="D214" s="3327">
        <f>SUM(E214:K214)</f>
        <v>41000000</v>
      </c>
      <c r="E214" s="3328">
        <v>0</v>
      </c>
      <c r="F214" s="3327">
        <f>2328000-2328000</f>
        <v>0</v>
      </c>
      <c r="G214" s="3327">
        <f>27936000-5731740+345740-2337736+2238756-2236767-16714253</f>
        <v>3500000</v>
      </c>
      <c r="H214" s="3327">
        <f>11600000+8059740-1209740+2337736-2238756+2236767-1785747-5500000</f>
        <v>13500000</v>
      </c>
      <c r="I214" s="3327">
        <f>18500000-2500000</f>
        <v>16000000</v>
      </c>
      <c r="J214" s="3327">
        <v>8000000</v>
      </c>
      <c r="K214" s="3327">
        <v>0</v>
      </c>
      <c r="L214" s="3327">
        <v>0</v>
      </c>
      <c r="M214" s="4205"/>
      <c r="N214" s="3329"/>
      <c r="O214" s="261"/>
    </row>
    <row r="215" spans="1:15" s="1208" customFormat="1" ht="27" hidden="1" customHeight="1" thickBot="1">
      <c r="A215" s="3953"/>
      <c r="B215" s="142"/>
      <c r="C215" s="143" t="s">
        <v>99</v>
      </c>
      <c r="D215" s="323"/>
      <c r="E215" s="323"/>
      <c r="F215" s="323"/>
      <c r="G215" s="323"/>
      <c r="H215" s="323"/>
      <c r="I215" s="323"/>
      <c r="J215" s="323"/>
      <c r="K215" s="323"/>
      <c r="L215" s="323"/>
      <c r="M215" s="323"/>
      <c r="N215" s="4156"/>
      <c r="O215" s="261"/>
    </row>
    <row r="216" spans="1:15" s="1208" customFormat="1" ht="13.5" hidden="1" thickBot="1">
      <c r="A216" s="3954"/>
      <c r="B216" s="17" t="s">
        <v>9</v>
      </c>
      <c r="C216" s="341"/>
      <c r="D216" s="300">
        <f>+D217+D221</f>
        <v>0</v>
      </c>
      <c r="E216" s="300">
        <f t="shared" ref="E216" si="142">+E217+E221</f>
        <v>0</v>
      </c>
      <c r="F216" s="300">
        <f>+F217+F221</f>
        <v>0</v>
      </c>
      <c r="G216" s="287"/>
      <c r="H216" s="287"/>
      <c r="I216" s="287"/>
      <c r="J216" s="287"/>
      <c r="K216" s="287"/>
      <c r="L216" s="300">
        <f t="shared" ref="L216" si="143">+L217+L221</f>
        <v>0</v>
      </c>
      <c r="M216" s="342">
        <f>M217+M221</f>
        <v>0</v>
      </c>
      <c r="N216" s="4285"/>
      <c r="O216" s="261"/>
    </row>
    <row r="217" spans="1:15" s="1208" customFormat="1" hidden="1">
      <c r="A217" s="3954"/>
      <c r="B217" s="144" t="s">
        <v>22</v>
      </c>
      <c r="C217" s="4249" t="s">
        <v>192</v>
      </c>
      <c r="D217" s="288">
        <f>SUM(D218:D220)</f>
        <v>0</v>
      </c>
      <c r="E217" s="288">
        <f>SUM(E218:E220)</f>
        <v>0</v>
      </c>
      <c r="F217" s="288">
        <f t="shared" ref="F217" si="144">SUM(F218:F220)</f>
        <v>0</v>
      </c>
      <c r="G217" s="288"/>
      <c r="H217" s="288"/>
      <c r="I217" s="288"/>
      <c r="J217" s="288"/>
      <c r="K217" s="288"/>
      <c r="L217" s="288">
        <f>SUM(L218:L220)</f>
        <v>0</v>
      </c>
      <c r="M217" s="289">
        <f>SUM(M218:M219)</f>
        <v>0</v>
      </c>
      <c r="N217" s="4303"/>
      <c r="O217" s="261"/>
    </row>
    <row r="218" spans="1:15" s="1208" customFormat="1" hidden="1">
      <c r="A218" s="3954"/>
      <c r="B218" s="145" t="s">
        <v>11</v>
      </c>
      <c r="C218" s="4250"/>
      <c r="D218" s="206">
        <f>E218+L218+F218+G218+H218+I218+J218+K218</f>
        <v>0</v>
      </c>
      <c r="E218" s="976"/>
      <c r="F218" s="1598"/>
      <c r="G218" s="343"/>
      <c r="H218" s="343"/>
      <c r="I218" s="343"/>
      <c r="J218" s="343"/>
      <c r="K218" s="343"/>
      <c r="L218" s="1598">
        <v>0</v>
      </c>
      <c r="M218" s="507">
        <f>SUM(G218:K218)</f>
        <v>0</v>
      </c>
      <c r="N218" s="4283"/>
      <c r="O218" s="261"/>
    </row>
    <row r="219" spans="1:15" s="1208" customFormat="1" hidden="1">
      <c r="A219" s="3954"/>
      <c r="B219" s="145" t="s">
        <v>12</v>
      </c>
      <c r="C219" s="4116"/>
      <c r="D219" s="206">
        <f>E219+L219+F219+G219+H219+I219+J219+K219</f>
        <v>0</v>
      </c>
      <c r="E219" s="976"/>
      <c r="F219" s="1613"/>
      <c r="G219" s="146"/>
      <c r="H219" s="146"/>
      <c r="I219" s="146"/>
      <c r="J219" s="146"/>
      <c r="K219" s="146"/>
      <c r="L219" s="1613">
        <v>0</v>
      </c>
      <c r="M219" s="507">
        <f>SUM(G219:K219)</f>
        <v>0</v>
      </c>
      <c r="N219" s="4283"/>
      <c r="O219" s="261"/>
    </row>
    <row r="220" spans="1:15" s="1208" customFormat="1" hidden="1">
      <c r="A220" s="3954"/>
      <c r="B220" s="1614" t="s">
        <v>30</v>
      </c>
      <c r="C220" s="4116"/>
      <c r="D220" s="206">
        <f>E220+L220+F220+G220+H220+I220+J220+K220</f>
        <v>0</v>
      </c>
      <c r="E220" s="976"/>
      <c r="F220" s="146"/>
      <c r="G220" s="146"/>
      <c r="H220" s="146"/>
      <c r="I220" s="146"/>
      <c r="J220" s="146"/>
      <c r="K220" s="146"/>
      <c r="L220" s="146">
        <v>0</v>
      </c>
      <c r="M220" s="1775">
        <v>0</v>
      </c>
      <c r="N220" s="4283"/>
      <c r="O220" s="261"/>
    </row>
    <row r="221" spans="1:15" s="1208" customFormat="1" hidden="1">
      <c r="A221" s="3954"/>
      <c r="B221" s="69" t="s">
        <v>17</v>
      </c>
      <c r="C221" s="4116"/>
      <c r="D221" s="290">
        <f>+D222</f>
        <v>0</v>
      </c>
      <c r="E221" s="290">
        <f t="shared" ref="E221:F221" si="145">E222</f>
        <v>0</v>
      </c>
      <c r="F221" s="1615">
        <f t="shared" si="145"/>
        <v>0</v>
      </c>
      <c r="G221" s="290"/>
      <c r="H221" s="290"/>
      <c r="I221" s="290"/>
      <c r="J221" s="290"/>
      <c r="K221" s="290"/>
      <c r="L221" s="1615">
        <f>L222</f>
        <v>0</v>
      </c>
      <c r="M221" s="289">
        <f>+M222</f>
        <v>0</v>
      </c>
      <c r="N221" s="4283"/>
      <c r="O221" s="261"/>
    </row>
    <row r="222" spans="1:15" s="1208" customFormat="1" hidden="1">
      <c r="A222" s="3954"/>
      <c r="B222" s="1616" t="s">
        <v>19</v>
      </c>
      <c r="C222" s="4117"/>
      <c r="D222" s="206">
        <f>E222+L222+F222+G222+H222+I222+J222+K222</f>
        <v>0</v>
      </c>
      <c r="E222" s="976"/>
      <c r="F222" s="1617"/>
      <c r="G222" s="110"/>
      <c r="H222" s="110"/>
      <c r="I222" s="110"/>
      <c r="J222" s="110"/>
      <c r="K222" s="110"/>
      <c r="L222" s="1617">
        <v>0</v>
      </c>
      <c r="M222" s="507">
        <f>SUM(G222:K222)</f>
        <v>0</v>
      </c>
      <c r="N222" s="4283"/>
      <c r="O222" s="261"/>
    </row>
    <row r="223" spans="1:15" s="1208" customFormat="1" hidden="1">
      <c r="A223" s="3671"/>
      <c r="B223" s="17" t="s">
        <v>20</v>
      </c>
      <c r="C223" s="147"/>
      <c r="D223" s="287">
        <f>+D224+D226</f>
        <v>0</v>
      </c>
      <c r="E223" s="287">
        <f t="shared" ref="E223" si="146">E224+E226</f>
        <v>0</v>
      </c>
      <c r="F223" s="287">
        <f t="shared" ref="F223" si="147">F224+F226</f>
        <v>0</v>
      </c>
      <c r="G223" s="293"/>
      <c r="H223" s="287"/>
      <c r="I223" s="287"/>
      <c r="J223" s="287"/>
      <c r="K223" s="287"/>
      <c r="L223" s="287">
        <f>L224+L226</f>
        <v>0</v>
      </c>
      <c r="M223" s="4251" t="s">
        <v>52</v>
      </c>
      <c r="N223" s="4283"/>
      <c r="O223" s="261"/>
    </row>
    <row r="224" spans="1:15" s="1208" customFormat="1" hidden="1">
      <c r="A224" s="3671"/>
      <c r="B224" s="148" t="s">
        <v>22</v>
      </c>
      <c r="C224" s="4249" t="s">
        <v>192</v>
      </c>
      <c r="D224" s="288">
        <f>+D225</f>
        <v>0</v>
      </c>
      <c r="E224" s="288">
        <f t="shared" ref="E224:F224" si="148">E225</f>
        <v>0</v>
      </c>
      <c r="F224" s="288">
        <f t="shared" si="148"/>
        <v>0</v>
      </c>
      <c r="G224" s="294"/>
      <c r="H224" s="288"/>
      <c r="I224" s="288"/>
      <c r="J224" s="288"/>
      <c r="K224" s="288"/>
      <c r="L224" s="288">
        <f>L225</f>
        <v>0</v>
      </c>
      <c r="M224" s="4204"/>
      <c r="N224" s="4283"/>
      <c r="O224" s="261"/>
    </row>
    <row r="225" spans="1:15" s="1208" customFormat="1" hidden="1">
      <c r="A225" s="3671"/>
      <c r="B225" s="149" t="s">
        <v>12</v>
      </c>
      <c r="C225" s="4116"/>
      <c r="D225" s="206">
        <f>E225+L225+F225+G225+H225+I225+J225+K225</f>
        <v>0</v>
      </c>
      <c r="E225" s="976"/>
      <c r="F225" s="482"/>
      <c r="G225" s="291"/>
      <c r="H225" s="291"/>
      <c r="I225" s="291"/>
      <c r="J225" s="291"/>
      <c r="K225" s="291"/>
      <c r="L225" s="482">
        <v>0</v>
      </c>
      <c r="M225" s="4204"/>
      <c r="N225" s="4283"/>
      <c r="O225" s="261"/>
    </row>
    <row r="226" spans="1:15" s="1208" customFormat="1" hidden="1">
      <c r="A226" s="3671"/>
      <c r="B226" s="1597" t="s">
        <v>17</v>
      </c>
      <c r="C226" s="4116"/>
      <c r="D226" s="290">
        <f>+D227</f>
        <v>0</v>
      </c>
      <c r="E226" s="290">
        <f t="shared" ref="E226:F226" si="149">E227</f>
        <v>0</v>
      </c>
      <c r="F226" s="1615">
        <f t="shared" si="149"/>
        <v>0</v>
      </c>
      <c r="G226" s="295"/>
      <c r="H226" s="290"/>
      <c r="I226" s="290"/>
      <c r="J226" s="290"/>
      <c r="K226" s="290"/>
      <c r="L226" s="1615">
        <f>L227</f>
        <v>0</v>
      </c>
      <c r="M226" s="4204"/>
      <c r="N226" s="4283"/>
      <c r="O226" s="261"/>
    </row>
    <row r="227" spans="1:15" s="1208" customFormat="1" ht="13.5" hidden="1" thickBot="1">
      <c r="A227" s="3672"/>
      <c r="B227" s="292" t="s">
        <v>19</v>
      </c>
      <c r="C227" s="4062"/>
      <c r="D227" s="206">
        <f>E227+L227+F227+G227+H227+I227+J227+K227</f>
        <v>0</v>
      </c>
      <c r="E227" s="976"/>
      <c r="F227" s="1618"/>
      <c r="G227" s="150"/>
      <c r="H227" s="150"/>
      <c r="I227" s="150"/>
      <c r="J227" s="150"/>
      <c r="K227" s="150"/>
      <c r="L227" s="1618">
        <v>0</v>
      </c>
      <c r="M227" s="4205"/>
      <c r="N227" s="4284"/>
      <c r="O227" s="261"/>
    </row>
    <row r="228" spans="1:15" s="1208" customFormat="1" ht="36" hidden="1" customHeight="1">
      <c r="A228" s="3953"/>
      <c r="B228" s="142"/>
      <c r="C228" s="143" t="s">
        <v>72</v>
      </c>
      <c r="D228" s="159"/>
      <c r="E228" s="158"/>
      <c r="F228" s="158"/>
      <c r="G228" s="158"/>
      <c r="H228" s="158"/>
      <c r="I228" s="158"/>
      <c r="J228" s="158"/>
      <c r="K228" s="214"/>
      <c r="L228" s="158"/>
      <c r="M228" s="286"/>
      <c r="N228" s="4281"/>
      <c r="O228" s="261"/>
    </row>
    <row r="229" spans="1:15" s="1208" customFormat="1" hidden="1">
      <c r="A229" s="3954"/>
      <c r="B229" s="475" t="s">
        <v>9</v>
      </c>
      <c r="C229" s="1171"/>
      <c r="D229" s="1146">
        <f t="shared" ref="D229:F229" si="150">+D230+D232</f>
        <v>0</v>
      </c>
      <c r="E229" s="1146">
        <f t="shared" ref="E229" si="151">+E230+E232</f>
        <v>0</v>
      </c>
      <c r="F229" s="1146">
        <f t="shared" si="150"/>
        <v>0</v>
      </c>
      <c r="G229" s="1140"/>
      <c r="H229" s="1140"/>
      <c r="I229" s="1140"/>
      <c r="J229" s="1140"/>
      <c r="K229" s="1140"/>
      <c r="L229" s="1146">
        <f>+L230+L232</f>
        <v>0</v>
      </c>
      <c r="M229" s="1172">
        <f>M230+M232</f>
        <v>0</v>
      </c>
      <c r="N229" s="4283"/>
      <c r="O229" s="261"/>
    </row>
    <row r="230" spans="1:15" s="1208" customFormat="1" hidden="1">
      <c r="A230" s="3954"/>
      <c r="B230" s="453" t="s">
        <v>22</v>
      </c>
      <c r="C230" s="4206" t="s">
        <v>192</v>
      </c>
      <c r="D230" s="1130">
        <f t="shared" ref="D230:F230" si="152">SUM(D231:D231)</f>
        <v>0</v>
      </c>
      <c r="E230" s="1130">
        <f t="shared" si="152"/>
        <v>0</v>
      </c>
      <c r="F230" s="1130">
        <f t="shared" si="152"/>
        <v>0</v>
      </c>
      <c r="G230" s="1130"/>
      <c r="H230" s="1130"/>
      <c r="I230" s="1130"/>
      <c r="J230" s="1130"/>
      <c r="K230" s="1130"/>
      <c r="L230" s="1130">
        <f>SUM(L231:L231)</f>
        <v>0</v>
      </c>
      <c r="M230" s="507">
        <f>SUM(F230:K230)</f>
        <v>0</v>
      </c>
      <c r="N230" s="4283"/>
      <c r="O230" s="261"/>
    </row>
    <row r="231" spans="1:15" s="1208" customFormat="1" hidden="1">
      <c r="A231" s="3954"/>
      <c r="B231" s="145" t="s">
        <v>12</v>
      </c>
      <c r="C231" s="4116"/>
      <c r="D231" s="1115">
        <f>E231+L231+F231+G231+H231+I231+J231+K231</f>
        <v>0</v>
      </c>
      <c r="E231" s="1132"/>
      <c r="F231" s="146"/>
      <c r="G231" s="146"/>
      <c r="H231" s="146"/>
      <c r="I231" s="146"/>
      <c r="J231" s="146"/>
      <c r="K231" s="146"/>
      <c r="L231" s="146">
        <v>0</v>
      </c>
      <c r="M231" s="507">
        <f>SUM(F231:K231)</f>
        <v>0</v>
      </c>
      <c r="N231" s="4283"/>
      <c r="O231" s="261"/>
    </row>
    <row r="232" spans="1:15" s="1208" customFormat="1" hidden="1">
      <c r="A232" s="3954"/>
      <c r="B232" s="498" t="s">
        <v>17</v>
      </c>
      <c r="C232" s="4116"/>
      <c r="D232" s="1135">
        <f>+D233</f>
        <v>0</v>
      </c>
      <c r="E232" s="1135">
        <f t="shared" ref="E232:F232" si="153">E233</f>
        <v>0</v>
      </c>
      <c r="F232" s="1135">
        <f t="shared" si="153"/>
        <v>0</v>
      </c>
      <c r="G232" s="1135"/>
      <c r="H232" s="1135"/>
      <c r="I232" s="1135"/>
      <c r="J232" s="1135"/>
      <c r="K232" s="1135"/>
      <c r="L232" s="1135">
        <f>L233</f>
        <v>0</v>
      </c>
      <c r="M232" s="1131">
        <f>+M233</f>
        <v>0</v>
      </c>
      <c r="N232" s="4283"/>
      <c r="O232" s="261"/>
    </row>
    <row r="233" spans="1:15" s="1208" customFormat="1" hidden="1">
      <c r="A233" s="3954"/>
      <c r="B233" s="1173" t="s">
        <v>19</v>
      </c>
      <c r="C233" s="4117"/>
      <c r="D233" s="1115">
        <f>E233+L233+F233+G233+H233+I233+J233+K233</f>
        <v>0</v>
      </c>
      <c r="E233" s="1132"/>
      <c r="F233" s="110"/>
      <c r="G233" s="110"/>
      <c r="H233" s="110"/>
      <c r="I233" s="110"/>
      <c r="J233" s="110"/>
      <c r="K233" s="110"/>
      <c r="L233" s="110">
        <v>0</v>
      </c>
      <c r="M233" s="507">
        <f>SUM(F233:K233)</f>
        <v>0</v>
      </c>
      <c r="N233" s="4283"/>
      <c r="O233" s="261"/>
    </row>
    <row r="234" spans="1:15" s="1208" customFormat="1" hidden="1">
      <c r="A234" s="3671"/>
      <c r="B234" s="475" t="s">
        <v>20</v>
      </c>
      <c r="C234" s="1139"/>
      <c r="D234" s="1140">
        <f>+D235+D237</f>
        <v>0</v>
      </c>
      <c r="E234" s="1140">
        <f t="shared" ref="E234" si="154">E235+E237</f>
        <v>0</v>
      </c>
      <c r="F234" s="1140">
        <f t="shared" ref="F234" si="155">F235+F237</f>
        <v>0</v>
      </c>
      <c r="G234" s="1174"/>
      <c r="H234" s="1140"/>
      <c r="I234" s="1140"/>
      <c r="J234" s="1140"/>
      <c r="K234" s="1140"/>
      <c r="L234" s="1140">
        <f>L235+L237</f>
        <v>0</v>
      </c>
      <c r="M234" s="4203" t="s">
        <v>52</v>
      </c>
      <c r="N234" s="4283"/>
      <c r="O234" s="261"/>
    </row>
    <row r="235" spans="1:15" s="1208" customFormat="1" hidden="1">
      <c r="A235" s="3671"/>
      <c r="B235" s="1141" t="s">
        <v>22</v>
      </c>
      <c r="C235" s="4206" t="s">
        <v>192</v>
      </c>
      <c r="D235" s="1130">
        <f>+D236</f>
        <v>0</v>
      </c>
      <c r="E235" s="1130">
        <f t="shared" ref="E235:F235" si="156">E236</f>
        <v>0</v>
      </c>
      <c r="F235" s="1130">
        <f t="shared" si="156"/>
        <v>0</v>
      </c>
      <c r="G235" s="1175"/>
      <c r="H235" s="1130"/>
      <c r="I235" s="1130"/>
      <c r="J235" s="1130"/>
      <c r="K235" s="1130"/>
      <c r="L235" s="1130">
        <f>L236</f>
        <v>0</v>
      </c>
      <c r="M235" s="4204"/>
      <c r="N235" s="4283"/>
      <c r="O235" s="261"/>
    </row>
    <row r="236" spans="1:15" s="1208" customFormat="1" hidden="1">
      <c r="A236" s="3671"/>
      <c r="B236" s="149" t="s">
        <v>12</v>
      </c>
      <c r="C236" s="4116"/>
      <c r="D236" s="1115">
        <f>E236+L236+F236+G236+H236+I236+J236+K236</f>
        <v>0</v>
      </c>
      <c r="E236" s="1132"/>
      <c r="F236" s="1142"/>
      <c r="G236" s="1142"/>
      <c r="H236" s="1142"/>
      <c r="I236" s="1142"/>
      <c r="J236" s="1142"/>
      <c r="K236" s="1142"/>
      <c r="L236" s="1142">
        <v>0</v>
      </c>
      <c r="M236" s="4204"/>
      <c r="N236" s="4283"/>
      <c r="O236" s="261"/>
    </row>
    <row r="237" spans="1:15" s="1208" customFormat="1" hidden="1">
      <c r="A237" s="3671"/>
      <c r="B237" s="1143" t="s">
        <v>17</v>
      </c>
      <c r="C237" s="4116"/>
      <c r="D237" s="1135">
        <f>+D238</f>
        <v>0</v>
      </c>
      <c r="E237" s="1135">
        <f t="shared" ref="E237:F237" si="157">E238</f>
        <v>0</v>
      </c>
      <c r="F237" s="1135">
        <f t="shared" si="157"/>
        <v>0</v>
      </c>
      <c r="G237" s="1159"/>
      <c r="H237" s="1135"/>
      <c r="I237" s="1135"/>
      <c r="J237" s="1135"/>
      <c r="K237" s="1135"/>
      <c r="L237" s="1135">
        <f>L238</f>
        <v>0</v>
      </c>
      <c r="M237" s="4204"/>
      <c r="N237" s="4283"/>
      <c r="O237" s="261"/>
    </row>
    <row r="238" spans="1:15" s="1208" customFormat="1" ht="12" hidden="1" customHeight="1" thickBot="1">
      <c r="A238" s="3672"/>
      <c r="B238" s="292" t="s">
        <v>19</v>
      </c>
      <c r="C238" s="4062"/>
      <c r="D238" s="693">
        <f>E238+L238+F238+G238+H238+I238+J238+K238</f>
        <v>0</v>
      </c>
      <c r="E238" s="1144"/>
      <c r="F238" s="471"/>
      <c r="G238" s="471"/>
      <c r="H238" s="471"/>
      <c r="I238" s="471"/>
      <c r="J238" s="471"/>
      <c r="K238" s="471"/>
      <c r="L238" s="471">
        <v>0</v>
      </c>
      <c r="M238" s="4205"/>
      <c r="N238" s="4284"/>
      <c r="O238" s="261"/>
    </row>
    <row r="239" spans="1:15" s="1208" customFormat="1" ht="13.5" hidden="1" thickBot="1">
      <c r="A239" s="2551"/>
      <c r="B239" s="383"/>
      <c r="C239" s="384"/>
      <c r="D239" s="385"/>
      <c r="E239" s="385"/>
      <c r="F239" s="386"/>
      <c r="G239" s="386"/>
      <c r="H239" s="386"/>
      <c r="I239" s="386"/>
      <c r="J239" s="386"/>
      <c r="K239" s="386"/>
      <c r="L239" s="386"/>
      <c r="M239" s="387"/>
      <c r="N239" s="388"/>
      <c r="O239" s="261"/>
    </row>
    <row r="240" spans="1:15" s="258" customFormat="1" ht="30" customHeight="1" thickBot="1">
      <c r="A240" s="164" t="s">
        <v>144</v>
      </c>
      <c r="B240" s="165"/>
      <c r="C240" s="165"/>
      <c r="D240" s="165"/>
      <c r="E240" s="1112"/>
      <c r="F240" s="165"/>
      <c r="G240" s="165"/>
      <c r="H240" s="165"/>
      <c r="I240" s="165"/>
      <c r="J240" s="165"/>
      <c r="K240" s="165"/>
      <c r="L240" s="165"/>
      <c r="M240" s="743"/>
      <c r="N240" s="166"/>
    </row>
    <row r="241" spans="1:26" s="1208" customFormat="1">
      <c r="A241" s="1062"/>
      <c r="B241" s="178" t="s">
        <v>67</v>
      </c>
      <c r="C241" s="179"/>
      <c r="D241" s="180">
        <f>+D242+D243</f>
        <v>81367880</v>
      </c>
      <c r="E241" s="180">
        <f>+E242+E243</f>
        <v>32353947</v>
      </c>
      <c r="F241" s="180">
        <f>+F242+F243</f>
        <v>6499346</v>
      </c>
      <c r="G241" s="180">
        <f>+G242+G243</f>
        <v>8825494</v>
      </c>
      <c r="H241" s="180">
        <f>+H242+H243</f>
        <v>9438093</v>
      </c>
      <c r="I241" s="180">
        <f t="shared" ref="I241:K241" si="158">+I242+I243</f>
        <v>9490000</v>
      </c>
      <c r="J241" s="180">
        <f t="shared" si="158"/>
        <v>8729000</v>
      </c>
      <c r="K241" s="180">
        <f t="shared" si="158"/>
        <v>6032000</v>
      </c>
      <c r="L241" s="180">
        <f t="shared" ref="L241" si="159">+L242+L243</f>
        <v>0</v>
      </c>
      <c r="M241" s="12">
        <f>+M242+M243</f>
        <v>49013933</v>
      </c>
      <c r="N241" s="3959" t="s">
        <v>52</v>
      </c>
      <c r="O241" s="261"/>
    </row>
    <row r="242" spans="1:26" s="1208" customFormat="1" ht="13.5" customHeight="1" thickBot="1">
      <c r="A242" s="162"/>
      <c r="B242" s="181" t="s">
        <v>68</v>
      </c>
      <c r="C242" s="182"/>
      <c r="D242" s="183">
        <f>+D256+D262</f>
        <v>81367880</v>
      </c>
      <c r="E242" s="183">
        <f t="shared" ref="E242:H242" si="160">+E256+E262</f>
        <v>32353947</v>
      </c>
      <c r="F242" s="183">
        <f t="shared" si="160"/>
        <v>6499346</v>
      </c>
      <c r="G242" s="183">
        <f t="shared" si="160"/>
        <v>8825494</v>
      </c>
      <c r="H242" s="183">
        <f t="shared" si="160"/>
        <v>9438093</v>
      </c>
      <c r="I242" s="183">
        <f t="shared" ref="I242:K242" si="161">+I256+I262</f>
        <v>9490000</v>
      </c>
      <c r="J242" s="183">
        <f t="shared" si="161"/>
        <v>8729000</v>
      </c>
      <c r="K242" s="183">
        <f t="shared" si="161"/>
        <v>6032000</v>
      </c>
      <c r="L242" s="183">
        <f>+L256+L262</f>
        <v>0</v>
      </c>
      <c r="M242" s="14">
        <f>SUM(F242:K242)</f>
        <v>49013933</v>
      </c>
      <c r="N242" s="4185"/>
    </row>
    <row r="243" spans="1:26" s="1208" customFormat="1" ht="13.5" hidden="1" customHeight="1" thickBot="1">
      <c r="A243" s="162"/>
      <c r="B243" s="190" t="s">
        <v>8</v>
      </c>
      <c r="C243" s="182"/>
      <c r="D243" s="183">
        <f>+D252</f>
        <v>0</v>
      </c>
      <c r="E243" s="183">
        <f>+E252</f>
        <v>0</v>
      </c>
      <c r="F243" s="303">
        <f>+F252</f>
        <v>0</v>
      </c>
      <c r="G243" s="303">
        <f>+G252</f>
        <v>0</v>
      </c>
      <c r="H243" s="303">
        <f>+H252</f>
        <v>0</v>
      </c>
      <c r="I243" s="303">
        <f t="shared" ref="I243:K243" si="162">+I252</f>
        <v>0</v>
      </c>
      <c r="J243" s="303">
        <f t="shared" si="162"/>
        <v>0</v>
      </c>
      <c r="K243" s="303">
        <f t="shared" si="162"/>
        <v>0</v>
      </c>
      <c r="L243" s="183">
        <f t="shared" ref="L243" si="163">+L252</f>
        <v>0</v>
      </c>
      <c r="M243" s="125">
        <f>SUM(F243:K243)</f>
        <v>0</v>
      </c>
      <c r="N243" s="4185"/>
    </row>
    <row r="244" spans="1:26" s="307" customFormat="1" ht="13.5" customHeight="1">
      <c r="A244" s="304"/>
      <c r="B244" s="154" t="s">
        <v>9</v>
      </c>
      <c r="C244" s="155"/>
      <c r="D244" s="129">
        <f>+D245</f>
        <v>81367880</v>
      </c>
      <c r="E244" s="129">
        <f t="shared" ref="E244:K245" si="164">+E245</f>
        <v>32353947</v>
      </c>
      <c r="F244" s="129">
        <f t="shared" si="164"/>
        <v>6499346</v>
      </c>
      <c r="G244" s="129">
        <f t="shared" si="164"/>
        <v>8825494</v>
      </c>
      <c r="H244" s="129">
        <f t="shared" si="164"/>
        <v>9438093</v>
      </c>
      <c r="I244" s="129">
        <f t="shared" si="164"/>
        <v>9490000</v>
      </c>
      <c r="J244" s="129">
        <f t="shared" si="164"/>
        <v>8729000</v>
      </c>
      <c r="K244" s="129">
        <f t="shared" si="164"/>
        <v>6032000</v>
      </c>
      <c r="L244" s="129">
        <f>+L245</f>
        <v>0</v>
      </c>
      <c r="M244" s="305">
        <f>+M245</f>
        <v>42514587</v>
      </c>
      <c r="N244" s="4185"/>
      <c r="O244" s="306"/>
      <c r="P244" s="306"/>
    </row>
    <row r="245" spans="1:26" s="310" customFormat="1" ht="13.5" customHeight="1">
      <c r="A245" s="168"/>
      <c r="B245" s="130" t="s">
        <v>10</v>
      </c>
      <c r="C245" s="4068" t="s">
        <v>52</v>
      </c>
      <c r="D245" s="1244">
        <f>+D246+D247</f>
        <v>81367880</v>
      </c>
      <c r="E245" s="1244">
        <f t="shared" si="164"/>
        <v>32353947</v>
      </c>
      <c r="F245" s="1244">
        <f t="shared" si="164"/>
        <v>6499346</v>
      </c>
      <c r="G245" s="1244">
        <f t="shared" si="164"/>
        <v>8825494</v>
      </c>
      <c r="H245" s="1244">
        <f t="shared" si="164"/>
        <v>9438093</v>
      </c>
      <c r="I245" s="1244">
        <f t="shared" si="164"/>
        <v>9490000</v>
      </c>
      <c r="J245" s="1244">
        <f t="shared" si="164"/>
        <v>8729000</v>
      </c>
      <c r="K245" s="1244">
        <f t="shared" si="164"/>
        <v>6032000</v>
      </c>
      <c r="L245" s="1244">
        <f>+L246</f>
        <v>0</v>
      </c>
      <c r="M245" s="1245">
        <f>+M246+M247</f>
        <v>42514587</v>
      </c>
      <c r="N245" s="4185"/>
      <c r="O245" s="308"/>
      <c r="P245" s="309"/>
      <c r="Q245" s="308"/>
      <c r="R245" s="308"/>
      <c r="S245" s="308"/>
      <c r="T245" s="308"/>
      <c r="U245" s="308"/>
      <c r="V245" s="308"/>
      <c r="W245" s="308"/>
      <c r="X245" s="308"/>
      <c r="Y245" s="308"/>
      <c r="Z245" s="308"/>
    </row>
    <row r="246" spans="1:26" s="272" customFormat="1" ht="13.5" thickBot="1">
      <c r="A246" s="132"/>
      <c r="B246" s="133" t="s">
        <v>11</v>
      </c>
      <c r="C246" s="3964"/>
      <c r="D246" s="1246">
        <f>+D254+D258+D264</f>
        <v>81367880</v>
      </c>
      <c r="E246" s="1246">
        <f>+E254+E258+E264</f>
        <v>32353947</v>
      </c>
      <c r="F246" s="1246">
        <f t="shared" ref="F246" si="165">+F254+F258+F264</f>
        <v>6499346</v>
      </c>
      <c r="G246" s="1246">
        <f>+G254+G258+G264</f>
        <v>8825494</v>
      </c>
      <c r="H246" s="1246">
        <f>+H254+H258</f>
        <v>9438093</v>
      </c>
      <c r="I246" s="1246">
        <f t="shared" ref="I246:K246" si="166">+I254+I258</f>
        <v>9490000</v>
      </c>
      <c r="J246" s="1246">
        <f t="shared" si="166"/>
        <v>8729000</v>
      </c>
      <c r="K246" s="1246">
        <f t="shared" si="166"/>
        <v>6032000</v>
      </c>
      <c r="L246" s="1246">
        <f>+L254+L258+L264</f>
        <v>0</v>
      </c>
      <c r="M246" s="1247">
        <f>SUM(G246:K246)</f>
        <v>42514587</v>
      </c>
      <c r="N246" s="4185"/>
      <c r="O246" s="261"/>
    </row>
    <row r="247" spans="1:26" s="272" customFormat="1" ht="13.5" hidden="1" customHeight="1">
      <c r="A247" s="132"/>
      <c r="B247" s="133" t="s">
        <v>13</v>
      </c>
      <c r="C247" s="3964"/>
      <c r="D247" s="1246">
        <f t="shared" ref="D247" si="167">+D265</f>
        <v>0</v>
      </c>
      <c r="E247" s="1246">
        <f t="shared" ref="E247" si="168">+E265</f>
        <v>0</v>
      </c>
      <c r="F247" s="1246">
        <f>+F265</f>
        <v>0</v>
      </c>
      <c r="G247" s="1246">
        <f>+G265</f>
        <v>0</v>
      </c>
      <c r="H247" s="1246">
        <f>+H265</f>
        <v>0</v>
      </c>
      <c r="I247" s="1246"/>
      <c r="J247" s="1246"/>
      <c r="K247" s="1246"/>
      <c r="L247" s="1246" t="e">
        <f>+#REF!</f>
        <v>#REF!</v>
      </c>
      <c r="M247" s="1247">
        <f>SUM(F247:K247)</f>
        <v>0</v>
      </c>
      <c r="N247" s="4185"/>
      <c r="O247" s="261"/>
    </row>
    <row r="248" spans="1:26" s="264" customFormat="1" ht="15" hidden="1" customHeight="1">
      <c r="A248" s="126"/>
      <c r="B248" s="68" t="s">
        <v>20</v>
      </c>
      <c r="C248" s="75"/>
      <c r="D248" s="167">
        <f>+D249</f>
        <v>0</v>
      </c>
      <c r="E248" s="167">
        <f t="shared" ref="E248" si="169">+E249</f>
        <v>0</v>
      </c>
      <c r="F248" s="167">
        <f t="shared" ref="F248:H249" si="170">+F249</f>
        <v>0</v>
      </c>
      <c r="G248" s="167">
        <f t="shared" si="170"/>
        <v>0</v>
      </c>
      <c r="H248" s="167">
        <f t="shared" si="170"/>
        <v>0</v>
      </c>
      <c r="I248" s="167"/>
      <c r="J248" s="167"/>
      <c r="K248" s="167"/>
      <c r="L248" s="167" t="e">
        <f>+L249</f>
        <v>#REF!</v>
      </c>
      <c r="M248" s="4272" t="s">
        <v>52</v>
      </c>
      <c r="N248" s="4185"/>
      <c r="O248" s="263"/>
      <c r="P248" s="263"/>
    </row>
    <row r="249" spans="1:26" s="264" customFormat="1" ht="14.25" hidden="1" customHeight="1">
      <c r="A249" s="126"/>
      <c r="B249" s="130" t="s">
        <v>10</v>
      </c>
      <c r="C249" s="4068" t="s">
        <v>52</v>
      </c>
      <c r="D249" s="1244">
        <f>+D250</f>
        <v>0</v>
      </c>
      <c r="E249" s="1244">
        <f>+E250</f>
        <v>0</v>
      </c>
      <c r="F249" s="1244">
        <f t="shared" si="170"/>
        <v>0</v>
      </c>
      <c r="G249" s="1244">
        <f t="shared" si="170"/>
        <v>0</v>
      </c>
      <c r="H249" s="1244">
        <f t="shared" si="170"/>
        <v>0</v>
      </c>
      <c r="I249" s="1244"/>
      <c r="J249" s="1244"/>
      <c r="K249" s="1244"/>
      <c r="L249" s="1244" t="e">
        <f>+L250</f>
        <v>#REF!</v>
      </c>
      <c r="M249" s="4204"/>
      <c r="N249" s="4185"/>
      <c r="O249" s="263"/>
      <c r="P249" s="263"/>
    </row>
    <row r="250" spans="1:26" s="272" customFormat="1" ht="16.5" hidden="1" customHeight="1" thickBot="1">
      <c r="A250" s="132"/>
      <c r="B250" s="133" t="s">
        <v>13</v>
      </c>
      <c r="C250" s="3964"/>
      <c r="D250" s="1246">
        <f>+D268</f>
        <v>0</v>
      </c>
      <c r="E250" s="1246">
        <f>+E268</f>
        <v>0</v>
      </c>
      <c r="F250" s="1246">
        <f t="shared" ref="F250:H250" si="171">+F268</f>
        <v>0</v>
      </c>
      <c r="G250" s="1246">
        <f t="shared" si="171"/>
        <v>0</v>
      </c>
      <c r="H250" s="1246">
        <f t="shared" si="171"/>
        <v>0</v>
      </c>
      <c r="I250" s="311"/>
      <c r="J250" s="311"/>
      <c r="K250" s="311"/>
      <c r="L250" s="1246" t="e">
        <f>+#REF!</f>
        <v>#REF!</v>
      </c>
      <c r="M250" s="4205"/>
      <c r="N250" s="3960"/>
      <c r="O250" s="262"/>
    </row>
    <row r="251" spans="1:26" s="280" customFormat="1" hidden="1" thickBot="1">
      <c r="A251" s="3953" t="s">
        <v>54</v>
      </c>
      <c r="B251" s="157"/>
      <c r="C251" s="313" t="s">
        <v>72</v>
      </c>
      <c r="D251" s="322"/>
      <c r="E251" s="321"/>
      <c r="F251" s="321"/>
      <c r="G251" s="321"/>
      <c r="H251" s="321"/>
      <c r="I251" s="321"/>
      <c r="J251" s="321"/>
      <c r="K251" s="1108"/>
      <c r="L251" s="321"/>
      <c r="M251" s="296"/>
      <c r="N251" s="4156" t="s">
        <v>288</v>
      </c>
    </row>
    <row r="252" spans="1:26" s="280" customFormat="1" ht="13.5" hidden="1" thickBot="1">
      <c r="A252" s="3954"/>
      <c r="B252" s="160" t="s">
        <v>9</v>
      </c>
      <c r="C252" s="1129"/>
      <c r="D252" s="1140">
        <f>+D253</f>
        <v>0</v>
      </c>
      <c r="E252" s="1140">
        <f t="shared" ref="E252:M253" si="172">+E253</f>
        <v>0</v>
      </c>
      <c r="F252" s="1140">
        <f>+F253</f>
        <v>0</v>
      </c>
      <c r="G252" s="1231">
        <v>0</v>
      </c>
      <c r="H252" s="1231">
        <v>0</v>
      </c>
      <c r="I252" s="1231">
        <v>0</v>
      </c>
      <c r="J252" s="1231">
        <v>0</v>
      </c>
      <c r="K252" s="1231">
        <v>0</v>
      </c>
      <c r="L252" s="1140">
        <f>+L253</f>
        <v>0</v>
      </c>
      <c r="M252" s="1232">
        <f t="shared" si="172"/>
        <v>0</v>
      </c>
      <c r="N252" s="4156"/>
      <c r="O252" s="261"/>
    </row>
    <row r="253" spans="1:26" s="280" customFormat="1" ht="12" hidden="1" customHeight="1" thickBot="1">
      <c r="A253" s="3954"/>
      <c r="B253" s="481" t="s">
        <v>22</v>
      </c>
      <c r="C253" s="4306" t="s">
        <v>145</v>
      </c>
      <c r="D253" s="1135">
        <f>+D254</f>
        <v>0</v>
      </c>
      <c r="E253" s="1135">
        <f t="shared" si="172"/>
        <v>0</v>
      </c>
      <c r="F253" s="1135">
        <f>+F254</f>
        <v>0</v>
      </c>
      <c r="G253" s="1136">
        <v>0</v>
      </c>
      <c r="H253" s="1136">
        <v>0</v>
      </c>
      <c r="I253" s="1136">
        <v>0</v>
      </c>
      <c r="J253" s="1136">
        <v>0</v>
      </c>
      <c r="K253" s="1136">
        <v>0</v>
      </c>
      <c r="L253" s="1135">
        <f>+L254</f>
        <v>0</v>
      </c>
      <c r="M253" s="1248">
        <f t="shared" si="172"/>
        <v>0</v>
      </c>
      <c r="N253" s="4156"/>
    </row>
    <row r="254" spans="1:26" s="280" customFormat="1" hidden="1" thickBot="1">
      <c r="A254" s="3955"/>
      <c r="B254" s="3330" t="s">
        <v>11</v>
      </c>
      <c r="C254" s="4062"/>
      <c r="D254" s="698">
        <f>E254+L254+F254+G254+H254+I254+J254+K254</f>
        <v>0</v>
      </c>
      <c r="E254" s="1132">
        <v>0</v>
      </c>
      <c r="F254" s="402">
        <v>0</v>
      </c>
      <c r="G254" s="492">
        <v>0</v>
      </c>
      <c r="H254" s="492">
        <v>0</v>
      </c>
      <c r="I254" s="492">
        <v>0</v>
      </c>
      <c r="J254" s="492">
        <v>0</v>
      </c>
      <c r="K254" s="492">
        <v>0</v>
      </c>
      <c r="L254" s="402">
        <f>5824-5824</f>
        <v>0</v>
      </c>
      <c r="M254" s="1134">
        <f>SUM(G254:K254)</f>
        <v>0</v>
      </c>
      <c r="N254" s="4305"/>
    </row>
    <row r="255" spans="1:26" s="280" customFormat="1" ht="15.75" customHeight="1">
      <c r="A255" s="4294" t="s">
        <v>54</v>
      </c>
      <c r="B255" s="1052" t="s">
        <v>517</v>
      </c>
      <c r="C255" s="1645" t="s">
        <v>99</v>
      </c>
      <c r="D255" s="159"/>
      <c r="E255" s="323"/>
      <c r="F255" s="323"/>
      <c r="G255" s="323"/>
      <c r="H255" s="323"/>
      <c r="I255" s="323"/>
      <c r="J255" s="323"/>
      <c r="K255" s="1831"/>
      <c r="L255" s="323"/>
      <c r="M255" s="296"/>
      <c r="N255" s="4281" t="s">
        <v>289</v>
      </c>
      <c r="O255" s="261">
        <f>D256-'[5]Tab. 6E - Administracja'!$D$253</f>
        <v>-1710255</v>
      </c>
    </row>
    <row r="256" spans="1:26" s="280" customFormat="1" ht="17.25" customHeight="1">
      <c r="A256" s="4295"/>
      <c r="B256" s="1705" t="s">
        <v>9</v>
      </c>
      <c r="C256" s="2215"/>
      <c r="D256" s="3149">
        <f>+D257</f>
        <v>80582880</v>
      </c>
      <c r="E256" s="3149">
        <f t="shared" ref="E256:M257" si="173">+E257</f>
        <v>32353947</v>
      </c>
      <c r="F256" s="3149">
        <f t="shared" si="173"/>
        <v>6475696</v>
      </c>
      <c r="G256" s="3149">
        <f t="shared" si="173"/>
        <v>8064144</v>
      </c>
      <c r="H256" s="3149">
        <f t="shared" si="173"/>
        <v>9438093</v>
      </c>
      <c r="I256" s="3149">
        <f t="shared" si="173"/>
        <v>9490000</v>
      </c>
      <c r="J256" s="3149">
        <f t="shared" si="173"/>
        <v>8729000</v>
      </c>
      <c r="K256" s="3149">
        <f t="shared" si="173"/>
        <v>6032000</v>
      </c>
      <c r="L256" s="3149">
        <f>+L257</f>
        <v>0</v>
      </c>
      <c r="M256" s="3331">
        <f t="shared" si="173"/>
        <v>41753237</v>
      </c>
      <c r="N256" s="4308"/>
    </row>
    <row r="257" spans="1:15" s="280" customFormat="1" ht="14.25" customHeight="1">
      <c r="A257" s="4295"/>
      <c r="B257" s="2159" t="s">
        <v>22</v>
      </c>
      <c r="C257" s="3948" t="s">
        <v>138</v>
      </c>
      <c r="D257" s="3151">
        <f>+D258</f>
        <v>80582880</v>
      </c>
      <c r="E257" s="3332">
        <f t="shared" si="173"/>
        <v>32353947</v>
      </c>
      <c r="F257" s="3154">
        <f t="shared" si="173"/>
        <v>6475696</v>
      </c>
      <c r="G257" s="3154">
        <f t="shared" si="173"/>
        <v>8064144</v>
      </c>
      <c r="H257" s="3154">
        <f t="shared" si="173"/>
        <v>9438093</v>
      </c>
      <c r="I257" s="3154">
        <f t="shared" si="173"/>
        <v>9490000</v>
      </c>
      <c r="J257" s="3154">
        <f t="shared" si="173"/>
        <v>8729000</v>
      </c>
      <c r="K257" s="3154">
        <f t="shared" si="173"/>
        <v>6032000</v>
      </c>
      <c r="L257" s="3155">
        <f>+L258</f>
        <v>0</v>
      </c>
      <c r="M257" s="3333">
        <f t="shared" si="173"/>
        <v>41753237</v>
      </c>
      <c r="N257" s="4308"/>
    </row>
    <row r="258" spans="1:15" s="280" customFormat="1" ht="15" customHeight="1" thickBot="1">
      <c r="A258" s="4295"/>
      <c r="B258" s="3334" t="s">
        <v>11</v>
      </c>
      <c r="C258" s="4110"/>
      <c r="D258" s="2349">
        <f>E258+L258+F258+G258+H258+I258+J258+K258</f>
        <v>80582880</v>
      </c>
      <c r="E258" s="3335">
        <f>20241982+5766983+6344982</f>
        <v>32353947</v>
      </c>
      <c r="F258" s="3156">
        <f>0+7382305+973646-1880255</f>
        <v>6475696</v>
      </c>
      <c r="G258" s="3156">
        <f>G259+G260</f>
        <v>8064144</v>
      </c>
      <c r="H258" s="3156">
        <f>H259+H260</f>
        <v>9438093</v>
      </c>
      <c r="I258" s="3156">
        <f t="shared" ref="I258:K258" si="174">I259+I260</f>
        <v>9490000</v>
      </c>
      <c r="J258" s="3156">
        <f t="shared" si="174"/>
        <v>8729000</v>
      </c>
      <c r="K258" s="3156">
        <f t="shared" si="174"/>
        <v>6032000</v>
      </c>
      <c r="L258" s="3336">
        <v>0</v>
      </c>
      <c r="M258" s="3337">
        <f>SUM(G258:K258)</f>
        <v>41753237</v>
      </c>
      <c r="N258" s="4308"/>
    </row>
    <row r="259" spans="1:15" s="280" customFormat="1" ht="15" hidden="1" customHeight="1">
      <c r="A259" s="4295"/>
      <c r="B259" s="3338" t="s">
        <v>512</v>
      </c>
      <c r="C259" s="4110"/>
      <c r="D259" s="3339"/>
      <c r="E259" s="3340"/>
      <c r="F259" s="3341"/>
      <c r="G259" s="3342">
        <f>7856850-70000</f>
        <v>7786850</v>
      </c>
      <c r="H259" s="3342">
        <f>9160000+60000</f>
        <v>9220000</v>
      </c>
      <c r="I259" s="3342">
        <f>9220000+60000</f>
        <v>9280000</v>
      </c>
      <c r="J259" s="3342">
        <f>8459000+60000</f>
        <v>8519000</v>
      </c>
      <c r="K259" s="3342">
        <f>5762000+60000</f>
        <v>5822000</v>
      </c>
      <c r="L259" s="3341"/>
      <c r="M259" s="3337">
        <f>SUM(F259:K259)</f>
        <v>40627850</v>
      </c>
      <c r="N259" s="4308"/>
    </row>
    <row r="260" spans="1:15" s="280" customFormat="1" ht="15" hidden="1" customHeight="1" thickBot="1">
      <c r="A260" s="4296"/>
      <c r="B260" s="3343" t="s">
        <v>511</v>
      </c>
      <c r="C260" s="3949"/>
      <c r="D260" s="3344"/>
      <c r="E260" s="3345"/>
      <c r="F260" s="3346"/>
      <c r="G260" s="3347">
        <v>277294</v>
      </c>
      <c r="H260" s="3347">
        <v>218093</v>
      </c>
      <c r="I260" s="3347">
        <v>210000</v>
      </c>
      <c r="J260" s="3347">
        <v>210000</v>
      </c>
      <c r="K260" s="3347">
        <v>210000</v>
      </c>
      <c r="L260" s="3346"/>
      <c r="M260" s="3348">
        <f>SUM(F260:K260)</f>
        <v>1125387</v>
      </c>
      <c r="N260" s="4309"/>
    </row>
    <row r="261" spans="1:15" s="280" customFormat="1" ht="24.75" customHeight="1" thickBot="1">
      <c r="A261" s="3953" t="s">
        <v>55</v>
      </c>
      <c r="B261" s="142" t="s">
        <v>447</v>
      </c>
      <c r="C261" s="313" t="s">
        <v>99</v>
      </c>
      <c r="D261" s="159"/>
      <c r="E261" s="323"/>
      <c r="F261" s="323"/>
      <c r="G261" s="323"/>
      <c r="H261" s="323"/>
      <c r="I261" s="323"/>
      <c r="J261" s="323"/>
      <c r="K261" s="1831"/>
      <c r="L261" s="323"/>
      <c r="M261" s="2282"/>
      <c r="N261" s="4156" t="s">
        <v>288</v>
      </c>
      <c r="O261" s="261">
        <f>D262-'[5]Tab. 6E - Administracja'!$D$259</f>
        <v>100000</v>
      </c>
    </row>
    <row r="262" spans="1:15" s="280" customFormat="1" thickBot="1">
      <c r="A262" s="3954"/>
      <c r="B262" s="1722" t="s">
        <v>9</v>
      </c>
      <c r="C262" s="3349"/>
      <c r="D262" s="1140">
        <f>+D263</f>
        <v>785000</v>
      </c>
      <c r="E262" s="1231">
        <f t="shared" ref="E262:K262" si="175">+E263</f>
        <v>0</v>
      </c>
      <c r="F262" s="1140">
        <f t="shared" si="175"/>
        <v>23650</v>
      </c>
      <c r="G262" s="1140">
        <f t="shared" si="175"/>
        <v>761350</v>
      </c>
      <c r="H262" s="1231">
        <f t="shared" si="175"/>
        <v>0</v>
      </c>
      <c r="I262" s="1231">
        <f t="shared" si="175"/>
        <v>0</v>
      </c>
      <c r="J262" s="1231">
        <f t="shared" si="175"/>
        <v>0</v>
      </c>
      <c r="K262" s="1231">
        <f t="shared" si="175"/>
        <v>0</v>
      </c>
      <c r="L262" s="1140">
        <f>+L263</f>
        <v>0</v>
      </c>
      <c r="M262" s="305">
        <f>+M263</f>
        <v>761350</v>
      </c>
      <c r="N262" s="4156"/>
    </row>
    <row r="263" spans="1:15" s="280" customFormat="1" thickBot="1">
      <c r="A263" s="3954"/>
      <c r="B263" s="1743" t="s">
        <v>22</v>
      </c>
      <c r="C263" s="4206">
        <v>75018</v>
      </c>
      <c r="D263" s="3350">
        <f>+D264+D265</f>
        <v>785000</v>
      </c>
      <c r="E263" s="1422">
        <f t="shared" ref="E263" si="176">+E264+E265</f>
        <v>0</v>
      </c>
      <c r="F263" s="1148">
        <f t="shared" ref="F263:M263" si="177">+F264+F265</f>
        <v>23650</v>
      </c>
      <c r="G263" s="1148">
        <f t="shared" si="177"/>
        <v>761350</v>
      </c>
      <c r="H263" s="1422">
        <f t="shared" si="177"/>
        <v>0</v>
      </c>
      <c r="I263" s="1422">
        <f t="shared" si="177"/>
        <v>0</v>
      </c>
      <c r="J263" s="1422">
        <f t="shared" si="177"/>
        <v>0</v>
      </c>
      <c r="K263" s="1422">
        <f t="shared" si="177"/>
        <v>0</v>
      </c>
      <c r="L263" s="3350"/>
      <c r="M263" s="3351">
        <f t="shared" si="177"/>
        <v>761350</v>
      </c>
      <c r="N263" s="4156"/>
    </row>
    <row r="264" spans="1:15" s="280" customFormat="1" ht="13.5" thickBot="1">
      <c r="A264" s="3955"/>
      <c r="B264" s="3352" t="s">
        <v>11</v>
      </c>
      <c r="C264" s="4307"/>
      <c r="D264" s="1410">
        <f>E264+L264+F264+G264+H264+I264+J264+K264</f>
        <v>785000</v>
      </c>
      <c r="E264" s="3353">
        <v>0</v>
      </c>
      <c r="F264" s="2283">
        <f>45000-21350</f>
        <v>23650</v>
      </c>
      <c r="G264" s="2283">
        <f>640000+121350</f>
        <v>761350</v>
      </c>
      <c r="H264" s="3354">
        <v>0</v>
      </c>
      <c r="I264" s="3354">
        <v>0</v>
      </c>
      <c r="J264" s="3354">
        <v>0</v>
      </c>
      <c r="K264" s="3354">
        <v>0</v>
      </c>
      <c r="L264" s="3355"/>
      <c r="M264" s="1134">
        <f>SUM(G264:K264)</f>
        <v>761350</v>
      </c>
      <c r="N264" s="4305"/>
    </row>
    <row r="265" spans="1:15" s="280" customFormat="1" ht="13.5" hidden="1" customHeight="1" thickBot="1">
      <c r="A265" s="728"/>
      <c r="B265" s="1208" t="s">
        <v>13</v>
      </c>
      <c r="C265" s="729"/>
      <c r="D265" s="692">
        <f>E265+F265+G265+H265+I265+J265+K265</f>
        <v>0</v>
      </c>
      <c r="E265" s="731"/>
      <c r="F265" s="732">
        <v>0</v>
      </c>
      <c r="G265" s="732">
        <v>0</v>
      </c>
      <c r="H265" s="732">
        <v>0</v>
      </c>
      <c r="I265" s="732">
        <v>0</v>
      </c>
      <c r="J265" s="732">
        <v>0</v>
      </c>
      <c r="K265" s="732">
        <v>0</v>
      </c>
      <c r="L265" s="732"/>
      <c r="M265" s="568">
        <f>SUM(F265:K265)</f>
        <v>0</v>
      </c>
      <c r="N265" s="1873"/>
    </row>
    <row r="266" spans="1:15" s="1208" customFormat="1" ht="13.5" hidden="1" customHeight="1" thickBot="1">
      <c r="A266" s="728"/>
      <c r="B266" s="475" t="s">
        <v>20</v>
      </c>
      <c r="C266" s="726"/>
      <c r="D266" s="496">
        <f>+D267</f>
        <v>0</v>
      </c>
      <c r="E266" s="496">
        <f t="shared" ref="E266:K266" si="178">+E267</f>
        <v>0</v>
      </c>
      <c r="F266" s="505">
        <f t="shared" si="178"/>
        <v>0</v>
      </c>
      <c r="G266" s="477">
        <f t="shared" si="178"/>
        <v>0</v>
      </c>
      <c r="H266" s="505">
        <f t="shared" si="178"/>
        <v>0</v>
      </c>
      <c r="I266" s="505">
        <f t="shared" si="178"/>
        <v>0</v>
      </c>
      <c r="J266" s="477">
        <f t="shared" si="178"/>
        <v>0</v>
      </c>
      <c r="K266" s="505">
        <f t="shared" si="178"/>
        <v>0</v>
      </c>
      <c r="L266" s="2437"/>
      <c r="M266" s="4272" t="s">
        <v>21</v>
      </c>
      <c r="N266" s="1873"/>
    </row>
    <row r="267" spans="1:15" s="1208" customFormat="1" ht="13.5" hidden="1" customHeight="1">
      <c r="A267" s="2552"/>
      <c r="B267" s="453" t="s">
        <v>22</v>
      </c>
      <c r="C267" s="4271" t="s">
        <v>305</v>
      </c>
      <c r="D267" s="727">
        <f t="shared" ref="D267:K267" si="179">+D268</f>
        <v>0</v>
      </c>
      <c r="E267" s="727">
        <f t="shared" si="179"/>
        <v>0</v>
      </c>
      <c r="F267" s="493">
        <f t="shared" si="179"/>
        <v>0</v>
      </c>
      <c r="G267" s="508">
        <f t="shared" si="179"/>
        <v>0</v>
      </c>
      <c r="H267" s="509">
        <f t="shared" si="179"/>
        <v>0</v>
      </c>
      <c r="I267" s="493">
        <f t="shared" si="179"/>
        <v>0</v>
      </c>
      <c r="J267" s="508">
        <f t="shared" si="179"/>
        <v>0</v>
      </c>
      <c r="K267" s="509">
        <f t="shared" si="179"/>
        <v>0</v>
      </c>
      <c r="L267" s="2416"/>
      <c r="M267" s="4204"/>
      <c r="N267" s="1874"/>
    </row>
    <row r="268" spans="1:15" s="1208" customFormat="1" ht="22.5" hidden="1" customHeight="1" thickBot="1">
      <c r="A268" s="3035"/>
      <c r="B268" s="456" t="s">
        <v>13</v>
      </c>
      <c r="C268" s="4207"/>
      <c r="D268" s="692">
        <f>E268+F268+G268+H268+I268+J268+K268</f>
        <v>0</v>
      </c>
      <c r="E268" s="506">
        <v>0</v>
      </c>
      <c r="F268" s="510">
        <v>0</v>
      </c>
      <c r="G268" s="511">
        <v>0</v>
      </c>
      <c r="H268" s="511">
        <v>0</v>
      </c>
      <c r="I268" s="510">
        <v>0</v>
      </c>
      <c r="J268" s="511">
        <v>0</v>
      </c>
      <c r="K268" s="511">
        <v>0</v>
      </c>
      <c r="L268" s="511"/>
      <c r="M268" s="4205"/>
      <c r="N268" s="940"/>
    </row>
    <row r="269" spans="1:15" ht="14.25" customHeight="1">
      <c r="A269" s="4280" t="s">
        <v>329</v>
      </c>
      <c r="B269" s="4280"/>
      <c r="C269" s="4280"/>
      <c r="D269" s="4280"/>
      <c r="E269" s="4280"/>
      <c r="F269" s="4280"/>
      <c r="G269" s="4280"/>
      <c r="H269" s="4280"/>
      <c r="I269" s="4280"/>
      <c r="J269" s="4280"/>
      <c r="K269" s="4280"/>
      <c r="L269" s="4280"/>
      <c r="M269" s="4280"/>
      <c r="N269" s="4280"/>
    </row>
    <row r="270" spans="1:15" ht="14.25" customHeight="1">
      <c r="A270" s="4280" t="s">
        <v>571</v>
      </c>
      <c r="B270" s="4280"/>
      <c r="C270" s="4280"/>
      <c r="D270" s="4280"/>
      <c r="E270" s="4280"/>
      <c r="F270" s="4280"/>
      <c r="G270" s="4280"/>
      <c r="H270" s="4280"/>
      <c r="I270" s="4280"/>
      <c r="J270" s="4280"/>
      <c r="K270" s="4280"/>
      <c r="L270" s="4280"/>
      <c r="M270" s="4280"/>
      <c r="N270" s="4280"/>
    </row>
    <row r="271" spans="1:15" ht="19.5" customHeight="1">
      <c r="A271" s="4280" t="s">
        <v>596</v>
      </c>
      <c r="B271" s="4280"/>
      <c r="C271" s="4280"/>
      <c r="D271" s="4280"/>
      <c r="E271" s="4280"/>
      <c r="F271" s="4280"/>
      <c r="G271" s="4280"/>
      <c r="H271" s="4280"/>
      <c r="I271" s="4280"/>
      <c r="J271" s="4280"/>
      <c r="K271" s="4280"/>
      <c r="L271" s="4280"/>
      <c r="M271" s="4280"/>
      <c r="N271" s="4280"/>
    </row>
    <row r="272" spans="1:15" ht="13.5" hidden="1" customHeight="1">
      <c r="A272" s="2410"/>
      <c r="B272" s="968" t="s">
        <v>347</v>
      </c>
      <c r="C272" s="2413"/>
      <c r="D272" s="2413"/>
      <c r="E272" s="2413"/>
      <c r="F272" s="2413"/>
      <c r="G272" s="2413"/>
      <c r="H272" s="2413"/>
      <c r="I272" s="2413"/>
      <c r="J272" s="2413"/>
      <c r="K272" s="2413"/>
      <c r="L272" s="1208"/>
      <c r="M272" s="2410"/>
      <c r="N272" s="2410"/>
    </row>
    <row r="273" spans="1:14" ht="13.5" hidden="1" customHeight="1">
      <c r="A273" s="2410"/>
      <c r="B273" s="2522" t="s">
        <v>348</v>
      </c>
      <c r="C273" s="2413"/>
      <c r="D273" s="2414">
        <f>+D223+D118+D80+D57+D38</f>
        <v>194101985</v>
      </c>
      <c r="E273" s="2414">
        <f t="shared" ref="E273:K273" si="180">+E223+E118+E80+E57+E38</f>
        <v>41387147</v>
      </c>
      <c r="F273" s="2414">
        <f t="shared" si="180"/>
        <v>24201362</v>
      </c>
      <c r="G273" s="2414">
        <f t="shared" si="180"/>
        <v>28942749</v>
      </c>
      <c r="H273" s="2414">
        <f t="shared" si="180"/>
        <v>30494784</v>
      </c>
      <c r="I273" s="2414">
        <f t="shared" si="180"/>
        <v>18768193</v>
      </c>
      <c r="J273" s="2414">
        <f t="shared" si="180"/>
        <v>23619409</v>
      </c>
      <c r="K273" s="2414">
        <f t="shared" si="180"/>
        <v>24525467</v>
      </c>
      <c r="L273" s="2414">
        <f>+L223+L118+L80+L57+L38</f>
        <v>0</v>
      </c>
      <c r="M273" s="2410"/>
      <c r="N273" s="2410"/>
    </row>
    <row r="274" spans="1:14" ht="13.5" hidden="1" customHeight="1">
      <c r="A274" s="2410"/>
      <c r="B274" s="2522" t="s">
        <v>349</v>
      </c>
      <c r="C274" s="2413"/>
      <c r="D274" s="2414">
        <f>+D69+D91+D137+D150+D234</f>
        <v>72044752</v>
      </c>
      <c r="E274" s="2414">
        <f t="shared" ref="E274:K274" si="181">+E69+E91+E137+E150+E234</f>
        <v>1752343</v>
      </c>
      <c r="F274" s="2414">
        <f t="shared" si="181"/>
        <v>1214428</v>
      </c>
      <c r="G274" s="2414">
        <f t="shared" si="181"/>
        <v>12781756</v>
      </c>
      <c r="H274" s="2414">
        <f t="shared" si="181"/>
        <v>25200000</v>
      </c>
      <c r="I274" s="2414">
        <f t="shared" si="181"/>
        <v>22750184</v>
      </c>
      <c r="J274" s="2414">
        <f t="shared" si="181"/>
        <v>8200000</v>
      </c>
      <c r="K274" s="2414">
        <f t="shared" si="181"/>
        <v>146041</v>
      </c>
      <c r="L274" s="2414">
        <f>+L69+L91+L137+L150+L234</f>
        <v>0</v>
      </c>
      <c r="M274" s="2410"/>
      <c r="N274" s="2410"/>
    </row>
    <row r="275" spans="1:14" ht="13.5" hidden="1" customHeight="1">
      <c r="A275" s="2410"/>
      <c r="B275" s="2522" t="s">
        <v>350</v>
      </c>
      <c r="C275" s="2413"/>
      <c r="D275" s="966">
        <f>D273+D274</f>
        <v>266146737</v>
      </c>
      <c r="E275" s="966">
        <f t="shared" ref="E275:K275" si="182">E273+E274</f>
        <v>43139490</v>
      </c>
      <c r="F275" s="966">
        <f t="shared" si="182"/>
        <v>25415790</v>
      </c>
      <c r="G275" s="966">
        <f t="shared" si="182"/>
        <v>41724505</v>
      </c>
      <c r="H275" s="966">
        <f t="shared" si="182"/>
        <v>55694784</v>
      </c>
      <c r="I275" s="966">
        <f t="shared" si="182"/>
        <v>41518377</v>
      </c>
      <c r="J275" s="966">
        <f t="shared" si="182"/>
        <v>31819409</v>
      </c>
      <c r="K275" s="966">
        <f t="shared" si="182"/>
        <v>24671508</v>
      </c>
      <c r="L275" s="966">
        <f>L273+L274</f>
        <v>0</v>
      </c>
      <c r="M275" s="2410"/>
      <c r="N275" s="2410"/>
    </row>
    <row r="276" spans="1:14" ht="13.5" hidden="1" customHeight="1">
      <c r="A276" s="2410"/>
      <c r="B276" s="963" t="s">
        <v>40</v>
      </c>
      <c r="C276" s="965"/>
      <c r="D276" s="967">
        <f t="shared" ref="D276:L276" si="183">D20-D275</f>
        <v>0</v>
      </c>
      <c r="E276" s="967">
        <f t="shared" si="183"/>
        <v>0</v>
      </c>
      <c r="F276" s="967">
        <f t="shared" si="183"/>
        <v>0</v>
      </c>
      <c r="G276" s="967">
        <f t="shared" si="183"/>
        <v>0</v>
      </c>
      <c r="H276" s="967">
        <f t="shared" si="183"/>
        <v>0</v>
      </c>
      <c r="I276" s="967">
        <f t="shared" si="183"/>
        <v>0</v>
      </c>
      <c r="J276" s="967">
        <f t="shared" si="183"/>
        <v>0</v>
      </c>
      <c r="K276" s="967">
        <f t="shared" si="183"/>
        <v>0</v>
      </c>
      <c r="L276" s="967">
        <f t="shared" si="183"/>
        <v>0</v>
      </c>
      <c r="M276" s="2410"/>
      <c r="N276" s="2410"/>
    </row>
    <row r="277" spans="1:14" ht="31.5" hidden="1" customHeight="1">
      <c r="A277" s="2410"/>
      <c r="B277" s="2410"/>
      <c r="C277" s="2410"/>
      <c r="D277" s="2410"/>
      <c r="E277" s="2410"/>
      <c r="F277" s="2410"/>
      <c r="G277" s="2410"/>
      <c r="H277" s="2410"/>
      <c r="I277" s="2410"/>
      <c r="J277" s="2410"/>
      <c r="K277" s="2410"/>
      <c r="L277" s="2410"/>
      <c r="M277" s="2410"/>
      <c r="N277" s="2410"/>
    </row>
    <row r="278" spans="1:14" ht="31.5" hidden="1" customHeight="1">
      <c r="A278" s="2410"/>
      <c r="B278" s="2410"/>
      <c r="C278" s="2410"/>
      <c r="D278" s="2410"/>
      <c r="E278" s="2410"/>
      <c r="F278" s="2410"/>
      <c r="G278" s="2410"/>
      <c r="H278" s="2410"/>
      <c r="I278" s="2410"/>
      <c r="J278" s="2410"/>
      <c r="K278" s="2410"/>
      <c r="L278" s="2410"/>
      <c r="M278" s="2410"/>
      <c r="N278" s="2410"/>
    </row>
    <row r="279" spans="1:14" hidden="1">
      <c r="B279" s="2553" t="s">
        <v>40</v>
      </c>
    </row>
    <row r="280" spans="1:14" hidden="1">
      <c r="B280" s="4304" t="s">
        <v>229</v>
      </c>
      <c r="C280" s="251" t="s">
        <v>99</v>
      </c>
      <c r="D280" s="254">
        <f>D118-L118-F118-G118-H118-I118-J118-K118</f>
        <v>39441331</v>
      </c>
      <c r="E280" s="251" t="s">
        <v>99</v>
      </c>
    </row>
    <row r="281" spans="1:14" hidden="1">
      <c r="B281" s="4304"/>
      <c r="C281" s="251" t="s">
        <v>72</v>
      </c>
      <c r="D281" s="254">
        <f>D137-L137-F137-G137-H137-I137-J137-K137</f>
        <v>468371</v>
      </c>
      <c r="E281" s="251" t="s">
        <v>72</v>
      </c>
    </row>
    <row r="282" spans="1:14" hidden="1">
      <c r="B282" s="4304"/>
      <c r="D282" s="316">
        <f>D280+D281</f>
        <v>39909702</v>
      </c>
    </row>
    <row r="283" spans="1:14" hidden="1"/>
    <row r="284" spans="1:14" hidden="1">
      <c r="B284" s="2554" t="s">
        <v>543</v>
      </c>
      <c r="C284" s="251" t="s">
        <v>99</v>
      </c>
      <c r="D284" s="254">
        <f>+D108-L108-F108-G108-H108-I108-J108-K108</f>
        <v>40545815</v>
      </c>
    </row>
    <row r="285" spans="1:14" hidden="1">
      <c r="C285" s="251" t="s">
        <v>72</v>
      </c>
      <c r="D285" s="254">
        <f>D127-L127-F127-G127-H127-I127-J127-K127</f>
        <v>779442</v>
      </c>
    </row>
    <row r="286" spans="1:14" hidden="1">
      <c r="D286" s="316">
        <f>D284+D285</f>
        <v>41325257</v>
      </c>
    </row>
    <row r="287" spans="1:14" hidden="1"/>
    <row r="288" spans="1:14" hidden="1">
      <c r="B288" s="2554" t="s">
        <v>231</v>
      </c>
      <c r="D288" s="316">
        <f>+D99-L99-F99-G99-H99-I99-J99-K99</f>
        <v>8907379</v>
      </c>
    </row>
    <row r="289" spans="2:13" hidden="1"/>
    <row r="290" spans="2:13" hidden="1">
      <c r="B290" s="251" t="s">
        <v>230</v>
      </c>
      <c r="D290" s="316">
        <f>D286+D288</f>
        <v>50232636</v>
      </c>
    </row>
    <row r="291" spans="2:13" hidden="1">
      <c r="E291" s="254"/>
    </row>
    <row r="292" spans="2:13" hidden="1">
      <c r="B292" s="251" t="s">
        <v>296</v>
      </c>
      <c r="D292" s="254">
        <f t="shared" ref="D292:K292" si="184">+D99+D109</f>
        <v>217396950</v>
      </c>
      <c r="E292" s="254">
        <f t="shared" si="184"/>
        <v>49453194</v>
      </c>
      <c r="F292" s="254">
        <f t="shared" si="184"/>
        <v>27291499</v>
      </c>
      <c r="G292" s="254">
        <f t="shared" si="184"/>
        <v>32297552</v>
      </c>
      <c r="H292" s="254">
        <f t="shared" si="184"/>
        <v>33143978</v>
      </c>
      <c r="I292" s="254">
        <f t="shared" si="184"/>
        <v>26665471</v>
      </c>
      <c r="J292" s="254">
        <f t="shared" si="184"/>
        <v>25571296</v>
      </c>
      <c r="K292" s="254">
        <f t="shared" si="184"/>
        <v>22973960</v>
      </c>
      <c r="L292" s="254"/>
      <c r="M292" s="254">
        <f>SUM(E292:K292)-D292</f>
        <v>0</v>
      </c>
    </row>
    <row r="293" spans="2:13" hidden="1">
      <c r="B293" s="251" t="s">
        <v>297</v>
      </c>
      <c r="D293" s="254">
        <f t="shared" ref="D293:K293" si="185">+D128</f>
        <v>2741069</v>
      </c>
      <c r="E293" s="254">
        <f t="shared" si="185"/>
        <v>779442</v>
      </c>
      <c r="F293" s="254">
        <f t="shared" si="185"/>
        <v>598459</v>
      </c>
      <c r="G293" s="254">
        <f t="shared" si="185"/>
        <v>617127</v>
      </c>
      <c r="H293" s="254">
        <f t="shared" si="185"/>
        <v>200000</v>
      </c>
      <c r="I293" s="254">
        <f t="shared" si="185"/>
        <v>200000</v>
      </c>
      <c r="J293" s="254">
        <f t="shared" si="185"/>
        <v>200000</v>
      </c>
      <c r="K293" s="254">
        <f t="shared" si="185"/>
        <v>146041</v>
      </c>
      <c r="L293" s="254"/>
      <c r="M293" s="254">
        <f>SUM(E293:K293)-D293</f>
        <v>0</v>
      </c>
    </row>
    <row r="294" spans="2:13" hidden="1"/>
    <row r="295" spans="2:13" hidden="1">
      <c r="B295" s="251" t="s">
        <v>295</v>
      </c>
      <c r="D295" s="254">
        <f>+D118+'Tab. 6B Polit społ i rozwój prz'!D109+D137+'Tab. 6B Polit społ i rozwój prz'!D121</f>
        <v>249298062</v>
      </c>
      <c r="F295" s="254">
        <f>+F118+'Tab. 6B Polit społ i rozwój prz'!F109+F137+'Tab. 6B Polit społ i rozwój prz'!F121</f>
        <v>30885272</v>
      </c>
      <c r="G295" s="254">
        <f>+G118+'Tab. 6B Polit społ i rozwój prz'!G109+G137+'Tab. 6B Polit społ i rozwój prz'!G121</f>
        <v>37326015</v>
      </c>
      <c r="H295" s="254">
        <f>+H118+'Tab. 6B Polit społ i rozwój prz'!H109+H137+'Tab. 6B Polit społ i rozwój prz'!H121</f>
        <v>37000000</v>
      </c>
      <c r="I295" s="254">
        <f>+I118+'Tab. 6B Polit społ i rozwój prz'!I109+I137+'Tab. 6B Polit społ i rozwój prz'!I121</f>
        <v>26699816</v>
      </c>
      <c r="J295" s="254">
        <f>+J118+'Tab. 6B Polit społ i rozwój prz'!J109+J137+'Tab. 6B Polit społ i rozwój prz'!J121</f>
        <v>31000000</v>
      </c>
      <c r="K295" s="254">
        <f>+K118+'Tab. 6B Polit społ i rozwój prz'!K109+K137+'Tab. 6B Polit społ i rozwój prz'!K121</f>
        <v>31000000</v>
      </c>
      <c r="L295" s="254"/>
      <c r="M295" s="254">
        <f>SUM(E295:K295)-D295</f>
        <v>-55386959</v>
      </c>
    </row>
    <row r="296" spans="2:13" hidden="1">
      <c r="B296" s="251" t="s">
        <v>294</v>
      </c>
      <c r="D296" s="254">
        <f>+D97+D122+'Tab. 6B Polit społ i rozwój prz'!D103+'Tab. 6B Polit społ i rozwój prz'!D115</f>
        <v>296468308</v>
      </c>
      <c r="E296" s="254">
        <f>+E97+E122+'Tab. 6B Polit społ i rozwój prz'!E103+'Tab. 6B Polit społ i rozwój prz'!E115</f>
        <v>69135785</v>
      </c>
      <c r="F296" s="254">
        <f>+F97+F122+'Tab. 6B Polit społ i rozwój prz'!F103+'Tab. 6B Polit społ i rozwój prz'!F115</f>
        <v>38089738</v>
      </c>
      <c r="G296" s="254">
        <f>+G97+G122+'Tab. 6B Polit społ i rozwój prz'!G103+'Tab. 6B Polit społ i rozwój prz'!G115</f>
        <v>43951649</v>
      </c>
      <c r="H296" s="254">
        <f>+H97+H122+'Tab. 6B Polit społ i rozwój prz'!H103+'Tab. 6B Polit społ i rozwój prz'!H115</f>
        <v>43129253</v>
      </c>
      <c r="I296" s="254">
        <f>+I97+I122+'Tab. 6B Polit społ i rozwój prz'!I103+'Tab. 6B Polit społ i rozwój prz'!I115</f>
        <v>36539546</v>
      </c>
      <c r="J296" s="254">
        <f>+J97+J122+'Tab. 6B Polit społ i rozwój prz'!J103+'Tab. 6B Polit społ i rozwój prz'!J115</f>
        <v>34725371</v>
      </c>
      <c r="K296" s="254">
        <f>+K97+K122+'Tab. 6B Polit społ i rozwój prz'!K103+'Tab. 6B Polit społ i rozwój prz'!K115</f>
        <v>30896966</v>
      </c>
      <c r="L296" s="254"/>
      <c r="M296" s="254">
        <f>SUM(E296:K296)-D296</f>
        <v>0</v>
      </c>
    </row>
    <row r="297" spans="2:13" hidden="1"/>
    <row r="298" spans="2:13" hidden="1"/>
    <row r="299" spans="2:13" hidden="1"/>
    <row r="300" spans="2:13" hidden="1"/>
    <row r="301" spans="2:13" hidden="1">
      <c r="B301" s="251" t="s">
        <v>264</v>
      </c>
      <c r="C301" s="251" t="s">
        <v>262</v>
      </c>
      <c r="D301" s="254">
        <f>+D213+D179</f>
        <v>18000000</v>
      </c>
      <c r="F301" s="254">
        <f t="shared" ref="F301:J301" si="186">+F213+F179</f>
        <v>884884</v>
      </c>
      <c r="G301" s="254">
        <f t="shared" si="186"/>
        <v>5574771</v>
      </c>
      <c r="H301" s="254">
        <f t="shared" si="186"/>
        <v>6000000</v>
      </c>
      <c r="I301" s="254">
        <f t="shared" si="186"/>
        <v>4200184</v>
      </c>
      <c r="J301" s="254">
        <f t="shared" si="186"/>
        <v>0</v>
      </c>
      <c r="M301" s="254">
        <f>SUM(E301:K301)-D301</f>
        <v>-1340161</v>
      </c>
    </row>
    <row r="302" spans="2:13" hidden="1">
      <c r="C302" s="251" t="s">
        <v>263</v>
      </c>
      <c r="D302" s="254">
        <f>+D171+D198</f>
        <v>0</v>
      </c>
      <c r="F302" s="254">
        <f t="shared" ref="F302:J302" si="187">+F171+F198</f>
        <v>0</v>
      </c>
      <c r="G302" s="254">
        <f t="shared" si="187"/>
        <v>0</v>
      </c>
      <c r="H302" s="254">
        <f t="shared" si="187"/>
        <v>0</v>
      </c>
      <c r="I302" s="254">
        <f t="shared" si="187"/>
        <v>0</v>
      </c>
      <c r="J302" s="254">
        <f t="shared" si="187"/>
        <v>0</v>
      </c>
      <c r="M302" s="254">
        <f>SUM(E302:K302)-D302</f>
        <v>0</v>
      </c>
    </row>
    <row r="303" spans="2:13" hidden="1">
      <c r="D303" s="254">
        <f>SUM(D301:D302)</f>
        <v>18000000</v>
      </c>
      <c r="E303" s="254">
        <f t="shared" ref="E303:J303" si="188">SUM(E301:E302)</f>
        <v>0</v>
      </c>
      <c r="F303" s="254">
        <f t="shared" si="188"/>
        <v>884884</v>
      </c>
      <c r="G303" s="254">
        <f t="shared" si="188"/>
        <v>5574771</v>
      </c>
      <c r="H303" s="254">
        <f t="shared" si="188"/>
        <v>6000000</v>
      </c>
      <c r="I303" s="254">
        <f t="shared" si="188"/>
        <v>4200184</v>
      </c>
      <c r="J303" s="254">
        <f t="shared" si="188"/>
        <v>0</v>
      </c>
      <c r="M303" s="254">
        <f>SUM(E303:K303)-D303</f>
        <v>-1340161</v>
      </c>
    </row>
    <row r="304" spans="2:13" hidden="1">
      <c r="B304" s="251" t="s">
        <v>298</v>
      </c>
      <c r="D304" s="254">
        <f t="shared" ref="D304:J304" si="189">D147</f>
        <v>18000000</v>
      </c>
      <c r="E304" s="254">
        <f t="shared" si="189"/>
        <v>1340161</v>
      </c>
      <c r="F304" s="254">
        <f t="shared" si="189"/>
        <v>884884</v>
      </c>
      <c r="G304" s="254">
        <f t="shared" si="189"/>
        <v>5574771</v>
      </c>
      <c r="H304" s="254">
        <f t="shared" si="189"/>
        <v>6000000</v>
      </c>
      <c r="I304" s="254">
        <f t="shared" si="189"/>
        <v>4200184</v>
      </c>
      <c r="J304" s="254">
        <f t="shared" si="189"/>
        <v>0</v>
      </c>
      <c r="M304" s="254">
        <f>SUM(E304:K304)-D304</f>
        <v>0</v>
      </c>
    </row>
    <row r="305" spans="2:13" hidden="1"/>
    <row r="306" spans="2:13" hidden="1">
      <c r="B306" s="251" t="s">
        <v>299</v>
      </c>
      <c r="D306" s="254">
        <f>+D295+D303</f>
        <v>267298062</v>
      </c>
      <c r="E306" s="254">
        <f t="shared" ref="E306:K306" si="190">+E295+E303</f>
        <v>0</v>
      </c>
      <c r="F306" s="254">
        <f t="shared" si="190"/>
        <v>31770156</v>
      </c>
      <c r="G306" s="254">
        <f t="shared" si="190"/>
        <v>42900786</v>
      </c>
      <c r="H306" s="254">
        <f t="shared" si="190"/>
        <v>43000000</v>
      </c>
      <c r="I306" s="254">
        <f t="shared" si="190"/>
        <v>30900000</v>
      </c>
      <c r="J306" s="254">
        <f t="shared" si="190"/>
        <v>31000000</v>
      </c>
      <c r="K306" s="254">
        <f t="shared" si="190"/>
        <v>31000000</v>
      </c>
      <c r="L306" s="254"/>
      <c r="M306" s="254">
        <f>SUM(E306:K306)-D306</f>
        <v>-56727120</v>
      </c>
    </row>
    <row r="307" spans="2:13" hidden="1">
      <c r="B307" s="251" t="s">
        <v>300</v>
      </c>
      <c r="D307" s="254">
        <f>+D296+D304</f>
        <v>314468308</v>
      </c>
      <c r="E307" s="254">
        <f t="shared" ref="E307:K307" si="191">+E296+E304</f>
        <v>70475946</v>
      </c>
      <c r="F307" s="254">
        <f t="shared" si="191"/>
        <v>38974622</v>
      </c>
      <c r="G307" s="254">
        <f t="shared" si="191"/>
        <v>49526420</v>
      </c>
      <c r="H307" s="254">
        <f t="shared" si="191"/>
        <v>49129253</v>
      </c>
      <c r="I307" s="254">
        <f t="shared" si="191"/>
        <v>40739730</v>
      </c>
      <c r="J307" s="254">
        <f t="shared" si="191"/>
        <v>34725371</v>
      </c>
      <c r="K307" s="254">
        <f t="shared" si="191"/>
        <v>30896966</v>
      </c>
      <c r="L307" s="254"/>
      <c r="M307" s="254">
        <f>SUM(E307:K307)-D307</f>
        <v>0</v>
      </c>
    </row>
    <row r="308" spans="2:13" hidden="1"/>
    <row r="309" spans="2:13" hidden="1"/>
    <row r="310" spans="2:13" hidden="1"/>
    <row r="311" spans="2:13" hidden="1"/>
    <row r="312" spans="2:13" hidden="1"/>
    <row r="313" spans="2:13" hidden="1"/>
    <row r="314" spans="2:13" hidden="1"/>
    <row r="315" spans="2:13" hidden="1"/>
    <row r="316" spans="2:13" hidden="1"/>
    <row r="317" spans="2:13" hidden="1"/>
    <row r="406" spans="1:14" ht="13.5" thickBot="1">
      <c r="A406" s="1678"/>
    </row>
    <row r="407" spans="1:14" ht="13.5" thickBot="1">
      <c r="A407" s="1901"/>
    </row>
    <row r="408" spans="1:14" ht="13.5" thickBot="1">
      <c r="A408" s="1901"/>
    </row>
    <row r="409" spans="1:14" ht="13.5" thickBot="1">
      <c r="A409" s="1901"/>
    </row>
    <row r="410" spans="1:14" ht="13.5" thickBot="1">
      <c r="A410" s="1901"/>
    </row>
    <row r="411" spans="1:14" ht="13.5" thickBot="1">
      <c r="A411" s="1901"/>
    </row>
    <row r="412" spans="1:14" ht="13.5" thickBot="1">
      <c r="A412" s="1901"/>
      <c r="M412" s="2555"/>
      <c r="N412" s="2556"/>
    </row>
    <row r="413" spans="1:14" ht="13.5" thickBot="1">
      <c r="A413" s="1901"/>
      <c r="C413" s="2555"/>
      <c r="M413" s="2557"/>
      <c r="N413" s="2558"/>
    </row>
    <row r="414" spans="1:14" ht="13.5" thickBot="1">
      <c r="A414" s="1901"/>
      <c r="C414" s="2557"/>
      <c r="D414" s="2555"/>
      <c r="E414" s="2555"/>
      <c r="F414" s="2555"/>
      <c r="G414" s="2555"/>
      <c r="H414" s="2555"/>
      <c r="I414" s="2555"/>
      <c r="J414" s="2555"/>
      <c r="K414" s="2555"/>
      <c r="L414" s="2555"/>
      <c r="M414" s="2557"/>
      <c r="N414" s="2558"/>
    </row>
    <row r="415" spans="1:14" ht="13.5" thickBot="1">
      <c r="A415" s="1901"/>
      <c r="C415" s="2559"/>
      <c r="D415" s="2559"/>
      <c r="E415" s="2559"/>
      <c r="F415" s="2559"/>
      <c r="G415" s="2559"/>
      <c r="H415" s="2559"/>
      <c r="I415" s="2559"/>
      <c r="J415" s="2559"/>
      <c r="K415" s="2559"/>
      <c r="L415" s="2559"/>
      <c r="M415" s="2559"/>
      <c r="N415" s="2558"/>
    </row>
    <row r="416" spans="1:14" ht="13.5" thickBot="1">
      <c r="A416" s="1901"/>
      <c r="N416" s="2558"/>
    </row>
    <row r="417" spans="1:14" ht="13.5" thickBot="1">
      <c r="A417" s="1901"/>
      <c r="N417" s="2558"/>
    </row>
    <row r="418" spans="1:14" ht="13.5" thickBot="1">
      <c r="A418" s="1901"/>
      <c r="N418" s="2558"/>
    </row>
    <row r="419" spans="1:14" ht="13.5" thickBot="1">
      <c r="A419" s="1901"/>
      <c r="N419" s="2558"/>
    </row>
    <row r="420" spans="1:14" ht="13.5" thickBot="1">
      <c r="A420" s="1901"/>
      <c r="N420" s="2560"/>
    </row>
    <row r="421" spans="1:14" ht="13.5" thickBot="1">
      <c r="A421" s="1901"/>
    </row>
    <row r="422" spans="1:14" ht="13.5" thickBot="1">
      <c r="A422" s="1901"/>
    </row>
    <row r="423" spans="1:14">
      <c r="A423" s="1902"/>
    </row>
    <row r="521" spans="13:14" ht="13.5" thickBot="1">
      <c r="N521" s="2556"/>
    </row>
    <row r="522" spans="13:14" ht="13.5" thickBot="1">
      <c r="N522" s="2558"/>
    </row>
    <row r="523" spans="13:14" ht="13.5" thickBot="1">
      <c r="N523" s="2558"/>
    </row>
    <row r="524" spans="13:14" ht="13.5" thickBot="1">
      <c r="N524" s="2558"/>
    </row>
    <row r="525" spans="13:14" ht="13.5" thickBot="1">
      <c r="M525" s="2555"/>
      <c r="N525" s="2558"/>
    </row>
    <row r="526" spans="13:14" ht="13.5" thickBot="1">
      <c r="M526" s="2557"/>
      <c r="N526" s="2558"/>
    </row>
    <row r="527" spans="13:14" ht="13.5" thickBot="1">
      <c r="M527" s="2557"/>
      <c r="N527" s="2558"/>
    </row>
    <row r="528" spans="13:14" ht="13.5" thickBot="1">
      <c r="M528" s="2557"/>
      <c r="N528" s="2558"/>
    </row>
    <row r="529" spans="1:14" ht="13.5" thickBot="1">
      <c r="M529" s="2557"/>
      <c r="N529" s="2558"/>
    </row>
    <row r="530" spans="1:14" ht="13.5" thickBot="1">
      <c r="A530" s="1678"/>
      <c r="B530" s="2555"/>
      <c r="C530" s="2555"/>
      <c r="D530" s="2555"/>
      <c r="E530" s="2555"/>
      <c r="F530" s="2555"/>
      <c r="G530" s="2555"/>
      <c r="H530" s="2555"/>
      <c r="I530" s="2555"/>
      <c r="J530" s="2555"/>
      <c r="K530" s="2555"/>
      <c r="L530" s="2555"/>
      <c r="M530" s="2557"/>
      <c r="N530" s="2558"/>
    </row>
    <row r="531" spans="1:14" ht="13.5" thickBot="1">
      <c r="A531" s="1901"/>
      <c r="B531" s="2559"/>
      <c r="C531" s="2559"/>
      <c r="D531" s="2559"/>
      <c r="E531" s="2559"/>
      <c r="F531" s="2559"/>
      <c r="G531" s="2559"/>
      <c r="H531" s="2559"/>
      <c r="I531" s="2559"/>
      <c r="J531" s="2559"/>
      <c r="K531" s="2559"/>
      <c r="L531" s="2559"/>
      <c r="M531" s="2559"/>
      <c r="N531" s="2558"/>
    </row>
    <row r="532" spans="1:14" ht="13.5" thickBot="1">
      <c r="A532" s="1901"/>
      <c r="N532" s="2558"/>
    </row>
    <row r="533" spans="1:14" ht="13.5" thickBot="1">
      <c r="A533" s="1901"/>
      <c r="N533" s="2558"/>
    </row>
    <row r="534" spans="1:14" ht="13.5" thickBot="1">
      <c r="A534" s="1901"/>
      <c r="N534" s="2558"/>
    </row>
    <row r="535" spans="1:14" ht="13.5" thickBot="1">
      <c r="A535" s="1901"/>
      <c r="N535" s="2558"/>
    </row>
    <row r="536" spans="1:14" ht="13.5" thickBot="1">
      <c r="A536" s="1901"/>
      <c r="N536" s="2558"/>
    </row>
    <row r="537" spans="1:14" ht="13.5" thickBot="1">
      <c r="A537" s="1901"/>
      <c r="N537" s="2558"/>
    </row>
    <row r="538" spans="1:14">
      <c r="A538" s="1902"/>
      <c r="N538" s="2560"/>
    </row>
    <row r="545" spans="1:14" ht="13.5" thickBot="1"/>
    <row r="546" spans="1:14" ht="33.75">
      <c r="A546" s="317"/>
      <c r="B546" s="318" t="s">
        <v>60</v>
      </c>
      <c r="C546" s="318"/>
      <c r="D546" s="2559"/>
      <c r="E546" s="2559"/>
      <c r="F546" s="2559"/>
      <c r="G546" s="2559"/>
      <c r="H546" s="2559"/>
      <c r="I546" s="2559"/>
      <c r="J546" s="2559"/>
      <c r="K546" s="2559"/>
      <c r="L546" s="2559"/>
      <c r="M546" s="2559"/>
      <c r="N546" s="2561"/>
    </row>
    <row r="547" spans="1:14">
      <c r="A547" s="319"/>
      <c r="N547" s="2562"/>
    </row>
    <row r="548" spans="1:14">
      <c r="A548" s="319"/>
      <c r="N548" s="2562"/>
    </row>
    <row r="549" spans="1:14">
      <c r="A549" s="319"/>
      <c r="N549" s="2562"/>
    </row>
    <row r="550" spans="1:14">
      <c r="A550" s="319"/>
      <c r="N550" s="2562"/>
    </row>
    <row r="551" spans="1:14">
      <c r="A551" s="319"/>
      <c r="N551" s="2562"/>
    </row>
    <row r="552" spans="1:14">
      <c r="A552" s="319"/>
      <c r="N552" s="2562"/>
    </row>
    <row r="553" spans="1:14">
      <c r="A553" s="319"/>
      <c r="N553" s="2562"/>
    </row>
    <row r="554" spans="1:14">
      <c r="A554" s="319"/>
      <c r="N554" s="2562"/>
    </row>
    <row r="555" spans="1:14">
      <c r="A555" s="319"/>
      <c r="N555" s="2562"/>
    </row>
    <row r="556" spans="1:14">
      <c r="A556" s="319"/>
      <c r="N556" s="2562"/>
    </row>
    <row r="557" spans="1:14" ht="13.5" thickBot="1">
      <c r="A557" s="320"/>
      <c r="B557" s="2555"/>
      <c r="C557" s="2555"/>
      <c r="D557" s="2555"/>
      <c r="E557" s="2555"/>
      <c r="F557" s="2555"/>
      <c r="G557" s="2555"/>
      <c r="H557" s="2555"/>
      <c r="I557" s="2555"/>
      <c r="J557" s="2555"/>
      <c r="K557" s="2555"/>
      <c r="L557" s="2555"/>
      <c r="M557" s="2555"/>
      <c r="N557" s="2563"/>
    </row>
  </sheetData>
  <mergeCells count="99">
    <mergeCell ref="M20:M25"/>
    <mergeCell ref="M38:M40"/>
    <mergeCell ref="N121:N139"/>
    <mergeCell ref="M137:M139"/>
    <mergeCell ref="M80:M84"/>
    <mergeCell ref="M91:M95"/>
    <mergeCell ref="N74:N84"/>
    <mergeCell ref="N215:N227"/>
    <mergeCell ref="B280:B282"/>
    <mergeCell ref="A269:N269"/>
    <mergeCell ref="A251:A254"/>
    <mergeCell ref="N251:N254"/>
    <mergeCell ref="N241:N250"/>
    <mergeCell ref="C245:C247"/>
    <mergeCell ref="C249:C250"/>
    <mergeCell ref="C267:C268"/>
    <mergeCell ref="M266:M268"/>
    <mergeCell ref="C253:C254"/>
    <mergeCell ref="A261:A264"/>
    <mergeCell ref="C263:C264"/>
    <mergeCell ref="N261:N264"/>
    <mergeCell ref="A270:N270"/>
    <mergeCell ref="N255:N260"/>
    <mergeCell ref="C257:C260"/>
    <mergeCell ref="A255:A260"/>
    <mergeCell ref="C76:C79"/>
    <mergeCell ref="C81:C84"/>
    <mergeCell ref="A74:A84"/>
    <mergeCell ref="C167:C168"/>
    <mergeCell ref="A140:A154"/>
    <mergeCell ref="A158:A170"/>
    <mergeCell ref="C235:C238"/>
    <mergeCell ref="A172:A185"/>
    <mergeCell ref="A188:A197"/>
    <mergeCell ref="C151:C154"/>
    <mergeCell ref="C142:C149"/>
    <mergeCell ref="A96:A120"/>
    <mergeCell ref="A121:A139"/>
    <mergeCell ref="C138:C139"/>
    <mergeCell ref="A271:N271"/>
    <mergeCell ref="A85:A95"/>
    <mergeCell ref="N85:N95"/>
    <mergeCell ref="C87:C90"/>
    <mergeCell ref="C92:C95"/>
    <mergeCell ref="C169:C171"/>
    <mergeCell ref="C160:C165"/>
    <mergeCell ref="N228:N238"/>
    <mergeCell ref="C230:C233"/>
    <mergeCell ref="A199:A211"/>
    <mergeCell ref="A215:A227"/>
    <mergeCell ref="A228:A238"/>
    <mergeCell ref="M248:M250"/>
    <mergeCell ref="M234:M238"/>
    <mergeCell ref="M150:M154"/>
    <mergeCell ref="C196:C197"/>
    <mergeCell ref="A5:N5"/>
    <mergeCell ref="B6:B7"/>
    <mergeCell ref="C6:C7"/>
    <mergeCell ref="D6:D7"/>
    <mergeCell ref="N6:N7"/>
    <mergeCell ref="M6:M7"/>
    <mergeCell ref="L6:L7"/>
    <mergeCell ref="G6:K6"/>
    <mergeCell ref="F6:F7"/>
    <mergeCell ref="A26:A40"/>
    <mergeCell ref="N26:N40"/>
    <mergeCell ref="C28:C34"/>
    <mergeCell ref="C39:C40"/>
    <mergeCell ref="A62:A73"/>
    <mergeCell ref="N62:N73"/>
    <mergeCell ref="C64:C68"/>
    <mergeCell ref="C70:C73"/>
    <mergeCell ref="N41:N61"/>
    <mergeCell ref="C43:C53"/>
    <mergeCell ref="M57:M61"/>
    <mergeCell ref="C58:C61"/>
    <mergeCell ref="A41:A61"/>
    <mergeCell ref="M69:M73"/>
    <mergeCell ref="M166:M171"/>
    <mergeCell ref="M208:M214"/>
    <mergeCell ref="C217:C222"/>
    <mergeCell ref="M223:M227"/>
    <mergeCell ref="C224:C227"/>
    <mergeCell ref="C209:C212"/>
    <mergeCell ref="C182:C183"/>
    <mergeCell ref="C190:C191"/>
    <mergeCell ref="M195:M197"/>
    <mergeCell ref="C174:C180"/>
    <mergeCell ref="C192:C194"/>
    <mergeCell ref="C201:C207"/>
    <mergeCell ref="C184:C185"/>
    <mergeCell ref="M181:M187"/>
    <mergeCell ref="C123:C128"/>
    <mergeCell ref="C119:C120"/>
    <mergeCell ref="C98:C109"/>
    <mergeCell ref="O118:R139"/>
    <mergeCell ref="N140:N154"/>
    <mergeCell ref="N96:N120"/>
    <mergeCell ref="M118:M120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62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61" max="13" man="1"/>
    <brk id="120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BX536"/>
  <sheetViews>
    <sheetView showGridLines="0" view="pageBreakPreview" zoomScaleSheetLayoutView="100" workbookViewId="0">
      <pane xSplit="3" ySplit="6" topLeftCell="D175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F182" sqref="F182:G205"/>
    </sheetView>
  </sheetViews>
  <sheetFormatPr defaultColWidth="9.140625" defaultRowHeight="11.25"/>
  <cols>
    <col min="1" max="1" width="4.140625" style="327" customWidth="1"/>
    <col min="2" max="2" width="59.28515625" style="260" customWidth="1"/>
    <col min="3" max="3" width="10.5703125" style="260" customWidth="1"/>
    <col min="4" max="4" width="16.140625" style="260" customWidth="1"/>
    <col min="5" max="5" width="12.42578125" style="260" customWidth="1"/>
    <col min="6" max="6" width="12.5703125" style="260" customWidth="1"/>
    <col min="7" max="7" width="10.85546875" style="260" customWidth="1"/>
    <col min="8" max="9" width="9.85546875" style="260" customWidth="1"/>
    <col min="10" max="10" width="10" style="260" customWidth="1"/>
    <col min="11" max="11" width="8.28515625" style="260" customWidth="1"/>
    <col min="12" max="12" width="8.28515625" style="260" hidden="1" customWidth="1"/>
    <col min="13" max="13" width="12.42578125" style="260" customWidth="1"/>
    <col min="14" max="14" width="15.28515625" style="380" customWidth="1"/>
    <col min="15" max="15" width="3.28515625" style="260" hidden="1" customWidth="1"/>
    <col min="16" max="16" width="13.42578125" style="260" hidden="1" customWidth="1"/>
    <col min="17" max="18" width="18.28515625" style="260" hidden="1" customWidth="1"/>
    <col min="19" max="33" width="18.28515625" style="260" customWidth="1"/>
    <col min="34" max="75" width="3.28515625" style="260" customWidth="1"/>
    <col min="76" max="16384" width="9.140625" style="260"/>
  </cols>
  <sheetData>
    <row r="1" spans="1:76" s="379" customFormat="1" ht="18" customHeight="1">
      <c r="A1" s="389"/>
      <c r="B1" s="390"/>
      <c r="C1" s="389"/>
      <c r="D1" s="389"/>
      <c r="E1" s="389"/>
      <c r="F1" s="256" t="s">
        <v>383</v>
      </c>
      <c r="G1" s="256"/>
      <c r="H1" s="256"/>
      <c r="I1" s="256"/>
      <c r="J1" s="256"/>
      <c r="K1" s="256"/>
      <c r="L1" s="256"/>
      <c r="M1" s="3"/>
      <c r="N1" s="4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78"/>
      <c r="AP1" s="378"/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378"/>
      <c r="BO1" s="378"/>
      <c r="BP1" s="378"/>
      <c r="BQ1" s="378"/>
      <c r="BR1" s="378"/>
      <c r="BS1" s="378"/>
      <c r="BT1" s="378"/>
      <c r="BU1" s="378"/>
      <c r="BV1" s="378"/>
      <c r="BW1" s="378"/>
      <c r="BX1" s="259"/>
    </row>
    <row r="2" spans="1:76" s="379" customFormat="1" ht="16.5" customHeight="1">
      <c r="A2" s="391"/>
      <c r="B2" s="390"/>
      <c r="C2" s="389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4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378"/>
      <c r="AP2" s="378"/>
      <c r="AQ2" s="378"/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78"/>
      <c r="BJ2" s="378"/>
      <c r="BK2" s="378"/>
      <c r="BL2" s="378"/>
      <c r="BM2" s="378"/>
      <c r="BN2" s="378"/>
      <c r="BO2" s="378"/>
      <c r="BP2" s="378"/>
      <c r="BQ2" s="378"/>
      <c r="BR2" s="378"/>
      <c r="BS2" s="378"/>
      <c r="BT2" s="378"/>
      <c r="BU2" s="378"/>
      <c r="BV2" s="378"/>
      <c r="BW2" s="378"/>
      <c r="BX2" s="259"/>
    </row>
    <row r="3" spans="1:76" s="379" customFormat="1" ht="18" customHeight="1" thickBot="1">
      <c r="A3" s="694" t="s">
        <v>146</v>
      </c>
      <c r="B3" s="695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"/>
      <c r="N3" s="4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8"/>
      <c r="BL3" s="378"/>
      <c r="BM3" s="378"/>
      <c r="BN3" s="378"/>
      <c r="BO3" s="378"/>
      <c r="BP3" s="378"/>
      <c r="BQ3" s="378"/>
      <c r="BR3" s="378"/>
      <c r="BS3" s="378"/>
      <c r="BT3" s="378"/>
      <c r="BU3" s="378"/>
      <c r="BV3" s="378"/>
      <c r="BW3" s="378"/>
      <c r="BX3" s="259"/>
    </row>
    <row r="4" spans="1:76" ht="71.25" customHeight="1" thickBot="1">
      <c r="A4" s="393"/>
      <c r="B4" s="4354" t="s">
        <v>66</v>
      </c>
      <c r="C4" s="4355" t="s">
        <v>62</v>
      </c>
      <c r="D4" s="4016" t="s">
        <v>63</v>
      </c>
      <c r="E4" s="2407" t="s">
        <v>240</v>
      </c>
      <c r="F4" s="4385" t="s">
        <v>572</v>
      </c>
      <c r="G4" s="3786" t="s">
        <v>540</v>
      </c>
      <c r="H4" s="3787"/>
      <c r="I4" s="3787"/>
      <c r="J4" s="3787"/>
      <c r="K4" s="3788"/>
      <c r="L4" s="3938">
        <v>2024</v>
      </c>
      <c r="M4" s="4020" t="s">
        <v>552</v>
      </c>
      <c r="N4" s="4018" t="s">
        <v>64</v>
      </c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59"/>
      <c r="BQ4" s="259"/>
      <c r="BR4" s="259"/>
      <c r="BS4" s="259"/>
      <c r="BT4" s="259"/>
      <c r="BU4" s="259"/>
      <c r="BV4" s="259"/>
      <c r="BW4" s="259"/>
      <c r="BX4" s="259"/>
    </row>
    <row r="5" spans="1:76" ht="18" customHeight="1" thickBot="1">
      <c r="A5" s="394"/>
      <c r="B5" s="4354"/>
      <c r="C5" s="4356"/>
      <c r="D5" s="4357"/>
      <c r="E5" s="2444" t="s">
        <v>538</v>
      </c>
      <c r="F5" s="4386"/>
      <c r="G5" s="2408" t="s">
        <v>193</v>
      </c>
      <c r="H5" s="2408" t="s">
        <v>194</v>
      </c>
      <c r="I5" s="2408" t="s">
        <v>234</v>
      </c>
      <c r="J5" s="2408" t="s">
        <v>235</v>
      </c>
      <c r="K5" s="2408" t="s">
        <v>233</v>
      </c>
      <c r="L5" s="4368"/>
      <c r="M5" s="4021"/>
      <c r="N5" s="401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  <c r="BQ5" s="259"/>
      <c r="BR5" s="259"/>
      <c r="BS5" s="259"/>
      <c r="BT5" s="259"/>
      <c r="BU5" s="259"/>
      <c r="BV5" s="259"/>
      <c r="BW5" s="259"/>
      <c r="BX5" s="259"/>
    </row>
    <row r="6" spans="1:76" ht="14.25" customHeight="1">
      <c r="A6" s="738">
        <v>1</v>
      </c>
      <c r="B6" s="739">
        <v>2</v>
      </c>
      <c r="C6" s="740" t="s">
        <v>108</v>
      </c>
      <c r="D6" s="740" t="s">
        <v>109</v>
      </c>
      <c r="E6" s="1114">
        <v>5</v>
      </c>
      <c r="F6" s="1114">
        <v>6</v>
      </c>
      <c r="G6" s="1114">
        <v>7</v>
      </c>
      <c r="H6" s="1114">
        <v>8</v>
      </c>
      <c r="I6" s="1114">
        <v>9</v>
      </c>
      <c r="J6" s="1114">
        <v>10</v>
      </c>
      <c r="K6" s="1114">
        <v>11</v>
      </c>
      <c r="L6" s="1114"/>
      <c r="M6" s="1218">
        <v>12</v>
      </c>
      <c r="N6" s="742">
        <v>13</v>
      </c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</row>
    <row r="7" spans="1:76" ht="14.25" customHeight="1">
      <c r="A7" s="512"/>
      <c r="B7" s="2129" t="s">
        <v>67</v>
      </c>
      <c r="C7" s="2404"/>
      <c r="D7" s="2130">
        <f>+D9+D8</f>
        <v>132571593</v>
      </c>
      <c r="E7" s="2130">
        <f t="shared" ref="E7:K7" si="0">+E9+E8</f>
        <v>5733391</v>
      </c>
      <c r="F7" s="2130">
        <f t="shared" si="0"/>
        <v>9474213</v>
      </c>
      <c r="G7" s="2130">
        <f t="shared" si="0"/>
        <v>25698927</v>
      </c>
      <c r="H7" s="2130">
        <f t="shared" si="0"/>
        <v>39473450</v>
      </c>
      <c r="I7" s="2130">
        <f>+I9+I8</f>
        <v>50719367</v>
      </c>
      <c r="J7" s="2130">
        <f t="shared" si="0"/>
        <v>1472245</v>
      </c>
      <c r="K7" s="2130">
        <f t="shared" si="0"/>
        <v>0</v>
      </c>
      <c r="L7" s="2130">
        <f>+L9+L8</f>
        <v>0</v>
      </c>
      <c r="M7" s="123">
        <f>+M9+M8</f>
        <v>117363989</v>
      </c>
      <c r="N7" s="395"/>
      <c r="O7" s="259"/>
      <c r="P7" s="152">
        <f>M7-M13</f>
        <v>0</v>
      </c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</row>
    <row r="8" spans="1:76" ht="14.25" customHeight="1">
      <c r="A8" s="512"/>
      <c r="B8" s="2131" t="s">
        <v>68</v>
      </c>
      <c r="C8" s="2405"/>
      <c r="D8" s="183">
        <f>D35+D160+D71</f>
        <v>13331341</v>
      </c>
      <c r="E8" s="183">
        <f t="shared" ref="E8:K8" si="1">E35+E160+E71</f>
        <v>4099273</v>
      </c>
      <c r="F8" s="183">
        <f t="shared" si="1"/>
        <v>6100265</v>
      </c>
      <c r="G8" s="183">
        <f t="shared" si="1"/>
        <v>2774270</v>
      </c>
      <c r="H8" s="183">
        <f t="shared" si="1"/>
        <v>356812</v>
      </c>
      <c r="I8" s="183">
        <f>I35+I160+I71</f>
        <v>721</v>
      </c>
      <c r="J8" s="183">
        <f t="shared" si="1"/>
        <v>0</v>
      </c>
      <c r="K8" s="183">
        <f t="shared" si="1"/>
        <v>0</v>
      </c>
      <c r="L8" s="183">
        <f>L35+L160+L71</f>
        <v>0</v>
      </c>
      <c r="M8" s="1414">
        <f>M35+M160+M71</f>
        <v>3131803</v>
      </c>
      <c r="N8" s="395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  <c r="BT8" s="259"/>
      <c r="BU8" s="259"/>
      <c r="BV8" s="259"/>
      <c r="BW8" s="259"/>
      <c r="BX8" s="259"/>
    </row>
    <row r="9" spans="1:76" ht="14.25" customHeight="1" thickBot="1">
      <c r="A9" s="512"/>
      <c r="B9" s="2132" t="s">
        <v>8</v>
      </c>
      <c r="C9" s="2133"/>
      <c r="D9" s="191">
        <f>+D26+D48+D59+D84+D110+D122+D134+D146+D172+D96</f>
        <v>119240252</v>
      </c>
      <c r="E9" s="191">
        <f t="shared" ref="E9:M9" si="2">+E26+E48+E59+E84+E110+E122+E134+E146+E172+E96</f>
        <v>1634118</v>
      </c>
      <c r="F9" s="191">
        <f t="shared" si="2"/>
        <v>3373948</v>
      </c>
      <c r="G9" s="191">
        <f t="shared" si="2"/>
        <v>22924657</v>
      </c>
      <c r="H9" s="191">
        <f t="shared" si="2"/>
        <v>39116638</v>
      </c>
      <c r="I9" s="191">
        <f t="shared" si="2"/>
        <v>50718646</v>
      </c>
      <c r="J9" s="191">
        <f t="shared" si="2"/>
        <v>1472245</v>
      </c>
      <c r="K9" s="191">
        <f t="shared" si="2"/>
        <v>0</v>
      </c>
      <c r="L9" s="191">
        <f>+L26+L48+L59+L84+L110+L122+L134+L146+L172+L96</f>
        <v>0</v>
      </c>
      <c r="M9" s="125">
        <f t="shared" si="2"/>
        <v>114232186</v>
      </c>
      <c r="N9" s="395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59"/>
      <c r="BV9" s="259"/>
      <c r="BW9" s="259"/>
      <c r="BX9" s="259"/>
    </row>
    <row r="10" spans="1:76" s="415" customFormat="1" ht="12">
      <c r="A10" s="512"/>
      <c r="B10" s="1054" t="s">
        <v>9</v>
      </c>
      <c r="C10" s="1054"/>
      <c r="D10" s="1053">
        <f>+D11+D15</f>
        <v>246723272</v>
      </c>
      <c r="E10" s="1053">
        <f t="shared" ref="E10" si="3">+E11+E15</f>
        <v>6337500</v>
      </c>
      <c r="F10" s="1053">
        <f t="shared" ref="F10:K10" si="4">+F11+F15</f>
        <v>10203795</v>
      </c>
      <c r="G10" s="1053">
        <f t="shared" si="4"/>
        <v>75189806</v>
      </c>
      <c r="H10" s="1053">
        <f t="shared" si="4"/>
        <v>95203974</v>
      </c>
      <c r="I10" s="1053">
        <f t="shared" si="4"/>
        <v>56031401</v>
      </c>
      <c r="J10" s="1053">
        <f t="shared" si="4"/>
        <v>3756796</v>
      </c>
      <c r="K10" s="1053">
        <f t="shared" si="4"/>
        <v>0</v>
      </c>
      <c r="L10" s="1053">
        <f>+L11+L15</f>
        <v>0</v>
      </c>
      <c r="M10" s="305">
        <f>+M11</f>
        <v>117363989</v>
      </c>
      <c r="N10" s="4358"/>
      <c r="O10" s="259"/>
      <c r="P10" s="152"/>
      <c r="Q10" s="152">
        <f>+D24+D45+D57+D69+D81+D107</f>
        <v>223277688</v>
      </c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259"/>
      <c r="BR10" s="259"/>
      <c r="BS10" s="259"/>
      <c r="BT10" s="259"/>
      <c r="BU10" s="259"/>
      <c r="BV10" s="259"/>
      <c r="BW10" s="259"/>
      <c r="BX10" s="259"/>
    </row>
    <row r="11" spans="1:76" s="415" customFormat="1" ht="14.1" customHeight="1">
      <c r="A11" s="512"/>
      <c r="B11" s="2134" t="s">
        <v>10</v>
      </c>
      <c r="C11" s="4360" t="s">
        <v>52</v>
      </c>
      <c r="D11" s="2135">
        <f>+D12+D13+D14</f>
        <v>133434253</v>
      </c>
      <c r="E11" s="2135">
        <f t="shared" ref="E11:K11" si="5">+E12+E13+E14</f>
        <v>5787950</v>
      </c>
      <c r="F11" s="2135">
        <f>+F12+F13+F14</f>
        <v>9659349</v>
      </c>
      <c r="G11" s="2135">
        <f t="shared" si="5"/>
        <v>26321892</v>
      </c>
      <c r="H11" s="2135">
        <f t="shared" si="5"/>
        <v>39473450</v>
      </c>
      <c r="I11" s="2135">
        <f t="shared" si="5"/>
        <v>50719367</v>
      </c>
      <c r="J11" s="2135">
        <f t="shared" si="5"/>
        <v>1472245</v>
      </c>
      <c r="K11" s="2135">
        <f t="shared" si="5"/>
        <v>0</v>
      </c>
      <c r="L11" s="2135">
        <f>+L12+L13+L14</f>
        <v>0</v>
      </c>
      <c r="M11" s="2136">
        <f>+M13</f>
        <v>117363989</v>
      </c>
      <c r="N11" s="4358"/>
      <c r="O11" s="259"/>
      <c r="P11" s="152"/>
      <c r="Q11" s="152">
        <f>+Q10-D10</f>
        <v>-23445584</v>
      </c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  <c r="BH11" s="259"/>
      <c r="BI11" s="259"/>
      <c r="BJ11" s="259"/>
      <c r="BK11" s="259"/>
      <c r="BL11" s="259"/>
      <c r="BM11" s="259"/>
      <c r="BN11" s="259"/>
      <c r="BO11" s="259"/>
      <c r="BP11" s="259"/>
      <c r="BQ11" s="259"/>
      <c r="BR11" s="259"/>
      <c r="BS11" s="259"/>
      <c r="BT11" s="259"/>
      <c r="BU11" s="259"/>
      <c r="BV11" s="259"/>
      <c r="BW11" s="259"/>
      <c r="BX11" s="259"/>
    </row>
    <row r="12" spans="1:76" s="415" customFormat="1" ht="12">
      <c r="A12" s="512"/>
      <c r="B12" s="2137" t="s">
        <v>30</v>
      </c>
      <c r="C12" s="4360"/>
      <c r="D12" s="2138">
        <f>D145+D159+D171+D121+D109+D95+D72+D83+D36</f>
        <v>130077</v>
      </c>
      <c r="E12" s="2138">
        <f t="shared" ref="E12:K12" si="6">E145+E159+E171+E121+E109+E95+E72+E83+E36</f>
        <v>50209</v>
      </c>
      <c r="F12" s="2138">
        <f t="shared" si="6"/>
        <v>39868</v>
      </c>
      <c r="G12" s="2138">
        <f t="shared" si="6"/>
        <v>40000</v>
      </c>
      <c r="H12" s="2138">
        <f t="shared" si="6"/>
        <v>0</v>
      </c>
      <c r="I12" s="2138">
        <f t="shared" si="6"/>
        <v>0</v>
      </c>
      <c r="J12" s="2138">
        <f t="shared" si="6"/>
        <v>0</v>
      </c>
      <c r="K12" s="2138">
        <f t="shared" si="6"/>
        <v>0</v>
      </c>
      <c r="L12" s="2138">
        <f>L145+L159+L171+L121+L109+L95</f>
        <v>0</v>
      </c>
      <c r="M12" s="2139" t="s">
        <v>52</v>
      </c>
      <c r="N12" s="4358"/>
      <c r="O12" s="259"/>
      <c r="P12" s="152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</row>
    <row r="13" spans="1:76" s="415" customFormat="1" ht="12">
      <c r="A13" s="512"/>
      <c r="B13" s="2137" t="s">
        <v>147</v>
      </c>
      <c r="C13" s="4360"/>
      <c r="D13" s="2138">
        <f>+D26+D48+D59+D71+D110+D84+D122+D134+D35+D146+D160+D172+D96</f>
        <v>132571593</v>
      </c>
      <c r="E13" s="2138">
        <f t="shared" ref="E13:K13" si="7">+E26+E48+E59+E71+E110+E84+E122+E134+E35+E146+E160+E172+E96</f>
        <v>5733391</v>
      </c>
      <c r="F13" s="2138">
        <f>+F26+F48+F59+F71+F110+F84+F122+F134+F35+F146+F160+F172+F96</f>
        <v>9474213</v>
      </c>
      <c r="G13" s="2138">
        <f>+G26+G48+G59+G71+G110+G84+G122+G134+G35+G146+G160+G172+G96</f>
        <v>25698927</v>
      </c>
      <c r="H13" s="2138">
        <f t="shared" si="7"/>
        <v>39473450</v>
      </c>
      <c r="I13" s="2138">
        <f>+I26+I48+I59+I71+I110+I84+I122+I134+I35+I146+I160+I172+I96</f>
        <v>50719367</v>
      </c>
      <c r="J13" s="2138">
        <f t="shared" si="7"/>
        <v>1472245</v>
      </c>
      <c r="K13" s="2138">
        <f t="shared" si="7"/>
        <v>0</v>
      </c>
      <c r="L13" s="2138">
        <f>+L26+L48+L59+L71+L110+L84+L122+L134+L35+L146+L160+L172+L96</f>
        <v>0</v>
      </c>
      <c r="M13" s="396">
        <f>SUM(G13:K13)</f>
        <v>117363989</v>
      </c>
      <c r="N13" s="4358"/>
      <c r="O13" s="259"/>
      <c r="P13" s="152"/>
      <c r="Q13" s="152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</row>
    <row r="14" spans="1:76" s="415" customFormat="1" ht="12">
      <c r="A14" s="512"/>
      <c r="B14" s="2087" t="s">
        <v>393</v>
      </c>
      <c r="C14" s="4361"/>
      <c r="D14" s="2088">
        <f>D147+D97</f>
        <v>732583</v>
      </c>
      <c r="E14" s="2088">
        <f t="shared" ref="E14:K14" si="8">E147+E97</f>
        <v>4350</v>
      </c>
      <c r="F14" s="2088">
        <f t="shared" si="8"/>
        <v>145268</v>
      </c>
      <c r="G14" s="2088">
        <f t="shared" si="8"/>
        <v>582965</v>
      </c>
      <c r="H14" s="2088">
        <f t="shared" si="8"/>
        <v>0</v>
      </c>
      <c r="I14" s="2088">
        <f t="shared" si="8"/>
        <v>0</v>
      </c>
      <c r="J14" s="2088">
        <f t="shared" si="8"/>
        <v>0</v>
      </c>
      <c r="K14" s="2088">
        <f t="shared" si="8"/>
        <v>0</v>
      </c>
      <c r="L14" s="2088">
        <f>L147+L97</f>
        <v>0</v>
      </c>
      <c r="M14" s="1258"/>
      <c r="N14" s="4358"/>
      <c r="O14" s="259"/>
      <c r="P14" s="152"/>
      <c r="Q14" s="152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</row>
    <row r="15" spans="1:76" s="415" customFormat="1" ht="12">
      <c r="A15" s="512"/>
      <c r="B15" s="2134" t="s">
        <v>17</v>
      </c>
      <c r="C15" s="4360"/>
      <c r="D15" s="2135">
        <f>+D16</f>
        <v>113289019</v>
      </c>
      <c r="E15" s="2135">
        <f t="shared" ref="E15:K15" si="9">+E16</f>
        <v>549550</v>
      </c>
      <c r="F15" s="2135">
        <f t="shared" si="9"/>
        <v>544446</v>
      </c>
      <c r="G15" s="2135">
        <f t="shared" si="9"/>
        <v>48867914</v>
      </c>
      <c r="H15" s="2135">
        <f t="shared" si="9"/>
        <v>55730524</v>
      </c>
      <c r="I15" s="2135">
        <f t="shared" si="9"/>
        <v>5312034</v>
      </c>
      <c r="J15" s="2135">
        <f t="shared" si="9"/>
        <v>2284551</v>
      </c>
      <c r="K15" s="2135">
        <f t="shared" si="9"/>
        <v>0</v>
      </c>
      <c r="L15" s="2135">
        <f>+L16</f>
        <v>0</v>
      </c>
      <c r="M15" s="2140" t="str">
        <f>+M16</f>
        <v>x</v>
      </c>
      <c r="N15" s="4358"/>
      <c r="O15" s="259"/>
      <c r="P15" s="152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</row>
    <row r="16" spans="1:76" s="415" customFormat="1" ht="12">
      <c r="A16" s="512"/>
      <c r="B16" s="2141" t="s">
        <v>33</v>
      </c>
      <c r="C16" s="4360"/>
      <c r="D16" s="2138">
        <f t="shared" ref="D16:K16" si="10">D28+D50+D62+D86+D112+D74+D124+D149+D162+D174</f>
        <v>113289019</v>
      </c>
      <c r="E16" s="2138">
        <f t="shared" si="10"/>
        <v>549550</v>
      </c>
      <c r="F16" s="2138">
        <f t="shared" si="10"/>
        <v>544446</v>
      </c>
      <c r="G16" s="2138">
        <f t="shared" si="10"/>
        <v>48867914</v>
      </c>
      <c r="H16" s="2138">
        <f t="shared" si="10"/>
        <v>55730524</v>
      </c>
      <c r="I16" s="2138">
        <f t="shared" si="10"/>
        <v>5312034</v>
      </c>
      <c r="J16" s="2138">
        <f t="shared" si="10"/>
        <v>2284551</v>
      </c>
      <c r="K16" s="2138">
        <f t="shared" si="10"/>
        <v>0</v>
      </c>
      <c r="L16" s="2138">
        <f>L28+L50+L62+L86+L112+L74+L124+L149+L162+L174</f>
        <v>0</v>
      </c>
      <c r="M16" s="2142" t="s">
        <v>52</v>
      </c>
      <c r="N16" s="4358"/>
      <c r="O16" s="259"/>
      <c r="P16" s="152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</row>
    <row r="17" spans="1:76" s="415" customFormat="1" ht="12">
      <c r="A17" s="512"/>
      <c r="B17" s="373" t="s">
        <v>20</v>
      </c>
      <c r="C17" s="373"/>
      <c r="D17" s="397">
        <f>+D18+D21</f>
        <v>154821468</v>
      </c>
      <c r="E17" s="397">
        <f t="shared" ref="E17" si="11">+E18+E21</f>
        <v>1014826</v>
      </c>
      <c r="F17" s="397">
        <f t="shared" ref="F17:K17" si="12">+F18+F21</f>
        <v>4413927</v>
      </c>
      <c r="G17" s="397">
        <f t="shared" si="12"/>
        <v>51920897</v>
      </c>
      <c r="H17" s="397">
        <f t="shared" si="12"/>
        <v>77936529</v>
      </c>
      <c r="I17" s="397">
        <f t="shared" si="12"/>
        <v>15600009</v>
      </c>
      <c r="J17" s="397">
        <f t="shared" si="12"/>
        <v>3935280</v>
      </c>
      <c r="K17" s="397">
        <f t="shared" si="12"/>
        <v>0</v>
      </c>
      <c r="L17" s="397">
        <f>+L18+L21</f>
        <v>0</v>
      </c>
      <c r="M17" s="4365" t="s">
        <v>52</v>
      </c>
      <c r="N17" s="4358"/>
      <c r="O17" s="259"/>
      <c r="P17" s="152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59"/>
      <c r="BX17" s="259"/>
    </row>
    <row r="18" spans="1:76" s="415" customFormat="1" ht="12">
      <c r="A18" s="512"/>
      <c r="B18" s="2134" t="s">
        <v>22</v>
      </c>
      <c r="C18" s="4362" t="s">
        <v>52</v>
      </c>
      <c r="D18" s="2135">
        <f>+D19+D20</f>
        <v>41532449</v>
      </c>
      <c r="E18" s="2135">
        <f t="shared" ref="E18:K18" si="13">+E19+E20</f>
        <v>489926</v>
      </c>
      <c r="F18" s="2135">
        <f t="shared" si="13"/>
        <v>4047004</v>
      </c>
      <c r="G18" s="2135">
        <f t="shared" si="13"/>
        <v>11462188</v>
      </c>
      <c r="H18" s="2135">
        <f t="shared" si="13"/>
        <v>13594627</v>
      </c>
      <c r="I18" s="2135">
        <f t="shared" si="13"/>
        <v>10287975</v>
      </c>
      <c r="J18" s="2135">
        <f t="shared" si="13"/>
        <v>1650729</v>
      </c>
      <c r="K18" s="2135">
        <f t="shared" si="13"/>
        <v>0</v>
      </c>
      <c r="L18" s="2135">
        <f>+L19+L20</f>
        <v>0</v>
      </c>
      <c r="M18" s="4366"/>
      <c r="N18" s="4358"/>
      <c r="O18" s="259"/>
      <c r="P18" s="152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59"/>
      <c r="BX18" s="259"/>
    </row>
    <row r="19" spans="1:76" s="415" customFormat="1" ht="12">
      <c r="A19" s="512"/>
      <c r="B19" s="2141" t="s">
        <v>136</v>
      </c>
      <c r="C19" s="4363"/>
      <c r="D19" s="2138">
        <f>+D65+D115+D53+D77+D89+D31+D41+D152+D165+D177</f>
        <v>40799866</v>
      </c>
      <c r="E19" s="2138">
        <f t="shared" ref="E19:J19" si="14">+E65+E115+E53+E77+E89+E31+E41+E152+E165+E177</f>
        <v>489926</v>
      </c>
      <c r="F19" s="2138">
        <f t="shared" si="14"/>
        <v>3910725</v>
      </c>
      <c r="G19" s="2138">
        <f t="shared" si="14"/>
        <v>10865884</v>
      </c>
      <c r="H19" s="2138">
        <f t="shared" si="14"/>
        <v>13594627</v>
      </c>
      <c r="I19" s="2138">
        <f t="shared" si="14"/>
        <v>10287975</v>
      </c>
      <c r="J19" s="2138">
        <f t="shared" si="14"/>
        <v>1650729</v>
      </c>
      <c r="K19" s="2138">
        <f t="shared" ref="K19" si="15">+K65+K115+K53+K77+K89+K31+K41+K152+K165+K177</f>
        <v>0</v>
      </c>
      <c r="L19" s="2138">
        <f>+L65+L115+L53+L77+L89+L31+L41+L152+L165+L177</f>
        <v>0</v>
      </c>
      <c r="M19" s="4366"/>
      <c r="N19" s="4358"/>
      <c r="O19" s="259"/>
      <c r="P19" s="152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</row>
    <row r="20" spans="1:76" s="415" customFormat="1" ht="12">
      <c r="A20" s="512"/>
      <c r="B20" s="2143" t="s">
        <v>393</v>
      </c>
      <c r="C20" s="4363"/>
      <c r="D20" s="398">
        <f>D153+D103</f>
        <v>732583</v>
      </c>
      <c r="E20" s="398">
        <f t="shared" ref="E20:K20" si="16">E153+E103</f>
        <v>0</v>
      </c>
      <c r="F20" s="398">
        <f t="shared" si="16"/>
        <v>136279</v>
      </c>
      <c r="G20" s="398">
        <f t="shared" si="16"/>
        <v>596304</v>
      </c>
      <c r="H20" s="398">
        <f t="shared" si="16"/>
        <v>0</v>
      </c>
      <c r="I20" s="398">
        <f t="shared" si="16"/>
        <v>0</v>
      </c>
      <c r="J20" s="398">
        <f t="shared" si="16"/>
        <v>0</v>
      </c>
      <c r="K20" s="398">
        <f t="shared" si="16"/>
        <v>0</v>
      </c>
      <c r="L20" s="398">
        <f>L153+L103</f>
        <v>0</v>
      </c>
      <c r="M20" s="4366"/>
      <c r="N20" s="4358"/>
      <c r="O20" s="259"/>
      <c r="P20" s="152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</row>
    <row r="21" spans="1:76" s="415" customFormat="1" ht="12">
      <c r="A21" s="512"/>
      <c r="B21" s="2144" t="s">
        <v>17</v>
      </c>
      <c r="C21" s="4363"/>
      <c r="D21" s="2145">
        <f>+D22</f>
        <v>113289019</v>
      </c>
      <c r="E21" s="2145">
        <f t="shared" ref="E21:K21" si="17">+E22</f>
        <v>524900</v>
      </c>
      <c r="F21" s="2145">
        <f t="shared" si="17"/>
        <v>366923</v>
      </c>
      <c r="G21" s="2145">
        <f t="shared" si="17"/>
        <v>40458709</v>
      </c>
      <c r="H21" s="2145">
        <f t="shared" si="17"/>
        <v>64341902</v>
      </c>
      <c r="I21" s="2145">
        <f t="shared" si="17"/>
        <v>5312034</v>
      </c>
      <c r="J21" s="2145">
        <f t="shared" si="17"/>
        <v>2284551</v>
      </c>
      <c r="K21" s="2145">
        <f t="shared" si="17"/>
        <v>0</v>
      </c>
      <c r="L21" s="2145">
        <f>+L22</f>
        <v>0</v>
      </c>
      <c r="M21" s="4366"/>
      <c r="N21" s="4358"/>
      <c r="O21" s="259"/>
      <c r="P21" s="152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</row>
    <row r="22" spans="1:76" s="415" customFormat="1" ht="14.1" customHeight="1" thickBot="1">
      <c r="A22" s="513"/>
      <c r="B22" s="2146" t="s">
        <v>33</v>
      </c>
      <c r="C22" s="4364"/>
      <c r="D22" s="1055">
        <f t="shared" ref="D22:K22" si="18">+D55+D67+D117+D91+D79+D129+D155+D167+D179</f>
        <v>113289019</v>
      </c>
      <c r="E22" s="1055">
        <f t="shared" si="18"/>
        <v>524900</v>
      </c>
      <c r="F22" s="1055">
        <f t="shared" si="18"/>
        <v>366923</v>
      </c>
      <c r="G22" s="1055">
        <f t="shared" si="18"/>
        <v>40458709</v>
      </c>
      <c r="H22" s="1055">
        <f t="shared" si="18"/>
        <v>64341902</v>
      </c>
      <c r="I22" s="1055">
        <f t="shared" si="18"/>
        <v>5312034</v>
      </c>
      <c r="J22" s="1055">
        <f t="shared" si="18"/>
        <v>2284551</v>
      </c>
      <c r="K22" s="1055">
        <f t="shared" si="18"/>
        <v>0</v>
      </c>
      <c r="L22" s="1055">
        <f>+L55+L67+L117+L91+L79+L129+L155+L167+L179</f>
        <v>0</v>
      </c>
      <c r="M22" s="4367"/>
      <c r="N22" s="4359"/>
      <c r="O22" s="259"/>
      <c r="P22" s="152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</row>
    <row r="23" spans="1:76" s="259" customFormat="1" ht="23.25" customHeight="1">
      <c r="A23" s="4340" t="s">
        <v>54</v>
      </c>
      <c r="B23" s="1056" t="s">
        <v>480</v>
      </c>
      <c r="C23" s="3501" t="s">
        <v>72</v>
      </c>
      <c r="D23" s="3502"/>
      <c r="E23" s="321"/>
      <c r="F23" s="321"/>
      <c r="G23" s="321"/>
      <c r="H23" s="321"/>
      <c r="I23" s="321"/>
      <c r="J23" s="321"/>
      <c r="K23" s="1108"/>
      <c r="L23" s="321"/>
      <c r="M23" s="399"/>
      <c r="N23" s="4328" t="s">
        <v>304</v>
      </c>
    </row>
    <row r="24" spans="1:76" s="259" customFormat="1" ht="12">
      <c r="A24" s="4154"/>
      <c r="B24" s="373" t="s">
        <v>9</v>
      </c>
      <c r="C24" s="1256"/>
      <c r="D24" s="1140">
        <f t="shared" ref="D24" si="19">+D25+D27</f>
        <v>1805000</v>
      </c>
      <c r="E24" s="397">
        <f t="shared" ref="E24:M24" si="20">+E25</f>
        <v>242386</v>
      </c>
      <c r="F24" s="397">
        <f t="shared" si="20"/>
        <v>0</v>
      </c>
      <c r="G24" s="397">
        <f t="shared" si="20"/>
        <v>0</v>
      </c>
      <c r="H24" s="397">
        <f t="shared" si="20"/>
        <v>1562614</v>
      </c>
      <c r="I24" s="397"/>
      <c r="J24" s="397"/>
      <c r="K24" s="397"/>
      <c r="L24" s="397">
        <f>+L25</f>
        <v>0</v>
      </c>
      <c r="M24" s="400">
        <f t="shared" si="20"/>
        <v>1562614</v>
      </c>
      <c r="N24" s="4312"/>
    </row>
    <row r="25" spans="1:76" s="259" customFormat="1" ht="12">
      <c r="A25" s="4154"/>
      <c r="B25" s="2082" t="s">
        <v>22</v>
      </c>
      <c r="C25" s="4344" t="s">
        <v>303</v>
      </c>
      <c r="D25" s="1135">
        <f>D26</f>
        <v>1805000</v>
      </c>
      <c r="E25" s="371">
        <f t="shared" ref="E25:H25" si="21">E26</f>
        <v>242386</v>
      </c>
      <c r="F25" s="371">
        <f t="shared" si="21"/>
        <v>0</v>
      </c>
      <c r="G25" s="371">
        <f t="shared" si="21"/>
        <v>0</v>
      </c>
      <c r="H25" s="371">
        <f t="shared" si="21"/>
        <v>1562614</v>
      </c>
      <c r="I25" s="371"/>
      <c r="J25" s="371"/>
      <c r="K25" s="371"/>
      <c r="L25" s="371">
        <f>L26</f>
        <v>0</v>
      </c>
      <c r="M25" s="401">
        <f>+M26</f>
        <v>1562614</v>
      </c>
      <c r="N25" s="4312"/>
    </row>
    <row r="26" spans="1:76" s="259" customFormat="1" ht="12.75" customHeight="1">
      <c r="A26" s="4154"/>
      <c r="B26" s="2147" t="s">
        <v>111</v>
      </c>
      <c r="C26" s="4345"/>
      <c r="D26" s="1155">
        <f>E26+L26+F26+G26+H26+I26+J26+K26</f>
        <v>1805000</v>
      </c>
      <c r="E26" s="368">
        <f>355000-112614</f>
        <v>242386</v>
      </c>
      <c r="F26" s="368">
        <f>1450000+112614-1562614</f>
        <v>0</v>
      </c>
      <c r="G26" s="368">
        <v>0</v>
      </c>
      <c r="H26" s="368">
        <v>1562614</v>
      </c>
      <c r="I26" s="368"/>
      <c r="J26" s="368"/>
      <c r="K26" s="368"/>
      <c r="L26" s="368">
        <v>0</v>
      </c>
      <c r="M26" s="396">
        <f>SUM(G26:K26)</f>
        <v>1562614</v>
      </c>
      <c r="N26" s="4312"/>
    </row>
    <row r="27" spans="1:76" s="259" customFormat="1" ht="12.75" hidden="1" customHeight="1">
      <c r="A27" s="4154"/>
      <c r="B27" s="403" t="s">
        <v>17</v>
      </c>
      <c r="C27" s="4345"/>
      <c r="D27" s="3500">
        <f>+D28</f>
        <v>0</v>
      </c>
      <c r="E27" s="404"/>
      <c r="F27" s="404"/>
      <c r="G27" s="404"/>
      <c r="H27" s="404"/>
      <c r="I27" s="404"/>
      <c r="J27" s="404"/>
      <c r="K27" s="404"/>
      <c r="L27" s="404"/>
      <c r="M27" s="1057" t="s">
        <v>52</v>
      </c>
      <c r="N27" s="4312"/>
    </row>
    <row r="28" spans="1:76" s="259" customFormat="1" ht="13.5" hidden="1" customHeight="1">
      <c r="A28" s="4154"/>
      <c r="B28" s="2083" t="s">
        <v>33</v>
      </c>
      <c r="C28" s="4345"/>
      <c r="D28" s="1155">
        <f>E28+L28+F28+G28+H28+I28+J28+K28</f>
        <v>0</v>
      </c>
      <c r="E28" s="368"/>
      <c r="F28" s="368"/>
      <c r="G28" s="368"/>
      <c r="H28" s="368"/>
      <c r="I28" s="368"/>
      <c r="J28" s="368"/>
      <c r="K28" s="368"/>
      <c r="L28" s="368"/>
      <c r="M28" s="411" t="s">
        <v>52</v>
      </c>
      <c r="N28" s="4312"/>
    </row>
    <row r="29" spans="1:76" s="405" customFormat="1" ht="12">
      <c r="A29" s="4154"/>
      <c r="B29" s="1054" t="s">
        <v>20</v>
      </c>
      <c r="C29" s="4345"/>
      <c r="D29" s="1384">
        <f>D30</f>
        <v>23142</v>
      </c>
      <c r="E29" s="3002">
        <f>E30</f>
        <v>0</v>
      </c>
      <c r="F29" s="1058">
        <f>F30</f>
        <v>0</v>
      </c>
      <c r="G29" s="1058"/>
      <c r="H29" s="1058">
        <f>H30</f>
        <v>23142</v>
      </c>
      <c r="I29" s="1058"/>
      <c r="J29" s="1058"/>
      <c r="K29" s="1058"/>
      <c r="L29" s="1058"/>
      <c r="M29" s="4341"/>
      <c r="N29" s="4312"/>
    </row>
    <row r="30" spans="1:76" s="259" customFormat="1" ht="12.75">
      <c r="A30" s="4154"/>
      <c r="B30" s="1260" t="s">
        <v>22</v>
      </c>
      <c r="C30" s="4345"/>
      <c r="D30" s="1159">
        <f>+D31</f>
        <v>23142</v>
      </c>
      <c r="E30" s="3003">
        <f>+E31</f>
        <v>0</v>
      </c>
      <c r="F30" s="371">
        <f>F31</f>
        <v>0</v>
      </c>
      <c r="G30" s="2536"/>
      <c r="H30" s="371">
        <f>H31</f>
        <v>23142</v>
      </c>
      <c r="I30" s="2536"/>
      <c r="J30" s="2536"/>
      <c r="K30" s="2536"/>
      <c r="L30" s="2536"/>
      <c r="M30" s="4342"/>
      <c r="N30" s="4312"/>
    </row>
    <row r="31" spans="1:76" s="259" customFormat="1" ht="13.5" thickBot="1">
      <c r="A31" s="4155"/>
      <c r="B31" s="1261" t="s">
        <v>136</v>
      </c>
      <c r="C31" s="4346"/>
      <c r="D31" s="1410">
        <f>E31+L31+F31+G31+H31+I31+J31+K31</f>
        <v>23142</v>
      </c>
      <c r="E31" s="492">
        <v>0</v>
      </c>
      <c r="F31" s="402">
        <f>55657-55657</f>
        <v>0</v>
      </c>
      <c r="G31" s="2537"/>
      <c r="H31" s="2537">
        <v>23142</v>
      </c>
      <c r="I31" s="2537"/>
      <c r="J31" s="2537"/>
      <c r="K31" s="2537"/>
      <c r="L31" s="2537"/>
      <c r="M31" s="4343"/>
      <c r="N31" s="4338"/>
    </row>
    <row r="32" spans="1:76" s="259" customFormat="1" ht="27" customHeight="1">
      <c r="A32" s="4340" t="s">
        <v>55</v>
      </c>
      <c r="B32" s="3421" t="s">
        <v>516</v>
      </c>
      <c r="C32" s="2108" t="s">
        <v>99</v>
      </c>
      <c r="D32" s="3502"/>
      <c r="E32" s="321"/>
      <c r="F32" s="321"/>
      <c r="G32" s="321"/>
      <c r="H32" s="321"/>
      <c r="I32" s="321"/>
      <c r="J32" s="321"/>
      <c r="K32" s="1108"/>
      <c r="L32" s="321"/>
      <c r="M32" s="414"/>
      <c r="N32" s="4328" t="s">
        <v>304</v>
      </c>
    </row>
    <row r="33" spans="1:14" s="259" customFormat="1" ht="12.75" customHeight="1">
      <c r="A33" s="4154"/>
      <c r="B33" s="1256" t="s">
        <v>9</v>
      </c>
      <c r="C33" s="1256"/>
      <c r="D33" s="1174">
        <f>+D34+D37</f>
        <v>11794665</v>
      </c>
      <c r="E33" s="1174">
        <f t="shared" ref="E33:M33" si="22">+E34</f>
        <v>4099273</v>
      </c>
      <c r="F33" s="1174">
        <f t="shared" si="22"/>
        <v>5935439</v>
      </c>
      <c r="G33" s="1174">
        <f t="shared" si="22"/>
        <v>1759953</v>
      </c>
      <c r="H33" s="1174"/>
      <c r="I33" s="1174"/>
      <c r="J33" s="1174"/>
      <c r="K33" s="1174"/>
      <c r="L33" s="1174">
        <f>+L34</f>
        <v>0</v>
      </c>
      <c r="M33" s="1257">
        <f t="shared" si="22"/>
        <v>1759953</v>
      </c>
      <c r="N33" s="4312"/>
    </row>
    <row r="34" spans="1:14" s="259" customFormat="1" ht="12.75" customHeight="1">
      <c r="A34" s="4154"/>
      <c r="B34" s="2082" t="s">
        <v>22</v>
      </c>
      <c r="C34" s="4349" t="s">
        <v>303</v>
      </c>
      <c r="D34" s="1159">
        <f>D35+D36</f>
        <v>11794665</v>
      </c>
      <c r="E34" s="1159">
        <f t="shared" ref="E34:G34" si="23">E35+E36</f>
        <v>4099273</v>
      </c>
      <c r="F34" s="1159">
        <f t="shared" si="23"/>
        <v>5935439</v>
      </c>
      <c r="G34" s="1159">
        <f t="shared" si="23"/>
        <v>1759953</v>
      </c>
      <c r="H34" s="1159"/>
      <c r="I34" s="1159"/>
      <c r="J34" s="1159"/>
      <c r="K34" s="1159"/>
      <c r="L34" s="1159">
        <f>L35</f>
        <v>0</v>
      </c>
      <c r="M34" s="1131">
        <f>+M35</f>
        <v>1759953</v>
      </c>
      <c r="N34" s="4312"/>
    </row>
    <row r="35" spans="1:14" s="259" customFormat="1" ht="12.75" customHeight="1">
      <c r="A35" s="4154"/>
      <c r="B35" s="2147" t="s">
        <v>111</v>
      </c>
      <c r="C35" s="4350"/>
      <c r="D35" s="1160">
        <f>E35+L35+F35+G35+H35+I35+J35+K35</f>
        <v>11765000</v>
      </c>
      <c r="E35" s="1142">
        <f>4813876-714603</f>
        <v>4099273</v>
      </c>
      <c r="F35" s="1142">
        <f>3451124+714603+3500000-1215886-544067</f>
        <v>5905774</v>
      </c>
      <c r="G35" s="1142">
        <f>1215886+544067</f>
        <v>1759953</v>
      </c>
      <c r="H35" s="1142"/>
      <c r="I35" s="1142"/>
      <c r="J35" s="1142"/>
      <c r="K35" s="1142"/>
      <c r="L35" s="1142"/>
      <c r="M35" s="1258">
        <f>SUM(G35:K35)</f>
        <v>1759953</v>
      </c>
      <c r="N35" s="4312"/>
    </row>
    <row r="36" spans="1:14" s="259" customFormat="1" ht="12.75" customHeight="1">
      <c r="A36" s="4154"/>
      <c r="B36" s="3358" t="s">
        <v>30</v>
      </c>
      <c r="C36" s="4350"/>
      <c r="D36" s="1160">
        <f t="shared" ref="D36:D38" si="24">E36+L36+F36+G36+H36+I36+J36+K36</f>
        <v>29665</v>
      </c>
      <c r="E36" s="1626"/>
      <c r="F36" s="1626">
        <v>29665</v>
      </c>
      <c r="G36" s="1626"/>
      <c r="H36" s="1626"/>
      <c r="I36" s="1626"/>
      <c r="J36" s="1626"/>
      <c r="K36" s="1626"/>
      <c r="L36" s="1626"/>
      <c r="M36" s="1258"/>
      <c r="N36" s="4312"/>
    </row>
    <row r="37" spans="1:14" s="259" customFormat="1" ht="12" hidden="1" customHeight="1">
      <c r="A37" s="4154"/>
      <c r="B37" s="403" t="s">
        <v>17</v>
      </c>
      <c r="C37" s="4350"/>
      <c r="D37" s="1160">
        <f t="shared" si="24"/>
        <v>0</v>
      </c>
      <c r="E37" s="404"/>
      <c r="F37" s="404"/>
      <c r="G37" s="404"/>
      <c r="H37" s="404"/>
      <c r="I37" s="404"/>
      <c r="J37" s="404"/>
      <c r="K37" s="404"/>
      <c r="L37" s="404"/>
      <c r="M37" s="2279" t="s">
        <v>52</v>
      </c>
      <c r="N37" s="4312"/>
    </row>
    <row r="38" spans="1:14" s="259" customFormat="1" ht="12" hidden="1" customHeight="1">
      <c r="A38" s="4154"/>
      <c r="B38" s="2083" t="s">
        <v>33</v>
      </c>
      <c r="C38" s="4350"/>
      <c r="D38" s="1160">
        <f t="shared" si="24"/>
        <v>0</v>
      </c>
      <c r="E38" s="1142"/>
      <c r="F38" s="1142"/>
      <c r="G38" s="1142"/>
      <c r="H38" s="1142"/>
      <c r="I38" s="1142"/>
      <c r="J38" s="1142"/>
      <c r="K38" s="1142"/>
      <c r="L38" s="1142"/>
      <c r="M38" s="2280" t="s">
        <v>52</v>
      </c>
      <c r="N38" s="4312"/>
    </row>
    <row r="39" spans="1:14" s="259" customFormat="1" ht="12.75" customHeight="1">
      <c r="A39" s="4154"/>
      <c r="B39" s="1054" t="s">
        <v>20</v>
      </c>
      <c r="C39" s="4350"/>
      <c r="D39" s="1174">
        <f>D40</f>
        <v>3923454</v>
      </c>
      <c r="E39" s="1058">
        <f t="shared" ref="E39:G40" si="25">E40</f>
        <v>272966</v>
      </c>
      <c r="F39" s="1058">
        <f t="shared" si="25"/>
        <v>3627421</v>
      </c>
      <c r="G39" s="1058">
        <f t="shared" si="25"/>
        <v>23067</v>
      </c>
      <c r="H39" s="1058"/>
      <c r="I39" s="1058"/>
      <c r="J39" s="1058"/>
      <c r="K39" s="1058"/>
      <c r="L39" s="1058">
        <f>L40</f>
        <v>0</v>
      </c>
      <c r="M39" s="4369"/>
      <c r="N39" s="4312"/>
    </row>
    <row r="40" spans="1:14" s="259" customFormat="1" ht="12.75">
      <c r="A40" s="4154"/>
      <c r="B40" s="1260" t="s">
        <v>22</v>
      </c>
      <c r="C40" s="4350"/>
      <c r="D40" s="1159">
        <f>+D41</f>
        <v>3923454</v>
      </c>
      <c r="E40" s="2538">
        <f t="shared" si="25"/>
        <v>272966</v>
      </c>
      <c r="F40" s="1159">
        <f t="shared" si="25"/>
        <v>3627421</v>
      </c>
      <c r="G40" s="1159">
        <f t="shared" si="25"/>
        <v>23067</v>
      </c>
      <c r="H40" s="2512"/>
      <c r="I40" s="2512"/>
      <c r="J40" s="2512"/>
      <c r="K40" s="2512"/>
      <c r="L40" s="2538">
        <f>L41</f>
        <v>0</v>
      </c>
      <c r="M40" s="4342"/>
      <c r="N40" s="4312"/>
    </row>
    <row r="41" spans="1:14" s="259" customFormat="1" ht="12.75">
      <c r="A41" s="4154"/>
      <c r="B41" s="1631" t="s">
        <v>515</v>
      </c>
      <c r="C41" s="4350"/>
      <c r="D41" s="2062">
        <f>E41+L41+F41+G41+H41+I41+J41+K41</f>
        <v>3923454</v>
      </c>
      <c r="E41" s="2539">
        <f>E42+E43</f>
        <v>272966</v>
      </c>
      <c r="F41" s="2539">
        <f t="shared" ref="F41:G41" si="26">F42+F43</f>
        <v>3627421</v>
      </c>
      <c r="G41" s="2539">
        <f t="shared" si="26"/>
        <v>23067</v>
      </c>
      <c r="H41" s="2512"/>
      <c r="I41" s="2512"/>
      <c r="J41" s="2512"/>
      <c r="K41" s="2512"/>
      <c r="L41" s="2539">
        <f>L42+L43</f>
        <v>0</v>
      </c>
      <c r="M41" s="4370"/>
      <c r="N41" s="4347"/>
    </row>
    <row r="42" spans="1:14" s="259" customFormat="1" ht="12.75">
      <c r="A42" s="4154"/>
      <c r="B42" s="3361" t="s">
        <v>513</v>
      </c>
      <c r="C42" s="4350"/>
      <c r="D42" s="3503">
        <f>E42+L42+F42+G42+H42+I42+J42+K42</f>
        <v>216732</v>
      </c>
      <c r="E42" s="2540">
        <v>106202</v>
      </c>
      <c r="F42" s="3362">
        <f>113550-18007-8080</f>
        <v>87463</v>
      </c>
      <c r="G42" s="3362">
        <f>18007+5060</f>
        <v>23067</v>
      </c>
      <c r="H42" s="2512"/>
      <c r="I42" s="2512"/>
      <c r="J42" s="2512"/>
      <c r="K42" s="2512"/>
      <c r="L42" s="2540"/>
      <c r="M42" s="2278"/>
      <c r="N42" s="2541"/>
    </row>
    <row r="43" spans="1:14" s="259" customFormat="1" ht="12.75">
      <c r="A43" s="4348"/>
      <c r="B43" s="3361" t="s">
        <v>514</v>
      </c>
      <c r="C43" s="4351"/>
      <c r="D43" s="3504">
        <f>E43+L43+F43+G43+H43+I43+J43+K43</f>
        <v>3706722</v>
      </c>
      <c r="E43" s="2540">
        <v>166764</v>
      </c>
      <c r="F43" s="3362">
        <v>3539958</v>
      </c>
      <c r="G43" s="3362">
        <v>0</v>
      </c>
      <c r="H43" s="2512"/>
      <c r="I43" s="2512"/>
      <c r="J43" s="2512"/>
      <c r="K43" s="2512"/>
      <c r="L43" s="2540"/>
      <c r="M43" s="3422"/>
      <c r="N43" s="3050"/>
    </row>
    <row r="44" spans="1:14" s="259" customFormat="1" ht="26.25" customHeight="1">
      <c r="A44" s="4154" t="s">
        <v>56</v>
      </c>
      <c r="B44" s="2175" t="s">
        <v>391</v>
      </c>
      <c r="C44" s="2112" t="s">
        <v>72</v>
      </c>
      <c r="D44" s="2292"/>
      <c r="E44" s="1609"/>
      <c r="F44" s="1609"/>
      <c r="G44" s="1609"/>
      <c r="H44" s="1609"/>
      <c r="I44" s="1609"/>
      <c r="J44" s="1609"/>
      <c r="K44" s="2293"/>
      <c r="L44" s="1609"/>
      <c r="M44" s="399"/>
      <c r="N44" s="4312" t="s">
        <v>392</v>
      </c>
    </row>
    <row r="45" spans="1:14" s="259" customFormat="1" ht="11.25" customHeight="1">
      <c r="A45" s="4154"/>
      <c r="B45" s="3363" t="s">
        <v>9</v>
      </c>
      <c r="C45" s="3364"/>
      <c r="D45" s="3365">
        <f>+D46+D49</f>
        <v>86880466</v>
      </c>
      <c r="E45" s="3365">
        <f t="shared" ref="E45" si="27">+E46+E49</f>
        <v>1271005</v>
      </c>
      <c r="F45" s="3365">
        <f t="shared" ref="F45" si="28">+F46+F49</f>
        <v>2755619</v>
      </c>
      <c r="G45" s="3365">
        <f>+G46+G49</f>
        <v>37270905</v>
      </c>
      <c r="H45" s="3365">
        <f>+H46+H49</f>
        <v>32951312</v>
      </c>
      <c r="I45" s="3365">
        <f t="shared" ref="I45:J45" si="29">+I46+I49</f>
        <v>8874829</v>
      </c>
      <c r="J45" s="3365">
        <f t="shared" si="29"/>
        <v>3756796</v>
      </c>
      <c r="K45" s="3365"/>
      <c r="L45" s="3365">
        <f>+L46+L49</f>
        <v>0</v>
      </c>
      <c r="M45" s="3366">
        <f>+M46</f>
        <v>23641542</v>
      </c>
      <c r="N45" s="4312"/>
    </row>
    <row r="46" spans="1:14" s="259" customFormat="1" ht="12" customHeight="1">
      <c r="A46" s="4154"/>
      <c r="B46" s="3367" t="s">
        <v>22</v>
      </c>
      <c r="C46" s="4150" t="s">
        <v>598</v>
      </c>
      <c r="D46" s="1619">
        <f>D48+D47</f>
        <v>27668166</v>
      </c>
      <c r="E46" s="1619">
        <f t="shared" ref="E46" si="30">E48+E47</f>
        <v>1271005</v>
      </c>
      <c r="F46" s="1619">
        <f t="shared" ref="F46:J46" si="31">F48+F47</f>
        <v>2755619</v>
      </c>
      <c r="G46" s="1619">
        <f t="shared" si="31"/>
        <v>9605905</v>
      </c>
      <c r="H46" s="1619">
        <f t="shared" si="31"/>
        <v>8996512</v>
      </c>
      <c r="I46" s="1619">
        <f t="shared" si="31"/>
        <v>3566880</v>
      </c>
      <c r="J46" s="1619">
        <f t="shared" si="31"/>
        <v>1472245</v>
      </c>
      <c r="K46" s="1619"/>
      <c r="L46" s="1619">
        <f>L48+L47</f>
        <v>0</v>
      </c>
      <c r="M46" s="3368">
        <f>+M48</f>
        <v>23641542</v>
      </c>
      <c r="N46" s="4312"/>
    </row>
    <row r="47" spans="1:14" s="259" customFormat="1" ht="12" hidden="1" customHeight="1">
      <c r="A47" s="4154"/>
      <c r="B47" s="3369" t="s">
        <v>30</v>
      </c>
      <c r="C47" s="4151"/>
      <c r="D47" s="698">
        <f>E47+L47+F47+G47+H47+I47+J47+K47</f>
        <v>0</v>
      </c>
      <c r="E47" s="3370"/>
      <c r="F47" s="3371">
        <v>0</v>
      </c>
      <c r="G47" s="3371">
        <v>0</v>
      </c>
      <c r="H47" s="3371">
        <v>0</v>
      </c>
      <c r="I47" s="1620"/>
      <c r="J47" s="1620"/>
      <c r="K47" s="1620"/>
      <c r="L47" s="3371">
        <v>0</v>
      </c>
      <c r="M47" s="407" t="s">
        <v>52</v>
      </c>
      <c r="N47" s="4312"/>
    </row>
    <row r="48" spans="1:14" s="259" customFormat="1" ht="12">
      <c r="A48" s="4154"/>
      <c r="B48" s="3372" t="s">
        <v>111</v>
      </c>
      <c r="C48" s="4151"/>
      <c r="D48" s="698">
        <f>E48+L48+F48+G48+H48+I48+J48+K48</f>
        <v>27668166</v>
      </c>
      <c r="E48" s="3370">
        <f>353841+917164</f>
        <v>1271005</v>
      </c>
      <c r="F48" s="3373">
        <f>3030000+2076931-2351312</f>
        <v>2755619</v>
      </c>
      <c r="G48" s="3373">
        <f>9600000+5905</f>
        <v>9605905</v>
      </c>
      <c r="H48" s="3373">
        <f>5657500+3339012</f>
        <v>8996512</v>
      </c>
      <c r="I48" s="3373">
        <v>3566880</v>
      </c>
      <c r="J48" s="3373">
        <f>1467579+4666</f>
        <v>1472245</v>
      </c>
      <c r="K48" s="3373"/>
      <c r="L48" s="3373"/>
      <c r="M48" s="396">
        <f>SUM(G48:K48)</f>
        <v>23641542</v>
      </c>
      <c r="N48" s="4312"/>
    </row>
    <row r="49" spans="1:76" s="308" customFormat="1" ht="12">
      <c r="A49" s="4154"/>
      <c r="B49" s="3374" t="s">
        <v>17</v>
      </c>
      <c r="C49" s="4151"/>
      <c r="D49" s="3375">
        <f>+D50</f>
        <v>59212300</v>
      </c>
      <c r="E49" s="3375">
        <f t="shared" ref="E49:M49" si="32">+E50</f>
        <v>0</v>
      </c>
      <c r="F49" s="3375">
        <f t="shared" si="32"/>
        <v>0</v>
      </c>
      <c r="G49" s="3375">
        <f t="shared" si="32"/>
        <v>27665000</v>
      </c>
      <c r="H49" s="3375">
        <f t="shared" si="32"/>
        <v>23954800</v>
      </c>
      <c r="I49" s="3375">
        <f t="shared" si="32"/>
        <v>5307949</v>
      </c>
      <c r="J49" s="3375">
        <f t="shared" si="32"/>
        <v>2284551</v>
      </c>
      <c r="K49" s="1621"/>
      <c r="L49" s="3375">
        <f>+L50</f>
        <v>0</v>
      </c>
      <c r="M49" s="1622" t="str">
        <f t="shared" si="32"/>
        <v>x</v>
      </c>
      <c r="N49" s="4312"/>
    </row>
    <row r="50" spans="1:76" s="308" customFormat="1" ht="12">
      <c r="A50" s="4154"/>
      <c r="B50" s="3372" t="s">
        <v>33</v>
      </c>
      <c r="C50" s="4389"/>
      <c r="D50" s="698">
        <f>E50+L50+F50+G50+H50+I50+J50+K50</f>
        <v>59212300</v>
      </c>
      <c r="E50" s="3370">
        <v>0</v>
      </c>
      <c r="F50" s="1095">
        <f>9265000-7265000-2000000</f>
        <v>0</v>
      </c>
      <c r="G50" s="1095">
        <f>20400000+7265000</f>
        <v>27665000</v>
      </c>
      <c r="H50" s="1095">
        <f>11942500+12012300</f>
        <v>23954800</v>
      </c>
      <c r="I50" s="1623">
        <f>8500000-3192051</f>
        <v>5307949</v>
      </c>
      <c r="J50" s="1623">
        <f>10092500-7807949</f>
        <v>2284551</v>
      </c>
      <c r="K50" s="1623"/>
      <c r="L50" s="1095">
        <v>0</v>
      </c>
      <c r="M50" s="1624" t="s">
        <v>52</v>
      </c>
      <c r="N50" s="4312"/>
    </row>
    <row r="51" spans="1:76" s="408" customFormat="1" ht="12">
      <c r="A51" s="4154"/>
      <c r="B51" s="3363" t="s">
        <v>20</v>
      </c>
      <c r="C51" s="3376"/>
      <c r="D51" s="3377">
        <f>D54+D52</f>
        <v>75013029</v>
      </c>
      <c r="E51" s="3377">
        <f t="shared" ref="E51" si="33">E54+E52</f>
        <v>97440</v>
      </c>
      <c r="F51" s="3377">
        <f t="shared" ref="F51" si="34">F54+F52</f>
        <v>210434</v>
      </c>
      <c r="G51" s="3377">
        <f>G54+G52</f>
        <v>35507126</v>
      </c>
      <c r="H51" s="3377">
        <f>H54+H52</f>
        <v>27954800</v>
      </c>
      <c r="I51" s="3377">
        <f t="shared" ref="I51:J51" si="35">I54+I52</f>
        <v>7307949</v>
      </c>
      <c r="J51" s="3377">
        <f t="shared" si="35"/>
        <v>3935280</v>
      </c>
      <c r="K51" s="3377"/>
      <c r="L51" s="3377">
        <f>L54+L52</f>
        <v>0</v>
      </c>
      <c r="M51" s="4339" t="s">
        <v>52</v>
      </c>
      <c r="N51" s="4312"/>
    </row>
    <row r="52" spans="1:76" s="408" customFormat="1" ht="12">
      <c r="A52" s="4154"/>
      <c r="B52" s="3378" t="s">
        <v>22</v>
      </c>
      <c r="C52" s="4150" t="s">
        <v>599</v>
      </c>
      <c r="D52" s="1094">
        <f>+D53</f>
        <v>15800729</v>
      </c>
      <c r="E52" s="1094">
        <f t="shared" ref="E52:J52" si="36">+E53</f>
        <v>97440</v>
      </c>
      <c r="F52" s="1094">
        <f t="shared" si="36"/>
        <v>210434</v>
      </c>
      <c r="G52" s="1094">
        <f t="shared" si="36"/>
        <v>7842126</v>
      </c>
      <c r="H52" s="1094">
        <f t="shared" si="36"/>
        <v>4000000</v>
      </c>
      <c r="I52" s="1094">
        <f t="shared" si="36"/>
        <v>2000000</v>
      </c>
      <c r="J52" s="1094">
        <f t="shared" si="36"/>
        <v>1650729</v>
      </c>
      <c r="K52" s="1094"/>
      <c r="L52" s="1094">
        <f>+L53</f>
        <v>0</v>
      </c>
      <c r="M52" s="4317"/>
      <c r="N52" s="4312"/>
    </row>
    <row r="53" spans="1:76" s="408" customFormat="1" ht="12.75" customHeight="1">
      <c r="A53" s="4154"/>
      <c r="B53" s="3372" t="s">
        <v>136</v>
      </c>
      <c r="C53" s="4151"/>
      <c r="D53" s="698">
        <f>E53+L53+F53+G53+H53+I53+J53+K53</f>
        <v>15800729</v>
      </c>
      <c r="E53" s="3373">
        <f>350000-252560</f>
        <v>97440</v>
      </c>
      <c r="F53" s="3373">
        <f>1800000+252560-1571324-270802</f>
        <v>210434</v>
      </c>
      <c r="G53" s="3373">
        <f>6000000+1571324+270802</f>
        <v>7842126</v>
      </c>
      <c r="H53" s="3373">
        <v>4000000</v>
      </c>
      <c r="I53" s="3373">
        <v>2000000</v>
      </c>
      <c r="J53" s="3373">
        <v>1650729</v>
      </c>
      <c r="K53" s="3373"/>
      <c r="L53" s="3373"/>
      <c r="M53" s="4317"/>
      <c r="N53" s="4312"/>
      <c r="P53" s="409">
        <v>10989251</v>
      </c>
    </row>
    <row r="54" spans="1:76" s="308" customFormat="1" ht="13.5" customHeight="1">
      <c r="A54" s="4154"/>
      <c r="B54" s="3374" t="s">
        <v>17</v>
      </c>
      <c r="C54" s="4151"/>
      <c r="D54" s="3375">
        <f>+D55</f>
        <v>59212300</v>
      </c>
      <c r="E54" s="3375">
        <f t="shared" ref="E54:J54" si="37">+E55</f>
        <v>0</v>
      </c>
      <c r="F54" s="3375">
        <f t="shared" si="37"/>
        <v>0</v>
      </c>
      <c r="G54" s="3375">
        <f t="shared" si="37"/>
        <v>27665000</v>
      </c>
      <c r="H54" s="3375">
        <f t="shared" si="37"/>
        <v>23954800</v>
      </c>
      <c r="I54" s="3375">
        <f t="shared" si="37"/>
        <v>5307949</v>
      </c>
      <c r="J54" s="3375">
        <f t="shared" si="37"/>
        <v>2284551</v>
      </c>
      <c r="K54" s="3375"/>
      <c r="L54" s="3375">
        <f>+L55</f>
        <v>0</v>
      </c>
      <c r="M54" s="4317"/>
      <c r="N54" s="4312"/>
    </row>
    <row r="55" spans="1:76" s="308" customFormat="1" ht="13.5" customHeight="1" thickBot="1">
      <c r="A55" s="4155"/>
      <c r="B55" s="3379" t="s">
        <v>33</v>
      </c>
      <c r="C55" s="4152"/>
      <c r="D55" s="1506">
        <f>E55+L55+F55+G55+H55+I55+J55+K55</f>
        <v>59212300</v>
      </c>
      <c r="E55" s="402">
        <v>0</v>
      </c>
      <c r="F55" s="410">
        <f>9265000-7265000-2000000</f>
        <v>0</v>
      </c>
      <c r="G55" s="410">
        <f>20400000+7265000</f>
        <v>27665000</v>
      </c>
      <c r="H55" s="410">
        <f>11942500+12012300</f>
        <v>23954800</v>
      </c>
      <c r="I55" s="410">
        <f>8500000-3192051</f>
        <v>5307949</v>
      </c>
      <c r="J55" s="410">
        <f>10092500-7807949</f>
        <v>2284551</v>
      </c>
      <c r="K55" s="410"/>
      <c r="L55" s="410">
        <v>0</v>
      </c>
      <c r="M55" s="4318"/>
      <c r="N55" s="4313"/>
    </row>
    <row r="56" spans="1:76" s="259" customFormat="1" ht="27" customHeight="1">
      <c r="A56" s="4340" t="s">
        <v>57</v>
      </c>
      <c r="B56" s="406" t="s">
        <v>420</v>
      </c>
      <c r="C56" s="2108" t="s">
        <v>72</v>
      </c>
      <c r="D56" s="2111"/>
      <c r="E56" s="321"/>
      <c r="F56" s="321"/>
      <c r="G56" s="321"/>
      <c r="H56" s="321"/>
      <c r="I56" s="321"/>
      <c r="J56" s="321"/>
      <c r="K56" s="1108"/>
      <c r="L56" s="321"/>
      <c r="M56" s="3380"/>
      <c r="N56" s="4328" t="s">
        <v>505</v>
      </c>
      <c r="BX56" s="405"/>
    </row>
    <row r="57" spans="1:76" s="259" customFormat="1" ht="14.25" customHeight="1">
      <c r="A57" s="4154"/>
      <c r="B57" s="373" t="s">
        <v>9</v>
      </c>
      <c r="C57" s="3381"/>
      <c r="D57" s="397">
        <f>D58+D61</f>
        <v>106707947</v>
      </c>
      <c r="E57" s="3382">
        <v>0</v>
      </c>
      <c r="F57" s="397">
        <f t="shared" ref="F57:I57" si="38">+F58+F61</f>
        <v>283864</v>
      </c>
      <c r="G57" s="397">
        <f t="shared" si="38"/>
        <v>15778920</v>
      </c>
      <c r="H57" s="397">
        <f t="shared" si="38"/>
        <v>43493397</v>
      </c>
      <c r="I57" s="397">
        <f t="shared" si="38"/>
        <v>47151766</v>
      </c>
      <c r="J57" s="397"/>
      <c r="K57" s="397"/>
      <c r="L57" s="397">
        <f>+L58+L61</f>
        <v>0</v>
      </c>
      <c r="M57" s="400">
        <f>+M58</f>
        <v>63117083</v>
      </c>
      <c r="N57" s="4312"/>
    </row>
    <row r="58" spans="1:76" s="259" customFormat="1" ht="14.25" customHeight="1">
      <c r="A58" s="4154"/>
      <c r="B58" s="3359" t="s">
        <v>22</v>
      </c>
      <c r="C58" s="3873" t="s">
        <v>151</v>
      </c>
      <c r="D58" s="371">
        <f>D59+D60</f>
        <v>63400947</v>
      </c>
      <c r="E58" s="3383">
        <v>0</v>
      </c>
      <c r="F58" s="371">
        <f t="shared" ref="F58" si="39">F59+F60</f>
        <v>283864</v>
      </c>
      <c r="G58" s="371">
        <f>G59+G60</f>
        <v>2282450</v>
      </c>
      <c r="H58" s="371">
        <f>H59+H60</f>
        <v>13682867</v>
      </c>
      <c r="I58" s="371">
        <f>I59+I60</f>
        <v>47151766</v>
      </c>
      <c r="J58" s="371"/>
      <c r="K58" s="371"/>
      <c r="L58" s="371">
        <f>L59+L60</f>
        <v>0</v>
      </c>
      <c r="M58" s="401">
        <f>+M59</f>
        <v>63117083</v>
      </c>
      <c r="N58" s="4312"/>
    </row>
    <row r="59" spans="1:76" s="259" customFormat="1" ht="14.25" customHeight="1">
      <c r="A59" s="4154"/>
      <c r="B59" s="3360" t="s">
        <v>111</v>
      </c>
      <c r="C59" s="4352"/>
      <c r="D59" s="370">
        <f>E59+L59+F59+G59+H59+I59+J59+K59</f>
        <v>63400947</v>
      </c>
      <c r="E59" s="3384"/>
      <c r="F59" s="368">
        <f>720400-436536</f>
        <v>283864</v>
      </c>
      <c r="G59" s="368">
        <f>41610400-39327950</f>
        <v>2282450</v>
      </c>
      <c r="H59" s="368">
        <f>7780807+5902060</f>
        <v>13682867</v>
      </c>
      <c r="I59" s="368">
        <f>13289340+33862426</f>
        <v>47151766</v>
      </c>
      <c r="J59" s="368"/>
      <c r="K59" s="368"/>
      <c r="L59" s="368">
        <v>0</v>
      </c>
      <c r="M59" s="396">
        <f>SUM(G59:K59)</f>
        <v>63117083</v>
      </c>
      <c r="N59" s="4312"/>
    </row>
    <row r="60" spans="1:76" s="259" customFormat="1" ht="14.25" hidden="1" customHeight="1">
      <c r="A60" s="4154"/>
      <c r="B60" s="1625" t="s">
        <v>30</v>
      </c>
      <c r="C60" s="4373" t="s">
        <v>21</v>
      </c>
      <c r="D60" s="370">
        <f>E60+L60+F60+G60+H60+I60+J60+K60</f>
        <v>0</v>
      </c>
      <c r="E60" s="3384"/>
      <c r="F60" s="1626">
        <v>0</v>
      </c>
      <c r="G60" s="1626">
        <v>0</v>
      </c>
      <c r="H60" s="1626">
        <v>0</v>
      </c>
      <c r="I60" s="1626"/>
      <c r="J60" s="1626"/>
      <c r="K60" s="1626"/>
      <c r="L60" s="1626"/>
      <c r="M60" s="3385" t="s">
        <v>52</v>
      </c>
      <c r="N60" s="4312"/>
    </row>
    <row r="61" spans="1:76" s="259" customFormat="1" ht="14.25" customHeight="1">
      <c r="A61" s="4154"/>
      <c r="B61" s="3386" t="s">
        <v>17</v>
      </c>
      <c r="C61" s="4353"/>
      <c r="D61" s="404">
        <f>D62</f>
        <v>43307000</v>
      </c>
      <c r="E61" s="3387">
        <v>0</v>
      </c>
      <c r="F61" s="404">
        <f t="shared" ref="F61:M61" si="40">+F62</f>
        <v>0</v>
      </c>
      <c r="G61" s="404">
        <f t="shared" si="40"/>
        <v>13496470</v>
      </c>
      <c r="H61" s="404">
        <f t="shared" si="40"/>
        <v>29810530</v>
      </c>
      <c r="I61" s="404">
        <f t="shared" si="40"/>
        <v>0</v>
      </c>
      <c r="J61" s="404"/>
      <c r="K61" s="404"/>
      <c r="L61" s="404">
        <f>+L62</f>
        <v>0</v>
      </c>
      <c r="M61" s="407" t="str">
        <f t="shared" si="40"/>
        <v>x</v>
      </c>
      <c r="N61" s="4312"/>
    </row>
    <row r="62" spans="1:76" s="259" customFormat="1" ht="14.25" customHeight="1">
      <c r="A62" s="4154"/>
      <c r="B62" s="1625" t="s">
        <v>33</v>
      </c>
      <c r="C62" s="4315"/>
      <c r="D62" s="370">
        <f>E62+L62+F62+G62+H62+I62+J62+K62</f>
        <v>43307000</v>
      </c>
      <c r="E62" s="3384"/>
      <c r="F62" s="368">
        <v>0</v>
      </c>
      <c r="G62" s="368">
        <v>13496470</v>
      </c>
      <c r="H62" s="368">
        <f>33829593-4019063</f>
        <v>29810530</v>
      </c>
      <c r="I62" s="368">
        <f>7840407-7840407</f>
        <v>0</v>
      </c>
      <c r="J62" s="368"/>
      <c r="K62" s="368"/>
      <c r="L62" s="368">
        <v>0</v>
      </c>
      <c r="M62" s="411" t="s">
        <v>52</v>
      </c>
      <c r="N62" s="4312"/>
    </row>
    <row r="63" spans="1:76" s="405" customFormat="1" ht="14.25" customHeight="1">
      <c r="A63" s="4154"/>
      <c r="B63" s="373" t="s">
        <v>20</v>
      </c>
      <c r="C63" s="3381"/>
      <c r="D63" s="397">
        <f>D64+D66</f>
        <v>62055485</v>
      </c>
      <c r="E63" s="3382">
        <v>0</v>
      </c>
      <c r="F63" s="397">
        <f>F66+F64</f>
        <v>42076</v>
      </c>
      <c r="G63" s="397">
        <f>G66+G64</f>
        <v>6847838</v>
      </c>
      <c r="H63" s="397">
        <f>H66+H64</f>
        <v>46877596</v>
      </c>
      <c r="I63" s="397">
        <f>I66+I64</f>
        <v>8287975</v>
      </c>
      <c r="J63" s="397"/>
      <c r="K63" s="397"/>
      <c r="L63" s="397">
        <f>L66+L64</f>
        <v>0</v>
      </c>
      <c r="M63" s="4375" t="s">
        <v>52</v>
      </c>
      <c r="N63" s="4312"/>
    </row>
    <row r="64" spans="1:76" s="405" customFormat="1" ht="14.25" customHeight="1">
      <c r="A64" s="4154"/>
      <c r="B64" s="3359" t="s">
        <v>22</v>
      </c>
      <c r="C64" s="4371" t="s">
        <v>151</v>
      </c>
      <c r="D64" s="412">
        <f>D65</f>
        <v>18748485</v>
      </c>
      <c r="E64" s="3388">
        <v>0</v>
      </c>
      <c r="F64" s="412">
        <f t="shared" ref="F64:I64" si="41">+F65</f>
        <v>42076</v>
      </c>
      <c r="G64" s="412">
        <f t="shared" si="41"/>
        <v>1364934</v>
      </c>
      <c r="H64" s="412">
        <f t="shared" si="41"/>
        <v>9053500</v>
      </c>
      <c r="I64" s="412">
        <f t="shared" si="41"/>
        <v>8287975</v>
      </c>
      <c r="J64" s="412"/>
      <c r="K64" s="412"/>
      <c r="L64" s="412">
        <f>+L65</f>
        <v>0</v>
      </c>
      <c r="M64" s="4376"/>
      <c r="N64" s="4312"/>
    </row>
    <row r="65" spans="1:76" s="405" customFormat="1" ht="14.25" customHeight="1">
      <c r="A65" s="4154"/>
      <c r="B65" s="1625" t="s">
        <v>136</v>
      </c>
      <c r="C65" s="4372"/>
      <c r="D65" s="370">
        <f>E65+L65+F65+G65+H65+I65+J65+K65</f>
        <v>18748485</v>
      </c>
      <c r="E65" s="3384"/>
      <c r="F65" s="368">
        <f>125279-83203</f>
        <v>42076</v>
      </c>
      <c r="G65" s="368">
        <f>7236150-5871216</f>
        <v>1364934</v>
      </c>
      <c r="H65" s="368">
        <f>7236150+1817350</f>
        <v>9053500</v>
      </c>
      <c r="I65" s="368">
        <f>3675073+4612902</f>
        <v>8287975</v>
      </c>
      <c r="J65" s="368"/>
      <c r="K65" s="368"/>
      <c r="L65" s="368">
        <v>0</v>
      </c>
      <c r="M65" s="4376"/>
      <c r="N65" s="4312"/>
      <c r="P65" s="413">
        <v>-13525758</v>
      </c>
    </row>
    <row r="66" spans="1:76" s="259" customFormat="1" ht="14.25" customHeight="1">
      <c r="A66" s="4154"/>
      <c r="B66" s="3386" t="s">
        <v>17</v>
      </c>
      <c r="C66" s="4373" t="s">
        <v>21</v>
      </c>
      <c r="D66" s="371">
        <f>D67</f>
        <v>43307000</v>
      </c>
      <c r="E66" s="3383">
        <v>0</v>
      </c>
      <c r="F66" s="371">
        <f t="shared" ref="F66:I66" si="42">+F67</f>
        <v>0</v>
      </c>
      <c r="G66" s="371">
        <f t="shared" si="42"/>
        <v>5482904</v>
      </c>
      <c r="H66" s="371">
        <f t="shared" si="42"/>
        <v>37824096</v>
      </c>
      <c r="I66" s="371">
        <f t="shared" si="42"/>
        <v>0</v>
      </c>
      <c r="J66" s="371"/>
      <c r="K66" s="371"/>
      <c r="L66" s="371">
        <f>+L67</f>
        <v>0</v>
      </c>
      <c r="M66" s="4376"/>
      <c r="N66" s="4312"/>
    </row>
    <row r="67" spans="1:76" s="259" customFormat="1" ht="14.25" customHeight="1" thickBot="1">
      <c r="A67" s="4155"/>
      <c r="B67" s="3379" t="s">
        <v>33</v>
      </c>
      <c r="C67" s="4337"/>
      <c r="D67" s="410">
        <f>E67+L67+F67+G67+H67+I67+J67+K67</f>
        <v>43307000</v>
      </c>
      <c r="E67" s="492"/>
      <c r="F67" s="402">
        <v>0</v>
      </c>
      <c r="G67" s="402">
        <v>5482904</v>
      </c>
      <c r="H67" s="402">
        <f>33829593+3994503</f>
        <v>37824096</v>
      </c>
      <c r="I67" s="402">
        <f>7840407-7840407</f>
        <v>0</v>
      </c>
      <c r="J67" s="402"/>
      <c r="K67" s="402"/>
      <c r="L67" s="402">
        <v>0</v>
      </c>
      <c r="M67" s="4377"/>
      <c r="N67" s="4313"/>
    </row>
    <row r="68" spans="1:76" s="259" customFormat="1" ht="27.75" customHeight="1">
      <c r="A68" s="4340" t="s">
        <v>58</v>
      </c>
      <c r="B68" s="406" t="s">
        <v>518</v>
      </c>
      <c r="C68" s="2108" t="s">
        <v>99</v>
      </c>
      <c r="D68" s="2111"/>
      <c r="E68" s="321"/>
      <c r="F68" s="321"/>
      <c r="G68" s="321"/>
      <c r="H68" s="321"/>
      <c r="I68" s="321"/>
      <c r="J68" s="321"/>
      <c r="K68" s="1108"/>
      <c r="L68" s="321"/>
      <c r="M68" s="414"/>
      <c r="N68" s="4328" t="s">
        <v>150</v>
      </c>
      <c r="BX68" s="405"/>
    </row>
    <row r="69" spans="1:76" s="259" customFormat="1" ht="13.5" customHeight="1">
      <c r="A69" s="4154"/>
      <c r="B69" s="373" t="s">
        <v>9</v>
      </c>
      <c r="C69" s="3381"/>
      <c r="D69" s="397">
        <f>D70+D73</f>
        <v>622043</v>
      </c>
      <c r="E69" s="397">
        <f t="shared" ref="E69:I69" si="43">+E70+E73</f>
        <v>116</v>
      </c>
      <c r="F69" s="397">
        <f t="shared" si="43"/>
        <v>144525</v>
      </c>
      <c r="G69" s="397">
        <f t="shared" si="43"/>
        <v>233401</v>
      </c>
      <c r="H69" s="397">
        <f t="shared" si="43"/>
        <v>239195</v>
      </c>
      <c r="I69" s="397">
        <f t="shared" si="43"/>
        <v>4806</v>
      </c>
      <c r="J69" s="397"/>
      <c r="K69" s="397"/>
      <c r="L69" s="397">
        <f>+L70+L73</f>
        <v>0</v>
      </c>
      <c r="M69" s="400">
        <f>+M70</f>
        <v>63782</v>
      </c>
      <c r="N69" s="4312"/>
    </row>
    <row r="70" spans="1:76" s="259" customFormat="1" ht="13.5" customHeight="1">
      <c r="A70" s="4154"/>
      <c r="B70" s="3356" t="s">
        <v>22</v>
      </c>
      <c r="C70" s="4371" t="s">
        <v>151</v>
      </c>
      <c r="D70" s="371">
        <f>D71+D72</f>
        <v>93307</v>
      </c>
      <c r="E70" s="371">
        <f t="shared" ref="E70" si="44">+E71+E72</f>
        <v>116</v>
      </c>
      <c r="F70" s="371">
        <f t="shared" ref="F70" si="45">+F71+F72</f>
        <v>29409</v>
      </c>
      <c r="G70" s="371">
        <f>+G71+G72</f>
        <v>30510</v>
      </c>
      <c r="H70" s="371">
        <f>+H71+H72</f>
        <v>32551</v>
      </c>
      <c r="I70" s="371">
        <f>+I71+I72</f>
        <v>721</v>
      </c>
      <c r="J70" s="371"/>
      <c r="K70" s="371"/>
      <c r="L70" s="371">
        <f>+L71+L72</f>
        <v>0</v>
      </c>
      <c r="M70" s="2169">
        <f>+M71</f>
        <v>63782</v>
      </c>
      <c r="N70" s="4312"/>
    </row>
    <row r="71" spans="1:76" s="259" customFormat="1" ht="13.5" customHeight="1">
      <c r="A71" s="4154"/>
      <c r="B71" s="3389" t="s">
        <v>111</v>
      </c>
      <c r="C71" s="4372"/>
      <c r="D71" s="370">
        <f>L71+F71+G71+H71+I71+J71+K71+E71</f>
        <v>93191</v>
      </c>
      <c r="E71" s="368"/>
      <c r="F71" s="368">
        <v>29409</v>
      </c>
      <c r="G71" s="368">
        <v>30510</v>
      </c>
      <c r="H71" s="368">
        <v>32551</v>
      </c>
      <c r="I71" s="368">
        <v>721</v>
      </c>
      <c r="J71" s="368"/>
      <c r="K71" s="368"/>
      <c r="L71" s="368">
        <v>0</v>
      </c>
      <c r="M71" s="396">
        <f>SUM(G71:K71)</f>
        <v>63782</v>
      </c>
      <c r="N71" s="4312"/>
    </row>
    <row r="72" spans="1:76" s="259" customFormat="1" ht="13.5" customHeight="1">
      <c r="A72" s="4154"/>
      <c r="B72" s="3390" t="s">
        <v>30</v>
      </c>
      <c r="C72" s="4314" t="s">
        <v>21</v>
      </c>
      <c r="D72" s="370">
        <f>L72+F72+G72+H72+I72+J72+K72+E72</f>
        <v>116</v>
      </c>
      <c r="E72" s="368">
        <v>116</v>
      </c>
      <c r="F72" s="368"/>
      <c r="G72" s="368"/>
      <c r="H72" s="368"/>
      <c r="I72" s="368"/>
      <c r="J72" s="368"/>
      <c r="K72" s="368"/>
      <c r="L72" s="368"/>
      <c r="M72" s="2142" t="s">
        <v>52</v>
      </c>
      <c r="N72" s="4312"/>
    </row>
    <row r="73" spans="1:76" s="259" customFormat="1" ht="13.5" customHeight="1">
      <c r="A73" s="4154"/>
      <c r="B73" s="403" t="s">
        <v>17</v>
      </c>
      <c r="C73" s="4353"/>
      <c r="D73" s="412">
        <f>D74</f>
        <v>528736</v>
      </c>
      <c r="E73" s="3388">
        <v>0</v>
      </c>
      <c r="F73" s="412">
        <f t="shared" ref="F73:M73" si="46">+F74</f>
        <v>115116</v>
      </c>
      <c r="G73" s="412">
        <f t="shared" si="46"/>
        <v>202891</v>
      </c>
      <c r="H73" s="412">
        <f t="shared" si="46"/>
        <v>206644</v>
      </c>
      <c r="I73" s="412">
        <f t="shared" si="46"/>
        <v>4085</v>
      </c>
      <c r="J73" s="2170"/>
      <c r="K73" s="2170"/>
      <c r="L73" s="412">
        <f>+L74</f>
        <v>0</v>
      </c>
      <c r="M73" s="407" t="str">
        <f t="shared" si="46"/>
        <v>x</v>
      </c>
      <c r="N73" s="4312"/>
    </row>
    <row r="74" spans="1:76" s="259" customFormat="1" ht="13.5" customHeight="1">
      <c r="A74" s="4154"/>
      <c r="B74" s="3391" t="s">
        <v>33</v>
      </c>
      <c r="C74" s="4315"/>
      <c r="D74" s="370">
        <f>L74+F74+G74+H74+I74+J74+K74</f>
        <v>528736</v>
      </c>
      <c r="E74" s="3384"/>
      <c r="F74" s="368">
        <f>167304-52188</f>
        <v>115116</v>
      </c>
      <c r="G74" s="368">
        <f>172891+30000</f>
        <v>202891</v>
      </c>
      <c r="H74" s="368">
        <f>184456+22188</f>
        <v>206644</v>
      </c>
      <c r="I74" s="368">
        <v>4085</v>
      </c>
      <c r="J74" s="368"/>
      <c r="K74" s="368"/>
      <c r="L74" s="368">
        <v>0</v>
      </c>
      <c r="M74" s="411" t="s">
        <v>52</v>
      </c>
      <c r="N74" s="4312"/>
    </row>
    <row r="75" spans="1:76" s="259" customFormat="1" ht="13.5" customHeight="1">
      <c r="A75" s="4154"/>
      <c r="B75" s="373" t="s">
        <v>20</v>
      </c>
      <c r="C75" s="3392"/>
      <c r="D75" s="397">
        <f>D76+D78</f>
        <v>528736</v>
      </c>
      <c r="E75" s="3382">
        <v>0</v>
      </c>
      <c r="F75" s="397">
        <f t="shared" ref="F75" si="47">+F76+F78</f>
        <v>0</v>
      </c>
      <c r="G75" s="397">
        <f>+G76+G78</f>
        <v>340195</v>
      </c>
      <c r="H75" s="397">
        <f>+H76+H78</f>
        <v>184456</v>
      </c>
      <c r="I75" s="397">
        <f>+I76+I78</f>
        <v>4085</v>
      </c>
      <c r="J75" s="397"/>
      <c r="K75" s="397"/>
      <c r="L75" s="397">
        <f>+L76+L78</f>
        <v>0</v>
      </c>
      <c r="M75" s="4311" t="s">
        <v>52</v>
      </c>
      <c r="N75" s="4312"/>
    </row>
    <row r="76" spans="1:76" s="259" customFormat="1" ht="13.5" hidden="1" customHeight="1">
      <c r="A76" s="4154"/>
      <c r="B76" s="3356" t="s">
        <v>22</v>
      </c>
      <c r="C76" s="4371" t="s">
        <v>151</v>
      </c>
      <c r="D76" s="412"/>
      <c r="E76" s="3383">
        <v>0</v>
      </c>
      <c r="F76" s="371">
        <f t="shared" ref="F76:I76" si="48">+F77</f>
        <v>0</v>
      </c>
      <c r="G76" s="371">
        <f t="shared" si="48"/>
        <v>0</v>
      </c>
      <c r="H76" s="371">
        <f t="shared" si="48"/>
        <v>0</v>
      </c>
      <c r="I76" s="371">
        <f t="shared" si="48"/>
        <v>0</v>
      </c>
      <c r="J76" s="371"/>
      <c r="K76" s="371"/>
      <c r="L76" s="371">
        <f>+L77</f>
        <v>0</v>
      </c>
      <c r="M76" s="4204"/>
      <c r="N76" s="4312"/>
    </row>
    <row r="77" spans="1:76" s="259" customFormat="1" ht="13.5" hidden="1" customHeight="1">
      <c r="A77" s="4154"/>
      <c r="B77" s="3391" t="s">
        <v>128</v>
      </c>
      <c r="C77" s="4372"/>
      <c r="D77" s="370"/>
      <c r="E77" s="3384"/>
      <c r="F77" s="368">
        <v>0</v>
      </c>
      <c r="G77" s="368">
        <v>0</v>
      </c>
      <c r="H77" s="368">
        <v>0</v>
      </c>
      <c r="I77" s="368">
        <v>0</v>
      </c>
      <c r="J77" s="368"/>
      <c r="K77" s="368"/>
      <c r="L77" s="368">
        <v>0</v>
      </c>
      <c r="M77" s="4204"/>
      <c r="N77" s="4312"/>
    </row>
    <row r="78" spans="1:76" s="259" customFormat="1" ht="13.5" customHeight="1">
      <c r="A78" s="4154"/>
      <c r="B78" s="3393" t="s">
        <v>17</v>
      </c>
      <c r="C78" s="4373" t="s">
        <v>21</v>
      </c>
      <c r="D78" s="412">
        <f>D79</f>
        <v>528736</v>
      </c>
      <c r="E78" s="3388">
        <v>0</v>
      </c>
      <c r="F78" s="412">
        <f t="shared" ref="F78:I78" si="49">+F79</f>
        <v>0</v>
      </c>
      <c r="G78" s="412">
        <f t="shared" si="49"/>
        <v>340195</v>
      </c>
      <c r="H78" s="412">
        <f t="shared" si="49"/>
        <v>184456</v>
      </c>
      <c r="I78" s="412">
        <f t="shared" si="49"/>
        <v>4085</v>
      </c>
      <c r="J78" s="412"/>
      <c r="K78" s="412"/>
      <c r="L78" s="412">
        <f>+L79</f>
        <v>0</v>
      </c>
      <c r="M78" s="4204"/>
      <c r="N78" s="4312"/>
    </row>
    <row r="79" spans="1:76" s="259" customFormat="1" ht="13.5" customHeight="1" thickBot="1">
      <c r="A79" s="4155"/>
      <c r="B79" s="3394" t="s">
        <v>33</v>
      </c>
      <c r="C79" s="4315"/>
      <c r="D79" s="370">
        <f>L79+F79+G79+H79+I79+J79+K79</f>
        <v>528736</v>
      </c>
      <c r="E79" s="368"/>
      <c r="F79" s="2171">
        <f>167304-167304</f>
        <v>0</v>
      </c>
      <c r="G79" s="2171">
        <f>172891+167304</f>
        <v>340195</v>
      </c>
      <c r="H79" s="2171">
        <v>184456</v>
      </c>
      <c r="I79" s="2171">
        <v>4085</v>
      </c>
      <c r="J79" s="2171"/>
      <c r="K79" s="2171"/>
      <c r="L79" s="2171">
        <v>0</v>
      </c>
      <c r="M79" s="4205"/>
      <c r="N79" s="4313"/>
    </row>
    <row r="80" spans="1:76" s="259" customFormat="1" ht="27.75" customHeight="1">
      <c r="A80" s="4340" t="s">
        <v>105</v>
      </c>
      <c r="B80" s="406" t="s">
        <v>519</v>
      </c>
      <c r="C80" s="2108" t="s">
        <v>72</v>
      </c>
      <c r="D80" s="2111"/>
      <c r="E80" s="321"/>
      <c r="F80" s="321"/>
      <c r="G80" s="321"/>
      <c r="H80" s="321"/>
      <c r="I80" s="321"/>
      <c r="J80" s="321"/>
      <c r="K80" s="1108"/>
      <c r="L80" s="321"/>
      <c r="M80" s="414"/>
      <c r="N80" s="4328" t="s">
        <v>449</v>
      </c>
    </row>
    <row r="81" spans="1:16" s="259" customFormat="1" ht="13.5" customHeight="1">
      <c r="A81" s="4154"/>
      <c r="B81" s="373" t="s">
        <v>9</v>
      </c>
      <c r="C81" s="3392"/>
      <c r="D81" s="397">
        <f>D82+D85</f>
        <v>2392705</v>
      </c>
      <c r="E81" s="3382">
        <v>0</v>
      </c>
      <c r="F81" s="397">
        <f>+F82+F85</f>
        <v>12887</v>
      </c>
      <c r="G81" s="397">
        <f>+G82+G85</f>
        <v>1348850</v>
      </c>
      <c r="H81" s="397">
        <f>+H82+H85</f>
        <v>1030968</v>
      </c>
      <c r="I81" s="397"/>
      <c r="J81" s="397"/>
      <c r="K81" s="397"/>
      <c r="L81" s="397">
        <f>+L82+L85</f>
        <v>0</v>
      </c>
      <c r="M81" s="400">
        <f>+M82</f>
        <v>356972</v>
      </c>
      <c r="N81" s="4312"/>
      <c r="P81" s="152"/>
    </row>
    <row r="82" spans="1:16" s="259" customFormat="1" ht="13.5" customHeight="1">
      <c r="A82" s="4154"/>
      <c r="B82" s="3356" t="s">
        <v>22</v>
      </c>
      <c r="C82" s="4387" t="s">
        <v>151</v>
      </c>
      <c r="D82" s="371">
        <f>D83+D84</f>
        <v>358905</v>
      </c>
      <c r="E82" s="3383">
        <v>0</v>
      </c>
      <c r="F82" s="371">
        <f>F84+F83</f>
        <v>1933</v>
      </c>
      <c r="G82" s="371">
        <f>G84+G83</f>
        <v>202327</v>
      </c>
      <c r="H82" s="371">
        <f>H84+H83</f>
        <v>154645</v>
      </c>
      <c r="I82" s="371"/>
      <c r="J82" s="371"/>
      <c r="K82" s="371"/>
      <c r="L82" s="371">
        <f>L84+L83</f>
        <v>0</v>
      </c>
      <c r="M82" s="401">
        <f>+M84</f>
        <v>356972</v>
      </c>
      <c r="N82" s="4312"/>
    </row>
    <row r="83" spans="1:16" s="259" customFormat="1" ht="13.5" hidden="1" customHeight="1">
      <c r="A83" s="4154"/>
      <c r="B83" s="3389" t="s">
        <v>30</v>
      </c>
      <c r="C83" s="4388"/>
      <c r="D83" s="370">
        <f>F83+G83+H83+I83+J83+K83</f>
        <v>0</v>
      </c>
      <c r="E83" s="3384"/>
      <c r="F83" s="2172">
        <v>0</v>
      </c>
      <c r="G83" s="2172">
        <v>0</v>
      </c>
      <c r="H83" s="2172">
        <v>0</v>
      </c>
      <c r="I83" s="2172"/>
      <c r="J83" s="2172"/>
      <c r="K83" s="2172"/>
      <c r="L83" s="2172">
        <v>0</v>
      </c>
      <c r="M83" s="411" t="s">
        <v>52</v>
      </c>
      <c r="N83" s="4312"/>
    </row>
    <row r="84" spans="1:16" s="259" customFormat="1" ht="16.5" customHeight="1">
      <c r="A84" s="4154"/>
      <c r="B84" s="3357" t="s">
        <v>111</v>
      </c>
      <c r="C84" s="3921"/>
      <c r="D84" s="370">
        <f>F84+G84+H84+I84+J84+K84</f>
        <v>358905</v>
      </c>
      <c r="E84" s="3395">
        <v>0</v>
      </c>
      <c r="F84" s="2173">
        <v>1933</v>
      </c>
      <c r="G84" s="2173">
        <v>202327</v>
      </c>
      <c r="H84" s="2173">
        <v>154645</v>
      </c>
      <c r="I84" s="2173"/>
      <c r="J84" s="2173"/>
      <c r="K84" s="2173"/>
      <c r="L84" s="2173">
        <v>0</v>
      </c>
      <c r="M84" s="396">
        <f>SUM(G84:K84)</f>
        <v>356972</v>
      </c>
      <c r="N84" s="4312"/>
    </row>
    <row r="85" spans="1:16" s="259" customFormat="1" ht="15" customHeight="1">
      <c r="A85" s="4154"/>
      <c r="B85" s="3396" t="s">
        <v>17</v>
      </c>
      <c r="C85" s="4373" t="s">
        <v>21</v>
      </c>
      <c r="D85" s="2174">
        <f>D86</f>
        <v>2033800</v>
      </c>
      <c r="E85" s="3397">
        <v>0</v>
      </c>
      <c r="F85" s="2174">
        <f t="shared" ref="F85:M85" si="50">+F86</f>
        <v>10954</v>
      </c>
      <c r="G85" s="2174">
        <f t="shared" si="50"/>
        <v>1146523</v>
      </c>
      <c r="H85" s="2174">
        <f t="shared" si="50"/>
        <v>876323</v>
      </c>
      <c r="I85" s="404"/>
      <c r="J85" s="404"/>
      <c r="K85" s="404"/>
      <c r="L85" s="2174">
        <f>+L86</f>
        <v>0</v>
      </c>
      <c r="M85" s="407" t="str">
        <f t="shared" si="50"/>
        <v>x</v>
      </c>
      <c r="N85" s="4312"/>
    </row>
    <row r="86" spans="1:16" s="259" customFormat="1" ht="14.25" customHeight="1">
      <c r="A86" s="4154"/>
      <c r="B86" s="3398" t="s">
        <v>33</v>
      </c>
      <c r="C86" s="4315"/>
      <c r="D86" s="370">
        <f>F86+G86+H86+I86+J86+K86</f>
        <v>2033800</v>
      </c>
      <c r="E86" s="3395"/>
      <c r="F86" s="2173">
        <v>10954</v>
      </c>
      <c r="G86" s="2173">
        <v>1146523</v>
      </c>
      <c r="H86" s="2173">
        <v>876323</v>
      </c>
      <c r="I86" s="2172"/>
      <c r="J86" s="2172"/>
      <c r="K86" s="2172"/>
      <c r="L86" s="2173">
        <v>0</v>
      </c>
      <c r="M86" s="3173" t="s">
        <v>52</v>
      </c>
      <c r="N86" s="4374"/>
    </row>
    <row r="87" spans="1:16" s="259" customFormat="1" ht="13.5" customHeight="1">
      <c r="A87" s="4154"/>
      <c r="B87" s="373" t="s">
        <v>20</v>
      </c>
      <c r="C87" s="3392"/>
      <c r="D87" s="397">
        <f>D88+D90</f>
        <v>2033800</v>
      </c>
      <c r="E87" s="3382">
        <v>0</v>
      </c>
      <c r="F87" s="397">
        <f>+F88+F90</f>
        <v>0</v>
      </c>
      <c r="G87" s="397">
        <f>+G88+G90</f>
        <v>1157477</v>
      </c>
      <c r="H87" s="397">
        <f>+H88+H90</f>
        <v>876323</v>
      </c>
      <c r="I87" s="397"/>
      <c r="J87" s="397"/>
      <c r="K87" s="397"/>
      <c r="L87" s="397">
        <f>+L88+L90</f>
        <v>0</v>
      </c>
      <c r="M87" s="4070" t="s">
        <v>52</v>
      </c>
      <c r="N87" s="4312"/>
    </row>
    <row r="88" spans="1:16" s="259" customFormat="1" ht="13.5" hidden="1" customHeight="1">
      <c r="A88" s="4154"/>
      <c r="B88" s="3356" t="s">
        <v>22</v>
      </c>
      <c r="C88" s="4371" t="s">
        <v>151</v>
      </c>
      <c r="D88" s="3399"/>
      <c r="E88" s="3400">
        <v>0</v>
      </c>
      <c r="F88" s="3399">
        <f t="shared" ref="F88:H88" si="51">+F89</f>
        <v>0</v>
      </c>
      <c r="G88" s="3399">
        <f t="shared" si="51"/>
        <v>0</v>
      </c>
      <c r="H88" s="3399">
        <f t="shared" si="51"/>
        <v>0</v>
      </c>
      <c r="I88" s="3399"/>
      <c r="J88" s="3399"/>
      <c r="K88" s="3399"/>
      <c r="L88" s="3399">
        <f>+L89</f>
        <v>0</v>
      </c>
      <c r="M88" s="4071"/>
      <c r="N88" s="4312"/>
    </row>
    <row r="89" spans="1:16" s="259" customFormat="1" ht="13.5" hidden="1" customHeight="1">
      <c r="A89" s="4154"/>
      <c r="B89" s="3389" t="s">
        <v>128</v>
      </c>
      <c r="C89" s="4372"/>
      <c r="D89" s="370"/>
      <c r="E89" s="3384"/>
      <c r="F89" s="2172">
        <v>0</v>
      </c>
      <c r="G89" s="2172">
        <v>0</v>
      </c>
      <c r="H89" s="2172">
        <v>0</v>
      </c>
      <c r="I89" s="2172"/>
      <c r="J89" s="2172"/>
      <c r="K89" s="2172"/>
      <c r="L89" s="2172">
        <v>0</v>
      </c>
      <c r="M89" s="4071"/>
      <c r="N89" s="4312"/>
      <c r="P89" s="152">
        <v>-1488145</v>
      </c>
    </row>
    <row r="90" spans="1:16" s="259" customFormat="1" ht="13.5" customHeight="1">
      <c r="A90" s="4154"/>
      <c r="B90" s="3401" t="s">
        <v>17</v>
      </c>
      <c r="C90" s="4314" t="s">
        <v>21</v>
      </c>
      <c r="D90" s="1159">
        <f>D91</f>
        <v>2033800</v>
      </c>
      <c r="E90" s="3003">
        <v>0</v>
      </c>
      <c r="F90" s="371">
        <f t="shared" ref="F90:H90" si="52">+F91</f>
        <v>0</v>
      </c>
      <c r="G90" s="371">
        <f t="shared" si="52"/>
        <v>1157477</v>
      </c>
      <c r="H90" s="371">
        <f t="shared" si="52"/>
        <v>876323</v>
      </c>
      <c r="I90" s="371"/>
      <c r="J90" s="371"/>
      <c r="K90" s="371"/>
      <c r="L90" s="371">
        <f>+L91</f>
        <v>0</v>
      </c>
      <c r="M90" s="4071"/>
      <c r="N90" s="4312"/>
    </row>
    <row r="91" spans="1:16" s="259" customFormat="1" ht="15" customHeight="1" thickBot="1">
      <c r="A91" s="4106"/>
      <c r="B91" s="3402" t="s">
        <v>33</v>
      </c>
      <c r="C91" s="4337"/>
      <c r="D91" s="1263">
        <f>F91+G91+H91+I91+J91+K91</f>
        <v>2033800</v>
      </c>
      <c r="E91" s="3403">
        <v>0</v>
      </c>
      <c r="F91" s="402">
        <f>10954-10954</f>
        <v>0</v>
      </c>
      <c r="G91" s="402">
        <f>1146523+10954</f>
        <v>1157477</v>
      </c>
      <c r="H91" s="402">
        <v>876323</v>
      </c>
      <c r="I91" s="402"/>
      <c r="J91" s="402"/>
      <c r="K91" s="402"/>
      <c r="L91" s="402">
        <v>0</v>
      </c>
      <c r="M91" s="4223"/>
      <c r="N91" s="4338"/>
    </row>
    <row r="92" spans="1:16" s="259" customFormat="1" ht="30.75" customHeight="1">
      <c r="A92" s="4319" t="s">
        <v>78</v>
      </c>
      <c r="B92" s="406" t="s">
        <v>448</v>
      </c>
      <c r="C92" s="2108" t="s">
        <v>72</v>
      </c>
      <c r="D92" s="2109"/>
      <c r="E92" s="2999"/>
      <c r="F92" s="321"/>
      <c r="G92" s="321"/>
      <c r="H92" s="321"/>
      <c r="I92" s="321"/>
      <c r="J92" s="321"/>
      <c r="K92" s="1108"/>
      <c r="L92" s="321"/>
      <c r="M92" s="414"/>
      <c r="N92" s="4328" t="s">
        <v>449</v>
      </c>
    </row>
    <row r="93" spans="1:16" s="259" customFormat="1" ht="13.5" customHeight="1">
      <c r="A93" s="4320"/>
      <c r="B93" s="1256" t="s">
        <v>9</v>
      </c>
      <c r="C93" s="1627"/>
      <c r="D93" s="1174">
        <f>+D94+D98</f>
        <v>650203</v>
      </c>
      <c r="E93" s="3404">
        <f t="shared" ref="E93:F93" si="53">+E94+E98</f>
        <v>0</v>
      </c>
      <c r="F93" s="1174">
        <f t="shared" si="53"/>
        <v>210203</v>
      </c>
      <c r="G93" s="1174">
        <f>+G94+G98</f>
        <v>440000</v>
      </c>
      <c r="H93" s="1174">
        <f>+H94+H98</f>
        <v>0</v>
      </c>
      <c r="I93" s="1174">
        <f t="shared" ref="I93:J93" si="54">+I94+I98</f>
        <v>0</v>
      </c>
      <c r="J93" s="1174">
        <f t="shared" si="54"/>
        <v>0</v>
      </c>
      <c r="K93" s="1174"/>
      <c r="L93" s="1174">
        <f>+L94+L98</f>
        <v>0</v>
      </c>
      <c r="M93" s="2044">
        <f>+M94</f>
        <v>200000</v>
      </c>
      <c r="N93" s="4312"/>
    </row>
    <row r="94" spans="1:16" s="259" customFormat="1" ht="13.5" customHeight="1">
      <c r="A94" s="4320"/>
      <c r="B94" s="1628" t="s">
        <v>22</v>
      </c>
      <c r="C94" s="2358"/>
      <c r="D94" s="1159">
        <f>D96+D95+D97</f>
        <v>650203</v>
      </c>
      <c r="E94" s="3003">
        <f t="shared" ref="E94:K94" si="55">E96+E95+E97</f>
        <v>0</v>
      </c>
      <c r="F94" s="1159">
        <f t="shared" si="55"/>
        <v>210203</v>
      </c>
      <c r="G94" s="1159">
        <f t="shared" si="55"/>
        <v>440000</v>
      </c>
      <c r="H94" s="1159">
        <f t="shared" si="55"/>
        <v>0</v>
      </c>
      <c r="I94" s="1159">
        <f t="shared" si="55"/>
        <v>0</v>
      </c>
      <c r="J94" s="1159">
        <f t="shared" si="55"/>
        <v>0</v>
      </c>
      <c r="K94" s="1159">
        <f t="shared" si="55"/>
        <v>0</v>
      </c>
      <c r="L94" s="1159">
        <f>L96+L95+L97</f>
        <v>0</v>
      </c>
      <c r="M94" s="2045">
        <f>+M96</f>
        <v>200000</v>
      </c>
      <c r="N94" s="4312"/>
    </row>
    <row r="95" spans="1:16" s="259" customFormat="1" ht="13.5" customHeight="1">
      <c r="A95" s="4320"/>
      <c r="B95" s="1629" t="s">
        <v>30</v>
      </c>
      <c r="C95" s="3049" t="s">
        <v>21</v>
      </c>
      <c r="D95" s="1115">
        <f>E95+L95+F95+G95+H95+I95+J95+K95</f>
        <v>50203</v>
      </c>
      <c r="E95" s="1601"/>
      <c r="F95" s="1630">
        <f>7500+2703</f>
        <v>10203</v>
      </c>
      <c r="G95" s="1630">
        <v>40000</v>
      </c>
      <c r="H95" s="1630">
        <v>0</v>
      </c>
      <c r="I95" s="1620"/>
      <c r="J95" s="1620"/>
      <c r="K95" s="1620"/>
      <c r="L95" s="1630"/>
      <c r="M95" s="1925" t="s">
        <v>52</v>
      </c>
      <c r="N95" s="4312"/>
    </row>
    <row r="96" spans="1:16" s="259" customFormat="1" ht="13.5" customHeight="1">
      <c r="A96" s="4320"/>
      <c r="B96" s="1631" t="s">
        <v>111</v>
      </c>
      <c r="C96" s="2375" t="s">
        <v>151</v>
      </c>
      <c r="D96" s="1115">
        <f>E96+L96+F96+G96+H96+I96+J96+K96</f>
        <v>300000</v>
      </c>
      <c r="E96" s="1601"/>
      <c r="F96" s="1632">
        <v>100000</v>
      </c>
      <c r="G96" s="1632">
        <v>200000</v>
      </c>
      <c r="H96" s="1632"/>
      <c r="I96" s="1632"/>
      <c r="J96" s="1632"/>
      <c r="K96" s="1632"/>
      <c r="L96" s="1632"/>
      <c r="M96" s="396">
        <f>SUM(G96:K96)</f>
        <v>200000</v>
      </c>
      <c r="N96" s="4312"/>
    </row>
    <row r="97" spans="1:14" s="259" customFormat="1" ht="13.5" customHeight="1">
      <c r="A97" s="4320"/>
      <c r="B97" s="3405" t="s">
        <v>393</v>
      </c>
      <c r="C97" s="4314" t="s">
        <v>21</v>
      </c>
      <c r="D97" s="1115">
        <f>E97+L97+F97+G97+H97+I97+J97+K97</f>
        <v>300000</v>
      </c>
      <c r="E97" s="3406"/>
      <c r="F97" s="2055">
        <v>100000</v>
      </c>
      <c r="G97" s="2055">
        <v>200000</v>
      </c>
      <c r="H97" s="2055"/>
      <c r="I97" s="2055"/>
      <c r="J97" s="2055"/>
      <c r="K97" s="2056"/>
      <c r="L97" s="2055"/>
      <c r="M97" s="399"/>
      <c r="N97" s="4312"/>
    </row>
    <row r="98" spans="1:14" s="259" customFormat="1" ht="13.5" hidden="1" customHeight="1">
      <c r="A98" s="4320"/>
      <c r="B98" s="3407" t="s">
        <v>17</v>
      </c>
      <c r="C98" s="4381"/>
      <c r="D98" s="2057">
        <f>+D99</f>
        <v>0</v>
      </c>
      <c r="E98" s="3408">
        <f t="shared" ref="E98:M98" si="56">+E99</f>
        <v>0</v>
      </c>
      <c r="F98" s="2057">
        <f t="shared" si="56"/>
        <v>0</v>
      </c>
      <c r="G98" s="2057">
        <f t="shared" si="56"/>
        <v>0</v>
      </c>
      <c r="H98" s="2057">
        <f t="shared" si="56"/>
        <v>0</v>
      </c>
      <c r="I98" s="2057">
        <f t="shared" si="56"/>
        <v>0</v>
      </c>
      <c r="J98" s="2057">
        <f t="shared" si="56"/>
        <v>0</v>
      </c>
      <c r="K98" s="2057"/>
      <c r="L98" s="2057">
        <f>+L99</f>
        <v>0</v>
      </c>
      <c r="M98" s="2058" t="str">
        <f t="shared" si="56"/>
        <v>x</v>
      </c>
      <c r="N98" s="4312"/>
    </row>
    <row r="99" spans="1:14" s="259" customFormat="1" ht="13.5" hidden="1" customHeight="1">
      <c r="A99" s="4320"/>
      <c r="B99" s="1631" t="s">
        <v>33</v>
      </c>
      <c r="C99" s="4315"/>
      <c r="D99" s="1115">
        <f>E99+L99+F99+G99+H99+I99+J99+K99</f>
        <v>0</v>
      </c>
      <c r="E99" s="1601">
        <v>0</v>
      </c>
      <c r="F99" s="1259"/>
      <c r="G99" s="1259"/>
      <c r="H99" s="1259"/>
      <c r="I99" s="1623"/>
      <c r="J99" s="1623"/>
      <c r="K99" s="1623"/>
      <c r="L99" s="1259"/>
      <c r="M99" s="1926" t="s">
        <v>52</v>
      </c>
      <c r="N99" s="4312"/>
    </row>
    <row r="100" spans="1:14" s="259" customFormat="1" ht="13.5" customHeight="1">
      <c r="A100" s="4320"/>
      <c r="B100" s="3409" t="s">
        <v>20</v>
      </c>
      <c r="C100" s="3410"/>
      <c r="D100" s="1844">
        <f>D104+D101</f>
        <v>300000</v>
      </c>
      <c r="E100" s="3411">
        <f t="shared" ref="E100:F100" si="57">E104+E101</f>
        <v>0</v>
      </c>
      <c r="F100" s="1844">
        <f t="shared" si="57"/>
        <v>100000</v>
      </c>
      <c r="G100" s="1844">
        <f>G104+G101</f>
        <v>200000</v>
      </c>
      <c r="H100" s="1844">
        <f>H104+H101</f>
        <v>0</v>
      </c>
      <c r="I100" s="1844">
        <f t="shared" ref="I100:J100" si="58">I104+I101</f>
        <v>0</v>
      </c>
      <c r="J100" s="1844">
        <f t="shared" si="58"/>
        <v>0</v>
      </c>
      <c r="K100" s="1844"/>
      <c r="L100" s="1844">
        <f>L104+L101</f>
        <v>0</v>
      </c>
      <c r="M100" s="4325" t="s">
        <v>52</v>
      </c>
      <c r="N100" s="4312"/>
    </row>
    <row r="101" spans="1:14" s="259" customFormat="1" ht="13.5" customHeight="1">
      <c r="A101" s="4320"/>
      <c r="B101" s="1260" t="s">
        <v>22</v>
      </c>
      <c r="C101" s="4322" t="s">
        <v>52</v>
      </c>
      <c r="D101" s="1249">
        <f>+D102+D103</f>
        <v>300000</v>
      </c>
      <c r="E101" s="1654">
        <f t="shared" ref="E101:J101" si="59">+E102+E103</f>
        <v>0</v>
      </c>
      <c r="F101" s="1249">
        <f t="shared" si="59"/>
        <v>100000</v>
      </c>
      <c r="G101" s="1249">
        <f t="shared" si="59"/>
        <v>200000</v>
      </c>
      <c r="H101" s="1249">
        <f t="shared" si="59"/>
        <v>0</v>
      </c>
      <c r="I101" s="1249">
        <f t="shared" si="59"/>
        <v>0</v>
      </c>
      <c r="J101" s="1249">
        <f t="shared" si="59"/>
        <v>0</v>
      </c>
      <c r="K101" s="1249"/>
      <c r="L101" s="1249">
        <f>+L102+L103</f>
        <v>0</v>
      </c>
      <c r="M101" s="4326"/>
      <c r="N101" s="4312"/>
    </row>
    <row r="102" spans="1:14" s="259" customFormat="1" ht="13.5" hidden="1" customHeight="1">
      <c r="A102" s="4320"/>
      <c r="B102" s="3412" t="s">
        <v>136</v>
      </c>
      <c r="C102" s="4323"/>
      <c r="D102" s="1155">
        <f>E102+L102+F102+G102+H102+I102+J102+K102</f>
        <v>0</v>
      </c>
      <c r="E102" s="1142">
        <v>0</v>
      </c>
      <c r="F102" s="1632"/>
      <c r="G102" s="1632"/>
      <c r="H102" s="1632"/>
      <c r="I102" s="1632"/>
      <c r="J102" s="1632"/>
      <c r="K102" s="1632"/>
      <c r="L102" s="1632"/>
      <c r="M102" s="4326"/>
      <c r="N102" s="4312"/>
    </row>
    <row r="103" spans="1:14" s="259" customFormat="1" ht="13.5" customHeight="1" thickBot="1">
      <c r="A103" s="4320"/>
      <c r="B103" s="1261" t="s">
        <v>393</v>
      </c>
      <c r="C103" s="4323"/>
      <c r="D103" s="1410">
        <f>E103+L103+F103+G103+H103+I103+J103+K103</f>
        <v>300000</v>
      </c>
      <c r="E103" s="1381"/>
      <c r="F103" s="1653">
        <v>100000</v>
      </c>
      <c r="G103" s="1653">
        <v>200000</v>
      </c>
      <c r="H103" s="1653"/>
      <c r="I103" s="1653"/>
      <c r="J103" s="1653"/>
      <c r="K103" s="1653"/>
      <c r="L103" s="1653"/>
      <c r="M103" s="4326"/>
      <c r="N103" s="4312"/>
    </row>
    <row r="104" spans="1:14" s="259" customFormat="1" ht="13.5" hidden="1" customHeight="1" thickBot="1">
      <c r="A104" s="4321"/>
      <c r="B104" s="3413" t="s">
        <v>17</v>
      </c>
      <c r="C104" s="4324"/>
      <c r="D104" s="2007">
        <f>+D105</f>
        <v>0</v>
      </c>
      <c r="E104" s="2007">
        <f t="shared" ref="E104:J104" si="60">+E105</f>
        <v>0</v>
      </c>
      <c r="F104" s="2007">
        <f t="shared" si="60"/>
        <v>0</v>
      </c>
      <c r="G104" s="2007">
        <f t="shared" si="60"/>
        <v>0</v>
      </c>
      <c r="H104" s="2007">
        <f t="shared" si="60"/>
        <v>0</v>
      </c>
      <c r="I104" s="2007">
        <f t="shared" si="60"/>
        <v>0</v>
      </c>
      <c r="J104" s="2007">
        <f t="shared" si="60"/>
        <v>0</v>
      </c>
      <c r="K104" s="2007"/>
      <c r="L104" s="2007">
        <f>+L105</f>
        <v>0</v>
      </c>
      <c r="M104" s="4327"/>
      <c r="N104" s="4313"/>
    </row>
    <row r="105" spans="1:14" s="259" customFormat="1" ht="16.5" hidden="1" customHeight="1" thickBot="1">
      <c r="A105" s="2263"/>
      <c r="B105" s="2264" t="s">
        <v>33</v>
      </c>
      <c r="C105" s="2265"/>
      <c r="D105" s="2258">
        <f>E105+L105+F105+G105+H105+I105+J105+K105</f>
        <v>0</v>
      </c>
      <c r="E105" s="2542">
        <v>0</v>
      </c>
      <c r="F105" s="2259"/>
      <c r="G105" s="2259"/>
      <c r="H105" s="2259"/>
      <c r="I105" s="2259"/>
      <c r="J105" s="2259"/>
      <c r="K105" s="2259"/>
      <c r="L105" s="2259">
        <v>0</v>
      </c>
      <c r="M105" s="2267"/>
      <c r="N105" s="2266"/>
    </row>
    <row r="106" spans="1:14" s="259" customFormat="1" ht="29.25" customHeight="1" thickBot="1">
      <c r="A106" s="4382" t="s">
        <v>79</v>
      </c>
      <c r="B106" s="406" t="s">
        <v>423</v>
      </c>
      <c r="C106" s="2260" t="s">
        <v>72</v>
      </c>
      <c r="D106" s="2111"/>
      <c r="E106" s="321"/>
      <c r="F106" s="321"/>
      <c r="G106" s="321"/>
      <c r="H106" s="321"/>
      <c r="I106" s="321"/>
      <c r="J106" s="321"/>
      <c r="K106" s="1108"/>
      <c r="L106" s="321"/>
      <c r="M106" s="2261"/>
      <c r="N106" s="4329" t="s">
        <v>152</v>
      </c>
    </row>
    <row r="107" spans="1:14" s="308" customFormat="1" ht="16.5" customHeight="1">
      <c r="A107" s="4383"/>
      <c r="B107" s="1054" t="s">
        <v>9</v>
      </c>
      <c r="C107" s="2085"/>
      <c r="D107" s="1053">
        <f>D108+D111</f>
        <v>24869527</v>
      </c>
      <c r="E107" s="1053">
        <f>E108+E111</f>
        <v>669527</v>
      </c>
      <c r="F107" s="1053">
        <f t="shared" ref="F107" si="61">+F108+F111</f>
        <v>137268</v>
      </c>
      <c r="G107" s="1053">
        <f>+G108+G111</f>
        <v>9342732</v>
      </c>
      <c r="H107" s="1053">
        <f>+H108+H111</f>
        <v>14720000</v>
      </c>
      <c r="I107" s="1053"/>
      <c r="J107" s="1053"/>
      <c r="K107" s="1053"/>
      <c r="L107" s="1053">
        <f>+L108+L111</f>
        <v>0</v>
      </c>
      <c r="M107" s="2086">
        <f>+M108</f>
        <v>24062732</v>
      </c>
      <c r="N107" s="4330"/>
    </row>
    <row r="108" spans="1:14" s="259" customFormat="1" ht="13.5" customHeight="1">
      <c r="A108" s="4383"/>
      <c r="B108" s="2082" t="s">
        <v>22</v>
      </c>
      <c r="C108" s="2358"/>
      <c r="D108" s="1159">
        <f>D109+D110</f>
        <v>24344627</v>
      </c>
      <c r="E108" s="1159">
        <f t="shared" ref="E108" si="62">E109+E110</f>
        <v>144627</v>
      </c>
      <c r="F108" s="1159">
        <f t="shared" ref="F108:H108" si="63">F110</f>
        <v>137268</v>
      </c>
      <c r="G108" s="1159">
        <f t="shared" si="63"/>
        <v>9342732</v>
      </c>
      <c r="H108" s="1159">
        <f t="shared" si="63"/>
        <v>14720000</v>
      </c>
      <c r="I108" s="1159"/>
      <c r="J108" s="1159"/>
      <c r="K108" s="1159"/>
      <c r="L108" s="1159">
        <f>L109+L110</f>
        <v>0</v>
      </c>
      <c r="M108" s="2084">
        <f>+M110</f>
        <v>24062732</v>
      </c>
      <c r="N108" s="4330"/>
    </row>
    <row r="109" spans="1:14" s="259" customFormat="1" ht="13.5" customHeight="1" thickBot="1">
      <c r="A109" s="4384"/>
      <c r="B109" s="1625" t="s">
        <v>30</v>
      </c>
      <c r="C109" s="3049" t="s">
        <v>21</v>
      </c>
      <c r="D109" s="1623">
        <f>E109+L109+F109+G109+H109+I109+J109+K109</f>
        <v>23900</v>
      </c>
      <c r="E109" s="1626">
        <v>23900</v>
      </c>
      <c r="F109" s="404"/>
      <c r="G109" s="404"/>
      <c r="H109" s="404"/>
      <c r="I109" s="404"/>
      <c r="J109" s="404"/>
      <c r="K109" s="404"/>
      <c r="L109" s="1626"/>
      <c r="M109" s="1965">
        <v>0</v>
      </c>
      <c r="N109" s="4331"/>
    </row>
    <row r="110" spans="1:14" s="259" customFormat="1" ht="13.5" customHeight="1" thickBot="1">
      <c r="A110" s="4382"/>
      <c r="B110" s="2305" t="s">
        <v>111</v>
      </c>
      <c r="C110" s="2375" t="s">
        <v>303</v>
      </c>
      <c r="D110" s="1259">
        <f>E110+L110+F110+G110+H110+I110+J110+K110</f>
        <v>24320727</v>
      </c>
      <c r="E110" s="1142">
        <v>120727</v>
      </c>
      <c r="F110" s="1142">
        <f>1315000-1177732</f>
        <v>137268</v>
      </c>
      <c r="G110" s="1142">
        <f>8165000+1177732</f>
        <v>9342732</v>
      </c>
      <c r="H110" s="1142">
        <v>14720000</v>
      </c>
      <c r="I110" s="1142"/>
      <c r="J110" s="1142"/>
      <c r="K110" s="1142"/>
      <c r="L110" s="1142">
        <v>0</v>
      </c>
      <c r="M110" s="396">
        <f>SUM(G110:K110)</f>
        <v>24062732</v>
      </c>
      <c r="N110" s="4332"/>
    </row>
    <row r="111" spans="1:14" s="259" customFormat="1" ht="13.5" customHeight="1" thickBot="1">
      <c r="A111" s="4382"/>
      <c r="B111" s="2306" t="s">
        <v>17</v>
      </c>
      <c r="C111" s="4334" t="s">
        <v>21</v>
      </c>
      <c r="D111" s="1159">
        <f>D112</f>
        <v>524900</v>
      </c>
      <c r="E111" s="1159">
        <f>E112</f>
        <v>524900</v>
      </c>
      <c r="F111" s="1159">
        <f t="shared" ref="F111:M111" si="64">+F112</f>
        <v>0</v>
      </c>
      <c r="G111" s="1159">
        <f t="shared" si="64"/>
        <v>0</v>
      </c>
      <c r="H111" s="1159">
        <f t="shared" si="64"/>
        <v>0</v>
      </c>
      <c r="I111" s="404"/>
      <c r="J111" s="404"/>
      <c r="K111" s="404"/>
      <c r="L111" s="1159">
        <f>+L112</f>
        <v>0</v>
      </c>
      <c r="M111" s="407" t="str">
        <f t="shared" si="64"/>
        <v>x</v>
      </c>
      <c r="N111" s="4332"/>
    </row>
    <row r="112" spans="1:14" s="259" customFormat="1" ht="13.5" customHeight="1" thickBot="1">
      <c r="A112" s="4382"/>
      <c r="B112" s="2305" t="s">
        <v>33</v>
      </c>
      <c r="C112" s="4335"/>
      <c r="D112" s="1259">
        <f>E112+L112+F112+G112+I112+J112+K112</f>
        <v>524900</v>
      </c>
      <c r="E112" s="1142">
        <v>524900</v>
      </c>
      <c r="F112" s="1142">
        <v>0</v>
      </c>
      <c r="G112" s="1142">
        <v>0</v>
      </c>
      <c r="H112" s="1142">
        <v>0</v>
      </c>
      <c r="I112" s="1626"/>
      <c r="J112" s="1626"/>
      <c r="K112" s="1626"/>
      <c r="L112" s="1142">
        <v>0</v>
      </c>
      <c r="M112" s="407" t="s">
        <v>52</v>
      </c>
      <c r="N112" s="4332"/>
    </row>
    <row r="113" spans="1:16" s="308" customFormat="1" ht="16.5" customHeight="1" thickBot="1">
      <c r="A113" s="4382"/>
      <c r="B113" s="1256" t="s">
        <v>20</v>
      </c>
      <c r="C113" s="2081"/>
      <c r="D113" s="1169">
        <f>D114+D116</f>
        <v>1002816</v>
      </c>
      <c r="E113" s="1169">
        <f>E114+E116</f>
        <v>644420</v>
      </c>
      <c r="F113" s="1169">
        <f t="shared" ref="F113" si="65">F116+F114</f>
        <v>2033</v>
      </c>
      <c r="G113" s="1169">
        <f>G116+G114</f>
        <v>138363</v>
      </c>
      <c r="H113" s="1169">
        <f>H116+H114</f>
        <v>218000</v>
      </c>
      <c r="I113" s="1169"/>
      <c r="J113" s="1169"/>
      <c r="K113" s="1169"/>
      <c r="L113" s="1169">
        <f>L116+L114</f>
        <v>0</v>
      </c>
      <c r="M113" s="4203" t="s">
        <v>52</v>
      </c>
      <c r="N113" s="4332"/>
    </row>
    <row r="114" spans="1:16" s="259" customFormat="1" ht="13.5" customHeight="1" thickBot="1">
      <c r="A114" s="4382"/>
      <c r="B114" s="2082" t="s">
        <v>22</v>
      </c>
      <c r="C114" s="3993" t="s">
        <v>153</v>
      </c>
      <c r="D114" s="2262">
        <f>D115</f>
        <v>477916</v>
      </c>
      <c r="E114" s="2262">
        <f>E115</f>
        <v>119520</v>
      </c>
      <c r="F114" s="2262">
        <f t="shared" ref="F114:H114" si="66">+F115</f>
        <v>2033</v>
      </c>
      <c r="G114" s="2262">
        <f t="shared" si="66"/>
        <v>138363</v>
      </c>
      <c r="H114" s="2262">
        <f t="shared" si="66"/>
        <v>218000</v>
      </c>
      <c r="I114" s="2262"/>
      <c r="J114" s="2262"/>
      <c r="K114" s="2262"/>
      <c r="L114" s="2262">
        <f>+L115</f>
        <v>0</v>
      </c>
      <c r="M114" s="4204"/>
      <c r="N114" s="4332"/>
      <c r="P114" s="152">
        <v>-4922063</v>
      </c>
    </row>
    <row r="115" spans="1:16" s="259" customFormat="1" ht="13.5" customHeight="1" thickBot="1">
      <c r="A115" s="4382"/>
      <c r="B115" s="2305" t="s">
        <v>136</v>
      </c>
      <c r="C115" s="3995"/>
      <c r="D115" s="1259">
        <f>E115+L115+F115+G115+H115+I115+J115+K115</f>
        <v>477916</v>
      </c>
      <c r="E115" s="1142">
        <v>119520</v>
      </c>
      <c r="F115" s="1630">
        <f>19475-17442</f>
        <v>2033</v>
      </c>
      <c r="G115" s="1630">
        <f>120921+17442</f>
        <v>138363</v>
      </c>
      <c r="H115" s="1630">
        <v>218000</v>
      </c>
      <c r="I115" s="1630"/>
      <c r="J115" s="1630"/>
      <c r="K115" s="1630"/>
      <c r="L115" s="1630">
        <v>0</v>
      </c>
      <c r="M115" s="4204"/>
      <c r="N115" s="4332"/>
    </row>
    <row r="116" spans="1:16" s="259" customFormat="1" ht="13.5" customHeight="1" thickBot="1">
      <c r="A116" s="4382"/>
      <c r="B116" s="2306" t="s">
        <v>17</v>
      </c>
      <c r="C116" s="4334" t="s">
        <v>21</v>
      </c>
      <c r="D116" s="1159">
        <f>D117</f>
        <v>524900</v>
      </c>
      <c r="E116" s="1159">
        <f>E117</f>
        <v>524900</v>
      </c>
      <c r="F116" s="1159">
        <f t="shared" ref="F116:H116" si="67">+F117</f>
        <v>0</v>
      </c>
      <c r="G116" s="1159">
        <f t="shared" si="67"/>
        <v>0</v>
      </c>
      <c r="H116" s="1159">
        <f t="shared" si="67"/>
        <v>0</v>
      </c>
      <c r="I116" s="1159"/>
      <c r="J116" s="1159"/>
      <c r="K116" s="1159"/>
      <c r="L116" s="1159">
        <f>+L117</f>
        <v>0</v>
      </c>
      <c r="M116" s="4204"/>
      <c r="N116" s="4332"/>
    </row>
    <row r="117" spans="1:16" s="259" customFormat="1" ht="13.5" customHeight="1" thickBot="1">
      <c r="A117" s="4382"/>
      <c r="B117" s="2307" t="s">
        <v>33</v>
      </c>
      <c r="C117" s="4336"/>
      <c r="D117" s="1263">
        <f>E117+L117+F117+G117+H117+I117+J117+K117</f>
        <v>524900</v>
      </c>
      <c r="E117" s="1381">
        <v>524900</v>
      </c>
      <c r="F117" s="1381">
        <v>0</v>
      </c>
      <c r="G117" s="1381">
        <v>0</v>
      </c>
      <c r="H117" s="1381">
        <v>0</v>
      </c>
      <c r="I117" s="1381"/>
      <c r="J117" s="1381"/>
      <c r="K117" s="1381"/>
      <c r="L117" s="1381">
        <v>0</v>
      </c>
      <c r="M117" s="4205"/>
      <c r="N117" s="4333"/>
    </row>
    <row r="118" spans="1:16" s="259" customFormat="1" ht="29.25" hidden="1" customHeight="1">
      <c r="A118" s="4154" t="s">
        <v>80</v>
      </c>
      <c r="B118" s="2175"/>
      <c r="C118" s="2112" t="s">
        <v>72</v>
      </c>
      <c r="D118" s="2292"/>
      <c r="E118" s="1609"/>
      <c r="F118" s="1609"/>
      <c r="G118" s="1609"/>
      <c r="H118" s="1609"/>
      <c r="I118" s="1609"/>
      <c r="J118" s="1609"/>
      <c r="K118" s="2293"/>
      <c r="L118" s="1609"/>
      <c r="M118" s="399"/>
      <c r="N118" s="4312" t="s">
        <v>319</v>
      </c>
    </row>
    <row r="119" spans="1:16" s="259" customFormat="1" ht="13.5" hidden="1" customHeight="1">
      <c r="A119" s="4154"/>
      <c r="B119" s="1256" t="s">
        <v>9</v>
      </c>
      <c r="C119" s="1627"/>
      <c r="D119" s="1174">
        <f>+D120+D123</f>
        <v>0</v>
      </c>
      <c r="E119" s="1174">
        <f t="shared" ref="E119" si="68">+E120+E123</f>
        <v>0</v>
      </c>
      <c r="F119" s="1174">
        <f t="shared" ref="F119" si="69">+F120+F123</f>
        <v>0</v>
      </c>
      <c r="G119" s="1174">
        <f>+G120+G123</f>
        <v>0</v>
      </c>
      <c r="H119" s="1174">
        <f>+H120+H123</f>
        <v>0</v>
      </c>
      <c r="I119" s="1174">
        <f t="shared" ref="I119:J119" si="70">+I120+I123</f>
        <v>0</v>
      </c>
      <c r="J119" s="1174">
        <f t="shared" si="70"/>
        <v>0</v>
      </c>
      <c r="K119" s="1174"/>
      <c r="L119" s="1174">
        <f>+L120+L123</f>
        <v>0</v>
      </c>
      <c r="M119" s="1257">
        <f>+M120</f>
        <v>0</v>
      </c>
      <c r="N119" s="4312"/>
    </row>
    <row r="120" spans="1:16" s="259" customFormat="1" ht="12" hidden="1" customHeight="1">
      <c r="A120" s="4154"/>
      <c r="B120" s="1628" t="s">
        <v>22</v>
      </c>
      <c r="C120" s="2358"/>
      <c r="D120" s="1159">
        <f>D122+D121</f>
        <v>0</v>
      </c>
      <c r="E120" s="1159">
        <f t="shared" ref="E120" si="71">E122+E121</f>
        <v>0</v>
      </c>
      <c r="F120" s="1159">
        <f>F122+F121</f>
        <v>0</v>
      </c>
      <c r="G120" s="1159">
        <f t="shared" ref="G120:J120" si="72">G122+G121</f>
        <v>0</v>
      </c>
      <c r="H120" s="1159">
        <f t="shared" si="72"/>
        <v>0</v>
      </c>
      <c r="I120" s="1159">
        <f t="shared" si="72"/>
        <v>0</v>
      </c>
      <c r="J120" s="1159">
        <f t="shared" si="72"/>
        <v>0</v>
      </c>
      <c r="K120" s="1159"/>
      <c r="L120" s="1159">
        <f>L122+L121</f>
        <v>0</v>
      </c>
      <c r="M120" s="1131">
        <f>+M122</f>
        <v>0</v>
      </c>
      <c r="N120" s="4312"/>
    </row>
    <row r="121" spans="1:16" s="259" customFormat="1" ht="12" hidden="1">
      <c r="A121" s="4154"/>
      <c r="B121" s="1629" t="s">
        <v>30</v>
      </c>
      <c r="C121" s="3049" t="s">
        <v>21</v>
      </c>
      <c r="D121" s="1115">
        <f>E121+L121+F121+G121+H121+I121+J121+K121</f>
        <v>0</v>
      </c>
      <c r="E121" s="1142"/>
      <c r="F121" s="1630"/>
      <c r="G121" s="1630">
        <v>0</v>
      </c>
      <c r="H121" s="1630">
        <v>0</v>
      </c>
      <c r="I121" s="1620"/>
      <c r="J121" s="1620"/>
      <c r="K121" s="1620"/>
      <c r="L121" s="1630">
        <v>0</v>
      </c>
      <c r="M121" s="407" t="s">
        <v>52</v>
      </c>
      <c r="N121" s="4312"/>
    </row>
    <row r="122" spans="1:16" s="259" customFormat="1" ht="12" hidden="1">
      <c r="A122" s="4154"/>
      <c r="B122" s="1631" t="s">
        <v>111</v>
      </c>
      <c r="C122" s="2375" t="s">
        <v>318</v>
      </c>
      <c r="D122" s="1115">
        <f>E122+L122+F122+G122+H122+I122+J122+K122</f>
        <v>0</v>
      </c>
      <c r="E122" s="1142"/>
      <c r="F122" s="1632"/>
      <c r="G122" s="1632"/>
      <c r="H122" s="1632"/>
      <c r="I122" s="1632"/>
      <c r="J122" s="1632"/>
      <c r="K122" s="1632"/>
      <c r="L122" s="1632">
        <f>62454-62454</f>
        <v>0</v>
      </c>
      <c r="M122" s="396">
        <f>SUM(G122:K122)</f>
        <v>0</v>
      </c>
      <c r="N122" s="4312"/>
    </row>
    <row r="123" spans="1:16" s="259" customFormat="1" ht="13.5" hidden="1" customHeight="1">
      <c r="A123" s="4154"/>
      <c r="B123" s="1633" t="s">
        <v>17</v>
      </c>
      <c r="C123" s="4314" t="s">
        <v>21</v>
      </c>
      <c r="D123" s="1243">
        <f>+D124</f>
        <v>0</v>
      </c>
      <c r="E123" s="1243">
        <f t="shared" ref="E123:M123" si="73">+E124</f>
        <v>0</v>
      </c>
      <c r="F123" s="1243">
        <f t="shared" si="73"/>
        <v>0</v>
      </c>
      <c r="G123" s="1243">
        <f t="shared" si="73"/>
        <v>0</v>
      </c>
      <c r="H123" s="1243">
        <f t="shared" si="73"/>
        <v>0</v>
      </c>
      <c r="I123" s="1243">
        <f t="shared" si="73"/>
        <v>0</v>
      </c>
      <c r="J123" s="1243">
        <f t="shared" si="73"/>
        <v>0</v>
      </c>
      <c r="K123" s="1621"/>
      <c r="L123" s="1243">
        <f>+L124</f>
        <v>0</v>
      </c>
      <c r="M123" s="1622" t="str">
        <f t="shared" si="73"/>
        <v>x</v>
      </c>
      <c r="N123" s="4312"/>
    </row>
    <row r="124" spans="1:16" s="259" customFormat="1" ht="12" hidden="1">
      <c r="A124" s="4154"/>
      <c r="B124" s="1631" t="s">
        <v>33</v>
      </c>
      <c r="C124" s="4315"/>
      <c r="D124" s="1115">
        <f>E124+L124+F124+G124+H124+I124+J124+K124</f>
        <v>0</v>
      </c>
      <c r="E124" s="1259"/>
      <c r="F124" s="1259"/>
      <c r="G124" s="1259"/>
      <c r="H124" s="1259"/>
      <c r="I124" s="1623"/>
      <c r="J124" s="1623"/>
      <c r="K124" s="1623"/>
      <c r="L124" s="1259">
        <v>0</v>
      </c>
      <c r="M124" s="1624" t="s">
        <v>52</v>
      </c>
      <c r="N124" s="4312"/>
    </row>
    <row r="125" spans="1:16" s="259" customFormat="1" ht="13.5" hidden="1" customHeight="1">
      <c r="A125" s="4154"/>
      <c r="B125" s="1256" t="s">
        <v>20</v>
      </c>
      <c r="C125" s="1634"/>
      <c r="D125" s="1169">
        <f>D128+D126</f>
        <v>0</v>
      </c>
      <c r="E125" s="1169">
        <f t="shared" ref="E125" si="74">E128+E126</f>
        <v>0</v>
      </c>
      <c r="F125" s="1169">
        <f t="shared" ref="F125" si="75">F128+F126</f>
        <v>0</v>
      </c>
      <c r="G125" s="1169">
        <f>G128+G126</f>
        <v>0</v>
      </c>
      <c r="H125" s="1169">
        <f>H128+H126</f>
        <v>0</v>
      </c>
      <c r="I125" s="1169">
        <f t="shared" ref="I125:J125" si="76">I128+I126</f>
        <v>0</v>
      </c>
      <c r="J125" s="1169">
        <f t="shared" si="76"/>
        <v>0</v>
      </c>
      <c r="K125" s="1169"/>
      <c r="L125" s="1169">
        <f>L128+L126</f>
        <v>0</v>
      </c>
      <c r="M125" s="4316" t="s">
        <v>52</v>
      </c>
      <c r="N125" s="4312"/>
    </row>
    <row r="126" spans="1:16" s="259" customFormat="1" ht="13.5" hidden="1" customHeight="1">
      <c r="A126" s="4154"/>
      <c r="B126" s="1260" t="s">
        <v>22</v>
      </c>
      <c r="C126" s="4344" t="s">
        <v>318</v>
      </c>
      <c r="D126" s="1249">
        <f>+D127</f>
        <v>0</v>
      </c>
      <c r="E126" s="1249">
        <f t="shared" ref="E126:J126" si="77">+E127</f>
        <v>0</v>
      </c>
      <c r="F126" s="1249">
        <f t="shared" si="77"/>
        <v>0</v>
      </c>
      <c r="G126" s="1249">
        <f t="shared" si="77"/>
        <v>0</v>
      </c>
      <c r="H126" s="1249">
        <f t="shared" si="77"/>
        <v>0</v>
      </c>
      <c r="I126" s="1249">
        <f t="shared" si="77"/>
        <v>0</v>
      </c>
      <c r="J126" s="1249">
        <f t="shared" si="77"/>
        <v>0</v>
      </c>
      <c r="K126" s="1249"/>
      <c r="L126" s="1249">
        <f>+L127</f>
        <v>0</v>
      </c>
      <c r="M126" s="4317"/>
      <c r="N126" s="4312"/>
    </row>
    <row r="127" spans="1:16" s="259" customFormat="1" ht="12" hidden="1" customHeight="1">
      <c r="A127" s="4154"/>
      <c r="B127" s="1631" t="s">
        <v>128</v>
      </c>
      <c r="C127" s="4345"/>
      <c r="D127" s="1115">
        <f>E127+L127+F127+G127+H127+I127+J127+K127</f>
        <v>0</v>
      </c>
      <c r="E127" s="1632"/>
      <c r="F127" s="1632"/>
      <c r="G127" s="1632"/>
      <c r="H127" s="1632"/>
      <c r="I127" s="1632"/>
      <c r="J127" s="1632"/>
      <c r="K127" s="1632"/>
      <c r="L127" s="1632"/>
      <c r="M127" s="4317"/>
      <c r="N127" s="4312"/>
    </row>
    <row r="128" spans="1:16" s="259" customFormat="1" ht="13.5" hidden="1" customHeight="1">
      <c r="A128" s="4154"/>
      <c r="B128" s="1633" t="s">
        <v>17</v>
      </c>
      <c r="C128" s="4314" t="s">
        <v>21</v>
      </c>
      <c r="D128" s="1243">
        <f>+D129</f>
        <v>0</v>
      </c>
      <c r="E128" s="1243">
        <f t="shared" ref="E128:J128" si="78">+E129</f>
        <v>0</v>
      </c>
      <c r="F128" s="1243">
        <f t="shared" si="78"/>
        <v>0</v>
      </c>
      <c r="G128" s="1243">
        <f t="shared" si="78"/>
        <v>0</v>
      </c>
      <c r="H128" s="1243">
        <f t="shared" si="78"/>
        <v>0</v>
      </c>
      <c r="I128" s="1243">
        <f t="shared" si="78"/>
        <v>0</v>
      </c>
      <c r="J128" s="1243">
        <f t="shared" si="78"/>
        <v>0</v>
      </c>
      <c r="K128" s="1243"/>
      <c r="L128" s="1243">
        <f>+L129</f>
        <v>0</v>
      </c>
      <c r="M128" s="4317"/>
      <c r="N128" s="4312"/>
    </row>
    <row r="129" spans="1:14" s="259" customFormat="1" ht="12.75" hidden="1" thickBot="1">
      <c r="A129" s="4155"/>
      <c r="B129" s="1261" t="s">
        <v>33</v>
      </c>
      <c r="C129" s="4337"/>
      <c r="D129" s="1636">
        <f>E129+L129+F129+G129+H129+I129+J129+K129</f>
        <v>0</v>
      </c>
      <c r="E129" s="1263"/>
      <c r="F129" s="1263"/>
      <c r="G129" s="1263"/>
      <c r="H129" s="1263"/>
      <c r="I129" s="1263"/>
      <c r="J129" s="1263"/>
      <c r="K129" s="1263"/>
      <c r="L129" s="1263">
        <v>0</v>
      </c>
      <c r="M129" s="4318"/>
      <c r="N129" s="4313"/>
    </row>
    <row r="130" spans="1:14" s="259" customFormat="1" ht="30" hidden="1" customHeight="1">
      <c r="A130" s="4340" t="s">
        <v>81</v>
      </c>
      <c r="B130" s="406"/>
      <c r="C130" s="2108" t="s">
        <v>72</v>
      </c>
      <c r="D130" s="2109"/>
      <c r="E130" s="321"/>
      <c r="F130" s="321"/>
      <c r="G130" s="321"/>
      <c r="H130" s="321"/>
      <c r="I130" s="321"/>
      <c r="J130" s="321"/>
      <c r="K130" s="1108"/>
      <c r="L130" s="321"/>
      <c r="M130" s="414"/>
      <c r="N130" s="4328" t="s">
        <v>319</v>
      </c>
    </row>
    <row r="131" spans="1:14" s="259" customFormat="1" ht="12" hidden="1">
      <c r="A131" s="4154"/>
      <c r="B131" s="1256" t="s">
        <v>9</v>
      </c>
      <c r="C131" s="1627"/>
      <c r="D131" s="1174">
        <f>+D132+D135</f>
        <v>0</v>
      </c>
      <c r="E131" s="1174">
        <f t="shared" ref="E131" si="79">+E132+E135</f>
        <v>0</v>
      </c>
      <c r="F131" s="1174">
        <f t="shared" ref="F131" si="80">+F132+F135</f>
        <v>0</v>
      </c>
      <c r="G131" s="1174">
        <f>+G132+G135</f>
        <v>0</v>
      </c>
      <c r="H131" s="1174">
        <f>+H132+H135</f>
        <v>0</v>
      </c>
      <c r="I131" s="1174">
        <f t="shared" ref="I131:J131" si="81">+I132+I135</f>
        <v>0</v>
      </c>
      <c r="J131" s="1174">
        <f t="shared" si="81"/>
        <v>0</v>
      </c>
      <c r="K131" s="1174"/>
      <c r="L131" s="1174">
        <f>+L132+L135</f>
        <v>0</v>
      </c>
      <c r="M131" s="1257">
        <f>+M132</f>
        <v>0</v>
      </c>
      <c r="N131" s="4312"/>
    </row>
    <row r="132" spans="1:14" s="259" customFormat="1" ht="12" hidden="1">
      <c r="A132" s="4154"/>
      <c r="B132" s="1628" t="s">
        <v>22</v>
      </c>
      <c r="C132" s="4344" t="s">
        <v>318</v>
      </c>
      <c r="D132" s="1159">
        <f>D134+D133</f>
        <v>0</v>
      </c>
      <c r="E132" s="1159">
        <f t="shared" ref="E132" si="82">E134+E133</f>
        <v>0</v>
      </c>
      <c r="F132" s="1159">
        <f t="shared" ref="F132:J132" si="83">F134+F133</f>
        <v>0</v>
      </c>
      <c r="G132" s="1159">
        <f t="shared" si="83"/>
        <v>0</v>
      </c>
      <c r="H132" s="1159">
        <f t="shared" si="83"/>
        <v>0</v>
      </c>
      <c r="I132" s="1159">
        <f t="shared" si="83"/>
        <v>0</v>
      </c>
      <c r="J132" s="1159">
        <f t="shared" si="83"/>
        <v>0</v>
      </c>
      <c r="K132" s="1159"/>
      <c r="L132" s="1159">
        <v>0</v>
      </c>
      <c r="M132" s="1131">
        <f>+M134</f>
        <v>0</v>
      </c>
      <c r="N132" s="4312"/>
    </row>
    <row r="133" spans="1:14" s="259" customFormat="1" ht="13.5" hidden="1" customHeight="1">
      <c r="A133" s="4154"/>
      <c r="B133" s="1629" t="s">
        <v>30</v>
      </c>
      <c r="C133" s="4345"/>
      <c r="D133" s="698">
        <f>E133+L133+F133+G133+H133+I133+J133+K133</f>
        <v>0</v>
      </c>
      <c r="E133" s="1630">
        <v>0</v>
      </c>
      <c r="F133" s="1630">
        <v>0</v>
      </c>
      <c r="G133" s="1630">
        <v>0</v>
      </c>
      <c r="H133" s="1630">
        <v>0</v>
      </c>
      <c r="I133" s="1620"/>
      <c r="J133" s="1620"/>
      <c r="K133" s="1620"/>
      <c r="L133" s="1630">
        <v>0</v>
      </c>
      <c r="M133" s="407" t="s">
        <v>52</v>
      </c>
      <c r="N133" s="4312"/>
    </row>
    <row r="134" spans="1:14" s="259" customFormat="1" ht="13.5" hidden="1" customHeight="1" thickBot="1">
      <c r="A134" s="4154"/>
      <c r="B134" s="1631" t="s">
        <v>111</v>
      </c>
      <c r="C134" s="4378"/>
      <c r="D134" s="698">
        <f>E134+L134+F134+G134+H134+I134+J134+K134</f>
        <v>0</v>
      </c>
      <c r="E134" s="1653"/>
      <c r="F134" s="1653"/>
      <c r="G134" s="1653"/>
      <c r="H134" s="1653"/>
      <c r="I134" s="1653"/>
      <c r="J134" s="1653"/>
      <c r="K134" s="1653"/>
      <c r="L134" s="1653">
        <v>0</v>
      </c>
      <c r="M134" s="396">
        <f>SUM(G134:K134)</f>
        <v>0</v>
      </c>
      <c r="N134" s="4312"/>
    </row>
    <row r="135" spans="1:14" s="259" customFormat="1" ht="13.5" hidden="1" customHeight="1">
      <c r="A135" s="4154"/>
      <c r="B135" s="1633" t="s">
        <v>17</v>
      </c>
      <c r="C135" s="4314" t="s">
        <v>21</v>
      </c>
      <c r="D135" s="1243">
        <f>+D136</f>
        <v>0</v>
      </c>
      <c r="E135" s="2543">
        <f t="shared" ref="E135:M135" si="84">+E136</f>
        <v>0</v>
      </c>
      <c r="F135" s="1621">
        <f t="shared" si="84"/>
        <v>0</v>
      </c>
      <c r="G135" s="1621">
        <f t="shared" si="84"/>
        <v>0</v>
      </c>
      <c r="H135" s="1621">
        <f t="shared" si="84"/>
        <v>0</v>
      </c>
      <c r="I135" s="1621">
        <f t="shared" si="84"/>
        <v>0</v>
      </c>
      <c r="J135" s="1621">
        <f t="shared" si="84"/>
        <v>0</v>
      </c>
      <c r="K135" s="1621"/>
      <c r="L135" s="1621">
        <f>+L136</f>
        <v>0</v>
      </c>
      <c r="M135" s="1622" t="str">
        <f t="shared" si="84"/>
        <v>x</v>
      </c>
      <c r="N135" s="4312"/>
    </row>
    <row r="136" spans="1:14" s="259" customFormat="1" ht="13.5" hidden="1" customHeight="1">
      <c r="A136" s="4154"/>
      <c r="B136" s="1631" t="s">
        <v>33</v>
      </c>
      <c r="C136" s="4315"/>
      <c r="D136" s="698">
        <f>E136+L136+F136+G136+H136+I136+J136+K136</f>
        <v>0</v>
      </c>
      <c r="E136" s="1650"/>
      <c r="F136" s="1259">
        <v>0</v>
      </c>
      <c r="G136" s="1259"/>
      <c r="H136" s="1259"/>
      <c r="I136" s="1623"/>
      <c r="J136" s="1623"/>
      <c r="K136" s="1623"/>
      <c r="L136" s="1259">
        <v>0</v>
      </c>
      <c r="M136" s="1624" t="s">
        <v>52</v>
      </c>
      <c r="N136" s="4312"/>
    </row>
    <row r="137" spans="1:14" s="259" customFormat="1" ht="13.5" hidden="1" customHeight="1">
      <c r="A137" s="4154"/>
      <c r="B137" s="1256" t="s">
        <v>20</v>
      </c>
      <c r="C137" s="1634"/>
      <c r="D137" s="1169">
        <f>D140+D138</f>
        <v>0</v>
      </c>
      <c r="E137" s="1635">
        <f>E140+E138</f>
        <v>0</v>
      </c>
      <c r="F137" s="1169">
        <f t="shared" ref="F137" si="85">F140+F138</f>
        <v>0</v>
      </c>
      <c r="G137" s="1169">
        <f>G140+G138</f>
        <v>0</v>
      </c>
      <c r="H137" s="1169">
        <f>H140+H138</f>
        <v>0</v>
      </c>
      <c r="I137" s="1169">
        <f t="shared" ref="I137:J137" si="86">I140+I138</f>
        <v>0</v>
      </c>
      <c r="J137" s="1169">
        <f t="shared" si="86"/>
        <v>0</v>
      </c>
      <c r="K137" s="1169"/>
      <c r="L137" s="1169">
        <f>L140+L138</f>
        <v>0</v>
      </c>
      <c r="M137" s="4316" t="s">
        <v>52</v>
      </c>
      <c r="N137" s="4312"/>
    </row>
    <row r="138" spans="1:14" s="259" customFormat="1" ht="13.5" hidden="1" customHeight="1">
      <c r="A138" s="4154"/>
      <c r="B138" s="1260" t="s">
        <v>22</v>
      </c>
      <c r="C138" s="4344" t="s">
        <v>318</v>
      </c>
      <c r="D138" s="1249">
        <f>+D139</f>
        <v>0</v>
      </c>
      <c r="E138" s="1654">
        <f t="shared" ref="E138:J138" si="87">+E139</f>
        <v>0</v>
      </c>
      <c r="F138" s="1249">
        <f t="shared" si="87"/>
        <v>0</v>
      </c>
      <c r="G138" s="1249">
        <f t="shared" si="87"/>
        <v>0</v>
      </c>
      <c r="H138" s="1249">
        <f t="shared" si="87"/>
        <v>0</v>
      </c>
      <c r="I138" s="1249">
        <f t="shared" si="87"/>
        <v>0</v>
      </c>
      <c r="J138" s="1249">
        <f t="shared" si="87"/>
        <v>0</v>
      </c>
      <c r="K138" s="1249"/>
      <c r="L138" s="1249">
        <f>+L139</f>
        <v>0</v>
      </c>
      <c r="M138" s="4317"/>
      <c r="N138" s="4312"/>
    </row>
    <row r="139" spans="1:14" s="259" customFormat="1" ht="13.5" hidden="1" customHeight="1">
      <c r="A139" s="4154"/>
      <c r="B139" s="1631" t="s">
        <v>128</v>
      </c>
      <c r="C139" s="4345"/>
      <c r="D139" s="698">
        <f>E139+L139+F139+G139+H139+I139+J139+K139</f>
        <v>0</v>
      </c>
      <c r="E139" s="1650"/>
      <c r="F139" s="1632"/>
      <c r="G139" s="1632"/>
      <c r="H139" s="1632"/>
      <c r="I139" s="1632"/>
      <c r="J139" s="1632"/>
      <c r="K139" s="1632"/>
      <c r="L139" s="1632"/>
      <c r="M139" s="4317"/>
      <c r="N139" s="4312"/>
    </row>
    <row r="140" spans="1:14" s="259" customFormat="1" ht="13.5" hidden="1" customHeight="1">
      <c r="A140" s="4154"/>
      <c r="B140" s="1633" t="s">
        <v>17</v>
      </c>
      <c r="C140" s="4314" t="s">
        <v>21</v>
      </c>
      <c r="D140" s="1243">
        <f>+D141</f>
        <v>0</v>
      </c>
      <c r="E140" s="2543">
        <f t="shared" ref="E140:J140" si="88">+E141</f>
        <v>0</v>
      </c>
      <c r="F140" s="1243">
        <f t="shared" si="88"/>
        <v>0</v>
      </c>
      <c r="G140" s="1243">
        <f t="shared" si="88"/>
        <v>0</v>
      </c>
      <c r="H140" s="1243">
        <f t="shared" si="88"/>
        <v>0</v>
      </c>
      <c r="I140" s="1243">
        <f t="shared" si="88"/>
        <v>0</v>
      </c>
      <c r="J140" s="1243">
        <f t="shared" si="88"/>
        <v>0</v>
      </c>
      <c r="K140" s="1243"/>
      <c r="L140" s="1243">
        <f>+L141</f>
        <v>0</v>
      </c>
      <c r="M140" s="4317"/>
      <c r="N140" s="4312"/>
    </row>
    <row r="141" spans="1:14" s="259" customFormat="1" ht="13.5" hidden="1" customHeight="1" thickBot="1">
      <c r="A141" s="4155"/>
      <c r="B141" s="1261" t="s">
        <v>33</v>
      </c>
      <c r="C141" s="4337"/>
      <c r="D141" s="1636">
        <f>E141+L141+F141+G141+H141+I141+J141+K141</f>
        <v>0</v>
      </c>
      <c r="E141" s="1637"/>
      <c r="F141" s="1263">
        <v>0</v>
      </c>
      <c r="G141" s="1263"/>
      <c r="H141" s="1263"/>
      <c r="I141" s="1263"/>
      <c r="J141" s="1263"/>
      <c r="K141" s="1263"/>
      <c r="L141" s="1263">
        <v>0</v>
      </c>
      <c r="M141" s="4318"/>
      <c r="N141" s="4313"/>
    </row>
    <row r="142" spans="1:14" s="259" customFormat="1" ht="39.75" customHeight="1">
      <c r="A142" s="4340" t="s">
        <v>80</v>
      </c>
      <c r="B142" s="406" t="s">
        <v>430</v>
      </c>
      <c r="C142" s="2108" t="s">
        <v>72</v>
      </c>
      <c r="D142" s="2109"/>
      <c r="E142" s="321"/>
      <c r="F142" s="321"/>
      <c r="G142" s="321"/>
      <c r="H142" s="321"/>
      <c r="I142" s="321"/>
      <c r="J142" s="321"/>
      <c r="K142" s="1108"/>
      <c r="L142" s="321"/>
      <c r="M142" s="414"/>
      <c r="N142" s="4328" t="s">
        <v>396</v>
      </c>
    </row>
    <row r="143" spans="1:14" s="259" customFormat="1" ht="13.5" customHeight="1">
      <c r="A143" s="4154"/>
      <c r="B143" s="1256" t="s">
        <v>9</v>
      </c>
      <c r="C143" s="1627"/>
      <c r="D143" s="1174">
        <f>+D144+D148</f>
        <v>3503619</v>
      </c>
      <c r="E143" s="1174">
        <f t="shared" ref="E143" si="89">+E144+E148</f>
        <v>41820</v>
      </c>
      <c r="F143" s="1174">
        <f t="shared" ref="F143" si="90">+F144+F148</f>
        <v>343853</v>
      </c>
      <c r="G143" s="1174">
        <f>+G144+G148</f>
        <v>3117946</v>
      </c>
      <c r="H143" s="1174">
        <f>+H144+H148</f>
        <v>0</v>
      </c>
      <c r="I143" s="1174">
        <f t="shared" ref="I143:J143" si="91">+I144+I148</f>
        <v>0</v>
      </c>
      <c r="J143" s="1174">
        <f t="shared" si="91"/>
        <v>0</v>
      </c>
      <c r="K143" s="1174"/>
      <c r="L143" s="1174">
        <f>+L144+L148</f>
        <v>0</v>
      </c>
      <c r="M143" s="1257">
        <f>+M144</f>
        <v>564846</v>
      </c>
      <c r="N143" s="4312"/>
    </row>
    <row r="144" spans="1:14" s="259" customFormat="1" ht="13.5" customHeight="1">
      <c r="A144" s="4154"/>
      <c r="B144" s="1628" t="s">
        <v>22</v>
      </c>
      <c r="C144" s="2358"/>
      <c r="D144" s="1159">
        <f>D146+D145+D147</f>
        <v>1052313</v>
      </c>
      <c r="E144" s="1159">
        <f t="shared" ref="E144" si="92">E146+E145+E147</f>
        <v>17170</v>
      </c>
      <c r="F144" s="1159">
        <f t="shared" ref="F144:K144" si="93">F146+F145+F147</f>
        <v>87332</v>
      </c>
      <c r="G144" s="1159">
        <f t="shared" si="93"/>
        <v>947811</v>
      </c>
      <c r="H144" s="1159">
        <f t="shared" si="93"/>
        <v>0</v>
      </c>
      <c r="I144" s="1159">
        <f t="shared" si="93"/>
        <v>0</v>
      </c>
      <c r="J144" s="1159">
        <f t="shared" si="93"/>
        <v>0</v>
      </c>
      <c r="K144" s="1159">
        <f t="shared" si="93"/>
        <v>0</v>
      </c>
      <c r="L144" s="1159">
        <f>L146+L145+L147</f>
        <v>0</v>
      </c>
      <c r="M144" s="1131">
        <f>+M146</f>
        <v>564846</v>
      </c>
      <c r="N144" s="4312"/>
    </row>
    <row r="145" spans="1:75" s="259" customFormat="1" ht="12">
      <c r="A145" s="4154"/>
      <c r="B145" s="1629" t="s">
        <v>30</v>
      </c>
      <c r="C145" s="3049" t="s">
        <v>21</v>
      </c>
      <c r="D145" s="1115">
        <f>E145+L145+F145+G145+H145+I145+J145+K145</f>
        <v>12820</v>
      </c>
      <c r="E145" s="1630">
        <v>12820</v>
      </c>
      <c r="F145" s="1630">
        <v>0</v>
      </c>
      <c r="G145" s="1630">
        <v>0</v>
      </c>
      <c r="H145" s="1630">
        <v>0</v>
      </c>
      <c r="I145" s="1620"/>
      <c r="J145" s="1620"/>
      <c r="K145" s="1620"/>
      <c r="L145" s="1630"/>
      <c r="M145" s="407" t="s">
        <v>52</v>
      </c>
      <c r="N145" s="4312"/>
    </row>
    <row r="146" spans="1:75" s="259" customFormat="1" ht="12">
      <c r="A146" s="4154"/>
      <c r="B146" s="1631" t="s">
        <v>111</v>
      </c>
      <c r="C146" s="2375" t="s">
        <v>149</v>
      </c>
      <c r="D146" s="1115">
        <f>E146+L146+F146+G146+H146+I146+J146+K146</f>
        <v>606910</v>
      </c>
      <c r="E146" s="1632">
        <v>0</v>
      </c>
      <c r="F146" s="1632">
        <f>308599-92006-174529</f>
        <v>42064</v>
      </c>
      <c r="G146" s="1632">
        <f>298311+92006+174529</f>
        <v>564846</v>
      </c>
      <c r="H146" s="1632"/>
      <c r="I146" s="1632"/>
      <c r="J146" s="1632"/>
      <c r="K146" s="1632"/>
      <c r="L146" s="1632">
        <v>0</v>
      </c>
      <c r="M146" s="396">
        <f>SUM(G146:K146)</f>
        <v>564846</v>
      </c>
      <c r="N146" s="4312"/>
    </row>
    <row r="147" spans="1:75" s="259" customFormat="1" ht="12.75" customHeight="1">
      <c r="A147" s="4154"/>
      <c r="B147" s="1631" t="s">
        <v>393</v>
      </c>
      <c r="C147" s="4314" t="s">
        <v>21</v>
      </c>
      <c r="D147" s="1115">
        <f>E147+L147+F147+G147+H147+I147+J147+K147</f>
        <v>432583</v>
      </c>
      <c r="E147" s="1632">
        <v>4350</v>
      </c>
      <c r="F147" s="1632">
        <f>222704-64948-112488</f>
        <v>45268</v>
      </c>
      <c r="G147" s="1632">
        <f>205529+64948+112488</f>
        <v>382965</v>
      </c>
      <c r="H147" s="1632"/>
      <c r="I147" s="1632"/>
      <c r="J147" s="1632"/>
      <c r="K147" s="3414"/>
      <c r="L147" s="1632"/>
      <c r="M147" s="1638"/>
      <c r="N147" s="4312"/>
    </row>
    <row r="148" spans="1:75" s="259" customFormat="1" ht="13.5" customHeight="1">
      <c r="A148" s="4154"/>
      <c r="B148" s="1633" t="s">
        <v>17</v>
      </c>
      <c r="C148" s="4353"/>
      <c r="D148" s="1243">
        <f>+D149</f>
        <v>2451306</v>
      </c>
      <c r="E148" s="1243">
        <f t="shared" ref="E148:M148" si="94">+E149</f>
        <v>24650</v>
      </c>
      <c r="F148" s="1243">
        <f t="shared" si="94"/>
        <v>256521</v>
      </c>
      <c r="G148" s="1243">
        <f t="shared" si="94"/>
        <v>2170135</v>
      </c>
      <c r="H148" s="1243">
        <f t="shared" si="94"/>
        <v>0</v>
      </c>
      <c r="I148" s="1243">
        <f t="shared" si="94"/>
        <v>0</v>
      </c>
      <c r="J148" s="1243">
        <f t="shared" si="94"/>
        <v>0</v>
      </c>
      <c r="K148" s="1621"/>
      <c r="L148" s="1243">
        <f>+L149</f>
        <v>0</v>
      </c>
      <c r="M148" s="1622" t="str">
        <f t="shared" si="94"/>
        <v>x</v>
      </c>
      <c r="N148" s="4312"/>
    </row>
    <row r="149" spans="1:75" s="259" customFormat="1" ht="13.5" customHeight="1">
      <c r="A149" s="4154"/>
      <c r="B149" s="1631" t="s">
        <v>33</v>
      </c>
      <c r="C149" s="4315"/>
      <c r="D149" s="1115">
        <f>E149+L149+F149+G149+H149+I149+J149+K149</f>
        <v>2451306</v>
      </c>
      <c r="E149" s="1259">
        <v>24650</v>
      </c>
      <c r="F149" s="1259">
        <f>1261991-368039-637431</f>
        <v>256521</v>
      </c>
      <c r="G149" s="1259">
        <f>1164665+368039+637431</f>
        <v>2170135</v>
      </c>
      <c r="H149" s="1259"/>
      <c r="I149" s="1623"/>
      <c r="J149" s="1623"/>
      <c r="K149" s="1623"/>
      <c r="L149" s="1259"/>
      <c r="M149" s="1624" t="s">
        <v>52</v>
      </c>
      <c r="N149" s="4312"/>
    </row>
    <row r="150" spans="1:75" s="259" customFormat="1" ht="13.5" customHeight="1">
      <c r="A150" s="4154"/>
      <c r="B150" s="1256" t="s">
        <v>20</v>
      </c>
      <c r="C150" s="1634"/>
      <c r="D150" s="1169">
        <f>D154+D151</f>
        <v>3490799</v>
      </c>
      <c r="E150" s="1225">
        <f t="shared" ref="E150:F150" si="95">E154+E151</f>
        <v>0</v>
      </c>
      <c r="F150" s="1169">
        <f t="shared" si="95"/>
        <v>270621</v>
      </c>
      <c r="G150" s="1169">
        <f>G154+G151</f>
        <v>3220178</v>
      </c>
      <c r="H150" s="1169">
        <f>H154+H151</f>
        <v>0</v>
      </c>
      <c r="I150" s="1169">
        <f t="shared" ref="I150:J150" si="96">I154+I151</f>
        <v>0</v>
      </c>
      <c r="J150" s="1169">
        <f t="shared" si="96"/>
        <v>0</v>
      </c>
      <c r="K150" s="1169"/>
      <c r="L150" s="1169">
        <f>L154+L151</f>
        <v>0</v>
      </c>
      <c r="M150" s="4316" t="s">
        <v>52</v>
      </c>
      <c r="N150" s="4312"/>
    </row>
    <row r="151" spans="1:75" s="259" customFormat="1" ht="13.5" customHeight="1">
      <c r="A151" s="4154"/>
      <c r="B151" s="1260" t="s">
        <v>22</v>
      </c>
      <c r="C151" s="4344" t="s">
        <v>149</v>
      </c>
      <c r="D151" s="1249">
        <f>+D152+D153</f>
        <v>1039493</v>
      </c>
      <c r="E151" s="1654">
        <f t="shared" ref="E151:J151" si="97">+E152+E153</f>
        <v>0</v>
      </c>
      <c r="F151" s="1249">
        <f t="shared" si="97"/>
        <v>65040</v>
      </c>
      <c r="G151" s="1249">
        <f t="shared" si="97"/>
        <v>974453</v>
      </c>
      <c r="H151" s="1249">
        <f t="shared" si="97"/>
        <v>0</v>
      </c>
      <c r="I151" s="1249">
        <f t="shared" si="97"/>
        <v>0</v>
      </c>
      <c r="J151" s="1249">
        <f t="shared" si="97"/>
        <v>0</v>
      </c>
      <c r="K151" s="1249"/>
      <c r="L151" s="1249">
        <f>+L152+L153</f>
        <v>0</v>
      </c>
      <c r="M151" s="4317"/>
      <c r="N151" s="4312"/>
    </row>
    <row r="152" spans="1:75" s="259" customFormat="1" ht="12">
      <c r="A152" s="4154"/>
      <c r="B152" s="1631" t="s">
        <v>136</v>
      </c>
      <c r="C152" s="4378"/>
      <c r="D152" s="1115">
        <f>E152+L152+F152+G152+H152+I152+J152+K152</f>
        <v>606910</v>
      </c>
      <c r="E152" s="1601">
        <v>0</v>
      </c>
      <c r="F152" s="1632">
        <f>308599-173062-115804+9028</f>
        <v>28761</v>
      </c>
      <c r="G152" s="1632">
        <f>298311+173062+115804-9028</f>
        <v>578149</v>
      </c>
      <c r="H152" s="1632"/>
      <c r="I152" s="1632"/>
      <c r="J152" s="1632"/>
      <c r="K152" s="1632"/>
      <c r="L152" s="1632"/>
      <c r="M152" s="4317"/>
      <c r="N152" s="4312"/>
    </row>
    <row r="153" spans="1:75" s="259" customFormat="1" ht="12">
      <c r="A153" s="4154"/>
      <c r="B153" s="1631" t="s">
        <v>393</v>
      </c>
      <c r="C153" s="4353" t="s">
        <v>21</v>
      </c>
      <c r="D153" s="1115">
        <f>E153+L153+F153+G153+H153+I153+J153+K153</f>
        <v>432583</v>
      </c>
      <c r="E153" s="1601"/>
      <c r="F153" s="1632">
        <f>227054-70304-120471</f>
        <v>36279</v>
      </c>
      <c r="G153" s="1632">
        <f>205529+70304+120471</f>
        <v>396304</v>
      </c>
      <c r="H153" s="1632"/>
      <c r="I153" s="1632"/>
      <c r="J153" s="1632"/>
      <c r="K153" s="1632"/>
      <c r="L153" s="1632"/>
      <c r="M153" s="4317"/>
      <c r="N153" s="4312"/>
    </row>
    <row r="154" spans="1:75" ht="14.25" customHeight="1">
      <c r="A154" s="4154"/>
      <c r="B154" s="1633" t="s">
        <v>17</v>
      </c>
      <c r="C154" s="4353"/>
      <c r="D154" s="1243">
        <f>+D155</f>
        <v>2451306</v>
      </c>
      <c r="E154" s="2300">
        <f t="shared" ref="E154:J154" si="98">+E155</f>
        <v>0</v>
      </c>
      <c r="F154" s="1243">
        <f t="shared" si="98"/>
        <v>205581</v>
      </c>
      <c r="G154" s="1243">
        <f t="shared" si="98"/>
        <v>2245725</v>
      </c>
      <c r="H154" s="1243">
        <f t="shared" si="98"/>
        <v>0</v>
      </c>
      <c r="I154" s="1243">
        <f t="shared" si="98"/>
        <v>0</v>
      </c>
      <c r="J154" s="1243">
        <f t="shared" si="98"/>
        <v>0</v>
      </c>
      <c r="K154" s="1243"/>
      <c r="L154" s="1243">
        <f>+L155</f>
        <v>0</v>
      </c>
      <c r="M154" s="4317"/>
      <c r="N154" s="4312"/>
      <c r="O154" s="259"/>
      <c r="P154" s="259"/>
      <c r="Q154" s="259"/>
      <c r="R154" s="259"/>
      <c r="S154" s="259"/>
      <c r="T154" s="259"/>
      <c r="U154" s="259"/>
      <c r="V154" s="259"/>
      <c r="W154" s="259"/>
      <c r="X154" s="259"/>
      <c r="Y154" s="259"/>
      <c r="Z154" s="259"/>
      <c r="AA154" s="259"/>
      <c r="AB154" s="259"/>
      <c r="AC154" s="259"/>
      <c r="AD154" s="259"/>
      <c r="AE154" s="259"/>
      <c r="AF154" s="259"/>
      <c r="AG154" s="259"/>
      <c r="AH154" s="259"/>
      <c r="AI154" s="259"/>
      <c r="AJ154" s="259"/>
      <c r="AK154" s="259"/>
      <c r="AL154" s="259"/>
      <c r="AM154" s="259"/>
      <c r="AN154" s="259"/>
      <c r="AO154" s="259"/>
      <c r="AP154" s="259"/>
      <c r="AQ154" s="259"/>
      <c r="AR154" s="259"/>
      <c r="AS154" s="259"/>
      <c r="AT154" s="259"/>
      <c r="AU154" s="259"/>
      <c r="AV154" s="259"/>
      <c r="AW154" s="259"/>
      <c r="AX154" s="259"/>
      <c r="AY154" s="259"/>
      <c r="AZ154" s="259"/>
      <c r="BA154" s="259"/>
      <c r="BB154" s="259"/>
      <c r="BC154" s="259"/>
      <c r="BD154" s="259"/>
      <c r="BE154" s="259"/>
      <c r="BF154" s="259"/>
      <c r="BG154" s="259"/>
      <c r="BH154" s="259"/>
      <c r="BI154" s="259"/>
      <c r="BJ154" s="259"/>
      <c r="BK154" s="259"/>
      <c r="BL154" s="259"/>
      <c r="BM154" s="259"/>
      <c r="BN154" s="259"/>
      <c r="BO154" s="259"/>
      <c r="BP154" s="259"/>
      <c r="BQ154" s="259"/>
      <c r="BR154" s="259"/>
      <c r="BS154" s="259"/>
      <c r="BT154" s="259"/>
      <c r="BU154" s="259"/>
      <c r="BV154" s="259"/>
      <c r="BW154" s="259"/>
    </row>
    <row r="155" spans="1:75" ht="13.5" customHeight="1" thickBot="1">
      <c r="A155" s="4155"/>
      <c r="B155" s="1261" t="s">
        <v>33</v>
      </c>
      <c r="C155" s="4337"/>
      <c r="D155" s="1410">
        <f>E155+L155+F155+G155+H155+I155+J155+K155</f>
        <v>2451306</v>
      </c>
      <c r="E155" s="3403">
        <v>0</v>
      </c>
      <c r="F155" s="1263">
        <f>1286641-398390-682670</f>
        <v>205581</v>
      </c>
      <c r="G155" s="1263">
        <f>1164665+398390+682670</f>
        <v>2245725</v>
      </c>
      <c r="H155" s="1263"/>
      <c r="I155" s="1263"/>
      <c r="J155" s="1263"/>
      <c r="K155" s="1263"/>
      <c r="L155" s="1263">
        <v>0</v>
      </c>
      <c r="M155" s="4318"/>
      <c r="N155" s="4313"/>
    </row>
    <row r="156" spans="1:75" ht="28.5" customHeight="1">
      <c r="A156" s="4340" t="s">
        <v>81</v>
      </c>
      <c r="B156" s="406" t="s">
        <v>472</v>
      </c>
      <c r="C156" s="2108" t="s">
        <v>99</v>
      </c>
      <c r="D156" s="2109"/>
      <c r="E156" s="321"/>
      <c r="F156" s="321"/>
      <c r="G156" s="321"/>
      <c r="H156" s="321"/>
      <c r="I156" s="321"/>
      <c r="J156" s="321"/>
      <c r="K156" s="1108"/>
      <c r="L156" s="321"/>
      <c r="M156" s="399"/>
      <c r="N156" s="4328" t="s">
        <v>148</v>
      </c>
    </row>
    <row r="157" spans="1:75" ht="14.25" customHeight="1">
      <c r="A157" s="4154"/>
      <c r="B157" s="1256" t="s">
        <v>9</v>
      </c>
      <c r="C157" s="1627"/>
      <c r="D157" s="1174">
        <f>+D158+D161</f>
        <v>5273902</v>
      </c>
      <c r="E157" s="1174">
        <f t="shared" ref="E157:F157" si="99">+E158+E161</f>
        <v>7255</v>
      </c>
      <c r="F157" s="1174">
        <f t="shared" si="99"/>
        <v>292189</v>
      </c>
      <c r="G157" s="1174">
        <f>+G158+G161</f>
        <v>3767970</v>
      </c>
      <c r="H157" s="1174">
        <f>+H158+H161</f>
        <v>1206488</v>
      </c>
      <c r="I157" s="1174">
        <f t="shared" ref="I157:J157" si="100">+I158+I161</f>
        <v>0</v>
      </c>
      <c r="J157" s="1174">
        <f t="shared" si="100"/>
        <v>0</v>
      </c>
      <c r="K157" s="1174"/>
      <c r="L157" s="1174">
        <f>+L158+L161</f>
        <v>0</v>
      </c>
      <c r="M157" s="1257">
        <f>+M158</f>
        <v>1308068</v>
      </c>
      <c r="N157" s="4312"/>
    </row>
    <row r="158" spans="1:75" ht="12" customHeight="1">
      <c r="A158" s="4154"/>
      <c r="B158" s="1628" t="s">
        <v>22</v>
      </c>
      <c r="C158" s="2358"/>
      <c r="D158" s="1159">
        <f>D160+D159</f>
        <v>1480405</v>
      </c>
      <c r="E158" s="1159">
        <f t="shared" ref="E158:J158" si="101">E160+E159</f>
        <v>7255</v>
      </c>
      <c r="F158" s="1159">
        <f t="shared" si="101"/>
        <v>165082</v>
      </c>
      <c r="G158" s="1159">
        <f t="shared" si="101"/>
        <v>983807</v>
      </c>
      <c r="H158" s="1159">
        <f t="shared" si="101"/>
        <v>324261</v>
      </c>
      <c r="I158" s="1159">
        <f t="shared" si="101"/>
        <v>0</v>
      </c>
      <c r="J158" s="1159">
        <f t="shared" si="101"/>
        <v>0</v>
      </c>
      <c r="K158" s="1159"/>
      <c r="L158" s="1159">
        <f>L160+L159</f>
        <v>0</v>
      </c>
      <c r="M158" s="1131">
        <f>+M160</f>
        <v>1308068</v>
      </c>
      <c r="N158" s="4312"/>
    </row>
    <row r="159" spans="1:75" ht="12" customHeight="1">
      <c r="A159" s="4154"/>
      <c r="B159" s="1629" t="s">
        <v>30</v>
      </c>
      <c r="C159" s="3051" t="s">
        <v>21</v>
      </c>
      <c r="D159" s="1115">
        <f>E159+L159+F159+G159+H159+I159+J159+K159</f>
        <v>7255</v>
      </c>
      <c r="E159" s="1142">
        <f>2279+3776+1200</f>
        <v>7255</v>
      </c>
      <c r="F159" s="1630">
        <v>0</v>
      </c>
      <c r="G159" s="1630">
        <v>0</v>
      </c>
      <c r="H159" s="1630">
        <v>0</v>
      </c>
      <c r="I159" s="1620"/>
      <c r="J159" s="1620"/>
      <c r="K159" s="1620"/>
      <c r="L159" s="1630">
        <v>0</v>
      </c>
      <c r="M159" s="407" t="s">
        <v>52</v>
      </c>
      <c r="N159" s="4312"/>
    </row>
    <row r="160" spans="1:75" ht="14.25" customHeight="1">
      <c r="A160" s="4154"/>
      <c r="B160" s="1631" t="s">
        <v>111</v>
      </c>
      <c r="C160" s="3415" t="s">
        <v>149</v>
      </c>
      <c r="D160" s="1115">
        <f>E160+L160+F160+G160+H160+I160+J160+K160</f>
        <v>1473150</v>
      </c>
      <c r="E160" s="1601"/>
      <c r="F160" s="1632">
        <f>453927-83305-205540</f>
        <v>165082</v>
      </c>
      <c r="G160" s="1632">
        <f>614097+164170+205540</f>
        <v>983807</v>
      </c>
      <c r="H160" s="1632">
        <f>278912+45349</f>
        <v>324261</v>
      </c>
      <c r="I160" s="1632"/>
      <c r="J160" s="1632"/>
      <c r="K160" s="1632"/>
      <c r="L160" s="1632">
        <v>0</v>
      </c>
      <c r="M160" s="396">
        <f>SUM(G160:K160)</f>
        <v>1308068</v>
      </c>
      <c r="N160" s="4312"/>
    </row>
    <row r="161" spans="1:14" ht="12">
      <c r="A161" s="4154"/>
      <c r="B161" s="1633" t="s">
        <v>17</v>
      </c>
      <c r="C161" s="4314" t="s">
        <v>21</v>
      </c>
      <c r="D161" s="1243">
        <f>+D162</f>
        <v>3793497</v>
      </c>
      <c r="E161" s="2300">
        <f t="shared" ref="E161:M161" si="102">+E162</f>
        <v>0</v>
      </c>
      <c r="F161" s="1243">
        <f t="shared" si="102"/>
        <v>127107</v>
      </c>
      <c r="G161" s="1243">
        <f t="shared" si="102"/>
        <v>2784163</v>
      </c>
      <c r="H161" s="1243">
        <f t="shared" si="102"/>
        <v>882227</v>
      </c>
      <c r="I161" s="1243">
        <f t="shared" si="102"/>
        <v>0</v>
      </c>
      <c r="J161" s="1243">
        <f t="shared" si="102"/>
        <v>0</v>
      </c>
      <c r="K161" s="1621"/>
      <c r="L161" s="1243">
        <f>+L162</f>
        <v>0</v>
      </c>
      <c r="M161" s="1622" t="str">
        <f t="shared" si="102"/>
        <v>x</v>
      </c>
      <c r="N161" s="4312"/>
    </row>
    <row r="162" spans="1:14" ht="12">
      <c r="A162" s="4154"/>
      <c r="B162" s="1631" t="s">
        <v>33</v>
      </c>
      <c r="C162" s="4315"/>
      <c r="D162" s="1115">
        <f>E162+L162+F162+G162+H162+I162+J162+K162</f>
        <v>3793497</v>
      </c>
      <c r="E162" s="1601">
        <v>0</v>
      </c>
      <c r="F162" s="1259">
        <f>1197070-178977-890986</f>
        <v>127107</v>
      </c>
      <c r="G162" s="1259">
        <f>1496559+396618+890986</f>
        <v>2784163</v>
      </c>
      <c r="H162" s="1259">
        <f>729656+152571</f>
        <v>882227</v>
      </c>
      <c r="I162" s="1623"/>
      <c r="J162" s="1623"/>
      <c r="K162" s="1623"/>
      <c r="L162" s="1259">
        <v>0</v>
      </c>
      <c r="M162" s="1624" t="s">
        <v>52</v>
      </c>
      <c r="N162" s="4312"/>
    </row>
    <row r="163" spans="1:14" ht="13.5" customHeight="1">
      <c r="A163" s="4154"/>
      <c r="B163" s="1256" t="s">
        <v>20</v>
      </c>
      <c r="C163" s="1634"/>
      <c r="D163" s="1169">
        <f>D166+D164</f>
        <v>4604546</v>
      </c>
      <c r="E163" s="1225">
        <f t="shared" ref="E163:F163" si="103">E166+E164</f>
        <v>0</v>
      </c>
      <c r="F163" s="1169">
        <f t="shared" si="103"/>
        <v>126594</v>
      </c>
      <c r="G163" s="1169">
        <f>G166+G164</f>
        <v>3092067</v>
      </c>
      <c r="H163" s="1169">
        <f>H166+H164</f>
        <v>1385885</v>
      </c>
      <c r="I163" s="1169">
        <f t="shared" ref="I163:J163" si="104">I166+I164</f>
        <v>0</v>
      </c>
      <c r="J163" s="1169">
        <f t="shared" si="104"/>
        <v>0</v>
      </c>
      <c r="K163" s="1169"/>
      <c r="L163" s="1169">
        <f>L166+L164</f>
        <v>0</v>
      </c>
      <c r="M163" s="4316" t="s">
        <v>52</v>
      </c>
      <c r="N163" s="4312"/>
    </row>
    <row r="164" spans="1:14" ht="12">
      <c r="A164" s="4154"/>
      <c r="B164" s="1260" t="s">
        <v>22</v>
      </c>
      <c r="C164" s="4344" t="s">
        <v>149</v>
      </c>
      <c r="D164" s="1249">
        <f>+D165</f>
        <v>811049</v>
      </c>
      <c r="E164" s="1654">
        <f t="shared" ref="E164:J164" si="105">+E165</f>
        <v>0</v>
      </c>
      <c r="F164" s="1249">
        <f t="shared" si="105"/>
        <v>0</v>
      </c>
      <c r="G164" s="1249">
        <f t="shared" si="105"/>
        <v>577391</v>
      </c>
      <c r="H164" s="1249">
        <f t="shared" si="105"/>
        <v>233658</v>
      </c>
      <c r="I164" s="1249">
        <f t="shared" si="105"/>
        <v>0</v>
      </c>
      <c r="J164" s="1249">
        <f t="shared" si="105"/>
        <v>0</v>
      </c>
      <c r="K164" s="1249"/>
      <c r="L164" s="1249">
        <f>+L165</f>
        <v>0</v>
      </c>
      <c r="M164" s="4317"/>
      <c r="N164" s="4312"/>
    </row>
    <row r="165" spans="1:14" ht="12">
      <c r="A165" s="4154"/>
      <c r="B165" s="1631" t="s">
        <v>136</v>
      </c>
      <c r="C165" s="4345"/>
      <c r="D165" s="1115">
        <f>E165+L165+F165+G165+H165+I165+J165+K165</f>
        <v>811049</v>
      </c>
      <c r="E165" s="1601">
        <v>0</v>
      </c>
      <c r="F165" s="1632">
        <f>253104-99890-153214</f>
        <v>0</v>
      </c>
      <c r="G165" s="1632">
        <f>349998+74179+153214</f>
        <v>577391</v>
      </c>
      <c r="H165" s="1632">
        <f>147063+86595</f>
        <v>233658</v>
      </c>
      <c r="I165" s="1632"/>
      <c r="J165" s="1632"/>
      <c r="K165" s="1632"/>
      <c r="L165" s="1632"/>
      <c r="M165" s="4317"/>
      <c r="N165" s="4312"/>
    </row>
    <row r="166" spans="1:14" ht="12">
      <c r="A166" s="4154"/>
      <c r="B166" s="1633" t="s">
        <v>17</v>
      </c>
      <c r="C166" s="4314" t="s">
        <v>21</v>
      </c>
      <c r="D166" s="1243">
        <f>+D167</f>
        <v>3793497</v>
      </c>
      <c r="E166" s="2300">
        <f t="shared" ref="E166:J166" si="106">+E167</f>
        <v>0</v>
      </c>
      <c r="F166" s="1243">
        <f t="shared" si="106"/>
        <v>126594</v>
      </c>
      <c r="G166" s="1243">
        <f t="shared" si="106"/>
        <v>2514676</v>
      </c>
      <c r="H166" s="1243">
        <f t="shared" si="106"/>
        <v>1152227</v>
      </c>
      <c r="I166" s="1243">
        <f t="shared" si="106"/>
        <v>0</v>
      </c>
      <c r="J166" s="1243">
        <f t="shared" si="106"/>
        <v>0</v>
      </c>
      <c r="K166" s="1243"/>
      <c r="L166" s="1243">
        <f>+L167</f>
        <v>0</v>
      </c>
      <c r="M166" s="4317"/>
      <c r="N166" s="4312"/>
    </row>
    <row r="167" spans="1:14" ht="12.75" thickBot="1">
      <c r="A167" s="4155"/>
      <c r="B167" s="1261" t="s">
        <v>33</v>
      </c>
      <c r="C167" s="4337"/>
      <c r="D167" s="1262">
        <f>E167+L167+F167+G167+H167+I167+J167+K167</f>
        <v>3793497</v>
      </c>
      <c r="E167" s="3403">
        <v>0</v>
      </c>
      <c r="F167" s="1263">
        <f>1197070-328977-741499</f>
        <v>126594</v>
      </c>
      <c r="G167" s="1263">
        <f>1496559+276618+741499</f>
        <v>2514676</v>
      </c>
      <c r="H167" s="1263">
        <f>729656+422571</f>
        <v>1152227</v>
      </c>
      <c r="I167" s="1263"/>
      <c r="J167" s="1263"/>
      <c r="K167" s="1263"/>
      <c r="L167" s="1263">
        <v>0</v>
      </c>
      <c r="M167" s="4318"/>
      <c r="N167" s="4313"/>
    </row>
    <row r="168" spans="1:14" ht="29.25" customHeight="1">
      <c r="A168" s="4340" t="s">
        <v>82</v>
      </c>
      <c r="B168" s="406" t="s">
        <v>473</v>
      </c>
      <c r="C168" s="2108" t="s">
        <v>72</v>
      </c>
      <c r="D168" s="2109"/>
      <c r="E168" s="321"/>
      <c r="F168" s="321"/>
      <c r="G168" s="321"/>
      <c r="H168" s="321"/>
      <c r="I168" s="321"/>
      <c r="J168" s="321"/>
      <c r="K168" s="1108"/>
      <c r="L168" s="321"/>
      <c r="M168" s="399"/>
      <c r="N168" s="4328" t="s">
        <v>396</v>
      </c>
    </row>
    <row r="169" spans="1:14" ht="14.25" customHeight="1">
      <c r="A169" s="4154"/>
      <c r="B169" s="373" t="s">
        <v>9</v>
      </c>
      <c r="C169" s="3381"/>
      <c r="D169" s="397">
        <f>+D170+D173</f>
        <v>2223195</v>
      </c>
      <c r="E169" s="397">
        <f t="shared" ref="E169" si="107">+E170+E173</f>
        <v>6118</v>
      </c>
      <c r="F169" s="397">
        <f>+F170+F173</f>
        <v>87948</v>
      </c>
      <c r="G169" s="397">
        <f>+G170+G173</f>
        <v>2129129</v>
      </c>
      <c r="H169" s="397">
        <f>+H170+H173</f>
        <v>0</v>
      </c>
      <c r="I169" s="397">
        <f t="shared" ref="I169:J169" si="108">+I170+I173</f>
        <v>0</v>
      </c>
      <c r="J169" s="397">
        <f t="shared" si="108"/>
        <v>0</v>
      </c>
      <c r="K169" s="397"/>
      <c r="L169" s="397">
        <f>+L170+L173</f>
        <v>0</v>
      </c>
      <c r="M169" s="400">
        <f>+M170</f>
        <v>726397</v>
      </c>
      <c r="N169" s="4312"/>
    </row>
    <row r="170" spans="1:14" ht="12" customHeight="1">
      <c r="A170" s="4154"/>
      <c r="B170" s="3416" t="s">
        <v>22</v>
      </c>
      <c r="C170" s="2358"/>
      <c r="D170" s="371">
        <f>D172+D171</f>
        <v>785715</v>
      </c>
      <c r="E170" s="371">
        <f t="shared" ref="E170:J170" si="109">E172+E171</f>
        <v>6118</v>
      </c>
      <c r="F170" s="371">
        <f t="shared" si="109"/>
        <v>53200</v>
      </c>
      <c r="G170" s="371">
        <f t="shared" si="109"/>
        <v>726397</v>
      </c>
      <c r="H170" s="371">
        <f t="shared" si="109"/>
        <v>0</v>
      </c>
      <c r="I170" s="371">
        <f t="shared" si="109"/>
        <v>0</v>
      </c>
      <c r="J170" s="371">
        <f t="shared" si="109"/>
        <v>0</v>
      </c>
      <c r="K170" s="371"/>
      <c r="L170" s="371">
        <f>L172+L171</f>
        <v>0</v>
      </c>
      <c r="M170" s="401">
        <f>+M172</f>
        <v>726397</v>
      </c>
      <c r="N170" s="4312"/>
    </row>
    <row r="171" spans="1:14" ht="12">
      <c r="A171" s="4154"/>
      <c r="B171" s="3390" t="s">
        <v>30</v>
      </c>
      <c r="C171" s="3051" t="s">
        <v>21</v>
      </c>
      <c r="D171" s="206">
        <f>E171+L171+F171+G171+H171+I171+J171+K171</f>
        <v>6118</v>
      </c>
      <c r="E171" s="368">
        <v>6118</v>
      </c>
      <c r="F171" s="2172">
        <v>0</v>
      </c>
      <c r="G171" s="2172">
        <v>0</v>
      </c>
      <c r="H171" s="2172">
        <v>0</v>
      </c>
      <c r="I171" s="1620"/>
      <c r="J171" s="1620"/>
      <c r="K171" s="1620"/>
      <c r="L171" s="2172">
        <v>0</v>
      </c>
      <c r="M171" s="407" t="s">
        <v>52</v>
      </c>
      <c r="N171" s="4312"/>
    </row>
    <row r="172" spans="1:14" ht="13.5" customHeight="1">
      <c r="A172" s="4154"/>
      <c r="B172" s="3360" t="s">
        <v>111</v>
      </c>
      <c r="C172" s="3415" t="s">
        <v>149</v>
      </c>
      <c r="D172" s="206">
        <f>E172+L172+F172+G172+H172+I172+J172+K172</f>
        <v>779597</v>
      </c>
      <c r="E172" s="368"/>
      <c r="F172" s="2173">
        <f>198520-121980-23340</f>
        <v>53200</v>
      </c>
      <c r="G172" s="2173">
        <f>594337-43525+152245+23340</f>
        <v>726397</v>
      </c>
      <c r="H172" s="2173"/>
      <c r="I172" s="2173"/>
      <c r="J172" s="2173"/>
      <c r="K172" s="2173"/>
      <c r="L172" s="2173"/>
      <c r="M172" s="396">
        <f>SUM(G172:K172)</f>
        <v>726397</v>
      </c>
      <c r="N172" s="4312"/>
    </row>
    <row r="173" spans="1:14" ht="12">
      <c r="A173" s="4154"/>
      <c r="B173" s="3417" t="s">
        <v>17</v>
      </c>
      <c r="C173" s="4373" t="s">
        <v>21</v>
      </c>
      <c r="D173" s="2174">
        <f>+D174</f>
        <v>1437480</v>
      </c>
      <c r="E173" s="3397">
        <f t="shared" ref="E173:M173" si="110">+E174</f>
        <v>0</v>
      </c>
      <c r="F173" s="2174">
        <f t="shared" si="110"/>
        <v>34748</v>
      </c>
      <c r="G173" s="2174">
        <f t="shared" si="110"/>
        <v>1402732</v>
      </c>
      <c r="H173" s="2174">
        <f t="shared" si="110"/>
        <v>0</v>
      </c>
      <c r="I173" s="2174">
        <f t="shared" si="110"/>
        <v>0</v>
      </c>
      <c r="J173" s="2174">
        <f t="shared" si="110"/>
        <v>0</v>
      </c>
      <c r="K173" s="1621"/>
      <c r="L173" s="2174">
        <f>+L174</f>
        <v>0</v>
      </c>
      <c r="M173" s="1622" t="str">
        <f t="shared" si="110"/>
        <v>x</v>
      </c>
      <c r="N173" s="4312"/>
    </row>
    <row r="174" spans="1:14" ht="12">
      <c r="A174" s="4154"/>
      <c r="B174" s="3360" t="s">
        <v>33</v>
      </c>
      <c r="C174" s="4315"/>
      <c r="D174" s="206">
        <f>E174+L174+F174+G174+H174+I174+J174+K174</f>
        <v>1437480</v>
      </c>
      <c r="E174" s="3384">
        <v>0</v>
      </c>
      <c r="F174" s="370">
        <f>478253-272850-170655</f>
        <v>34748</v>
      </c>
      <c r="G174" s="370">
        <f>1329439-97362+170655</f>
        <v>1402732</v>
      </c>
      <c r="H174" s="370"/>
      <c r="I174" s="1623"/>
      <c r="J174" s="1623"/>
      <c r="K174" s="1623"/>
      <c r="L174" s="370">
        <v>0</v>
      </c>
      <c r="M174" s="1624" t="s">
        <v>52</v>
      </c>
      <c r="N174" s="4312"/>
    </row>
    <row r="175" spans="1:14" ht="13.5" customHeight="1">
      <c r="A175" s="4154"/>
      <c r="B175" s="373" t="s">
        <v>20</v>
      </c>
      <c r="C175" s="3418"/>
      <c r="D175" s="2176">
        <f>D178+D176</f>
        <v>1845661</v>
      </c>
      <c r="E175" s="3419">
        <f t="shared" ref="E175:F175" si="111">E178+E176</f>
        <v>0</v>
      </c>
      <c r="F175" s="2176">
        <f t="shared" si="111"/>
        <v>34748</v>
      </c>
      <c r="G175" s="2176">
        <f>G178+G176</f>
        <v>1394586</v>
      </c>
      <c r="H175" s="2176">
        <f>H178+H176</f>
        <v>416327</v>
      </c>
      <c r="I175" s="2176">
        <f t="shared" ref="I175:J175" si="112">I178+I176</f>
        <v>0</v>
      </c>
      <c r="J175" s="2176">
        <f t="shared" si="112"/>
        <v>0</v>
      </c>
      <c r="K175" s="2176"/>
      <c r="L175" s="2176">
        <f>L178+L176</f>
        <v>0</v>
      </c>
      <c r="M175" s="4339" t="s">
        <v>52</v>
      </c>
      <c r="N175" s="4312"/>
    </row>
    <row r="176" spans="1:14" ht="12" customHeight="1">
      <c r="A176" s="4154"/>
      <c r="B176" s="3359" t="s">
        <v>22</v>
      </c>
      <c r="C176" s="4379" t="s">
        <v>149</v>
      </c>
      <c r="D176" s="2177">
        <f>+D177</f>
        <v>408181</v>
      </c>
      <c r="E176" s="3420">
        <f t="shared" ref="E176:J176" si="113">+E177</f>
        <v>0</v>
      </c>
      <c r="F176" s="2177">
        <f t="shared" si="113"/>
        <v>0</v>
      </c>
      <c r="G176" s="2177">
        <f t="shared" si="113"/>
        <v>341854</v>
      </c>
      <c r="H176" s="2177">
        <f t="shared" si="113"/>
        <v>66327</v>
      </c>
      <c r="I176" s="2177">
        <f t="shared" si="113"/>
        <v>0</v>
      </c>
      <c r="J176" s="2177">
        <f t="shared" si="113"/>
        <v>0</v>
      </c>
      <c r="K176" s="2177"/>
      <c r="L176" s="2177">
        <f>+L177</f>
        <v>0</v>
      </c>
      <c r="M176" s="4317"/>
      <c r="N176" s="4312"/>
    </row>
    <row r="177" spans="1:14" ht="12">
      <c r="A177" s="4154"/>
      <c r="B177" s="3360" t="s">
        <v>136</v>
      </c>
      <c r="C177" s="4345"/>
      <c r="D177" s="206">
        <f>E177+L177+F177+G177+H177+I177+J177+K177</f>
        <v>408181</v>
      </c>
      <c r="E177" s="3384">
        <v>0</v>
      </c>
      <c r="F177" s="2173">
        <f>120157-93830-26327</f>
        <v>0</v>
      </c>
      <c r="G177" s="2173">
        <f>359731-46345+28468</f>
        <v>341854</v>
      </c>
      <c r="H177" s="2173">
        <f>40000+26327</f>
        <v>66327</v>
      </c>
      <c r="I177" s="2173"/>
      <c r="J177" s="2173"/>
      <c r="K177" s="2173"/>
      <c r="L177" s="2173"/>
      <c r="M177" s="4317"/>
      <c r="N177" s="4312"/>
    </row>
    <row r="178" spans="1:14" ht="12.75" thickBot="1">
      <c r="A178" s="4155"/>
      <c r="B178" s="3417" t="s">
        <v>17</v>
      </c>
      <c r="C178" s="4373" t="s">
        <v>21</v>
      </c>
      <c r="D178" s="2174">
        <f>+D179</f>
        <v>1437480</v>
      </c>
      <c r="E178" s="3397">
        <f t="shared" ref="E178:J178" si="114">+E179</f>
        <v>0</v>
      </c>
      <c r="F178" s="2174">
        <f t="shared" si="114"/>
        <v>34748</v>
      </c>
      <c r="G178" s="2174">
        <f t="shared" si="114"/>
        <v>1052732</v>
      </c>
      <c r="H178" s="2174">
        <f t="shared" si="114"/>
        <v>350000</v>
      </c>
      <c r="I178" s="2174">
        <f t="shared" si="114"/>
        <v>0</v>
      </c>
      <c r="J178" s="2174">
        <f t="shared" si="114"/>
        <v>0</v>
      </c>
      <c r="K178" s="2174"/>
      <c r="L178" s="2174">
        <f>+L179</f>
        <v>0</v>
      </c>
      <c r="M178" s="4317"/>
      <c r="N178" s="4312"/>
    </row>
    <row r="179" spans="1:14" ht="12.75" thickBot="1">
      <c r="A179" s="4380"/>
      <c r="B179" s="3379" t="s">
        <v>33</v>
      </c>
      <c r="C179" s="4337"/>
      <c r="D179" s="1410">
        <f>E179+L179+F179+G179+H179+I179+J179+K179</f>
        <v>1437480</v>
      </c>
      <c r="E179" s="492">
        <v>0</v>
      </c>
      <c r="F179" s="410">
        <f>478253-342850-35000-65655</f>
        <v>34748</v>
      </c>
      <c r="G179" s="410">
        <f>1329439-377362+35000+65655</f>
        <v>1052732</v>
      </c>
      <c r="H179" s="410">
        <v>350000</v>
      </c>
      <c r="I179" s="410"/>
      <c r="J179" s="410"/>
      <c r="K179" s="410"/>
      <c r="L179" s="410">
        <v>0</v>
      </c>
      <c r="M179" s="4318"/>
      <c r="N179" s="4313"/>
    </row>
    <row r="180" spans="1:14" ht="12" thickBot="1">
      <c r="A180" s="1899"/>
      <c r="N180" s="2411"/>
    </row>
    <row r="181" spans="1:14" ht="12" thickBot="1">
      <c r="A181" s="1899"/>
      <c r="N181" s="2411"/>
    </row>
    <row r="182" spans="1:14" ht="12" hidden="1" thickBot="1">
      <c r="A182" s="1899"/>
      <c r="N182" s="2411"/>
    </row>
    <row r="183" spans="1:14" ht="12" hidden="1" thickBot="1">
      <c r="A183" s="1899" t="s">
        <v>394</v>
      </c>
      <c r="N183" s="2411"/>
    </row>
    <row r="184" spans="1:14" ht="12" hidden="1" thickBot="1">
      <c r="A184" s="1899"/>
      <c r="N184" s="2411"/>
    </row>
    <row r="185" spans="1:14" ht="12" hidden="1" thickBot="1">
      <c r="A185" s="1899"/>
      <c r="D185" s="377"/>
      <c r="F185" s="377">
        <f>F169+F157+F143+F131+F119+F45+F33+F24</f>
        <v>9415048</v>
      </c>
      <c r="N185" s="2411"/>
    </row>
    <row r="186" spans="1:14" ht="12" hidden="1" thickBot="1">
      <c r="A186" s="1899"/>
      <c r="F186" s="377">
        <f>F185-F10</f>
        <v>-788747</v>
      </c>
      <c r="N186" s="2411"/>
    </row>
    <row r="187" spans="1:14" ht="12" hidden="1" thickBot="1">
      <c r="A187" s="1899"/>
      <c r="N187" s="2411"/>
    </row>
    <row r="188" spans="1:14" ht="12" hidden="1" thickBot="1">
      <c r="A188" s="1899"/>
      <c r="D188" s="377">
        <f>D172+D160+D146+D134+D122+D48+D35+D26</f>
        <v>44097823</v>
      </c>
      <c r="N188" s="2411"/>
    </row>
    <row r="189" spans="1:14" ht="12" hidden="1" thickBot="1">
      <c r="A189" s="1899"/>
      <c r="B189" s="423"/>
      <c r="D189" s="377">
        <f>D7-D188</f>
        <v>88473770</v>
      </c>
      <c r="N189" s="2411"/>
    </row>
    <row r="190" spans="1:14" ht="12" hidden="1" thickBot="1">
      <c r="A190" s="1899"/>
      <c r="B190" s="417"/>
      <c r="N190" s="2411"/>
    </row>
    <row r="191" spans="1:14" ht="12" hidden="1" thickBot="1">
      <c r="A191" s="1899"/>
      <c r="N191" s="2411"/>
    </row>
    <row r="192" spans="1:14" ht="12" hidden="1" thickBot="1">
      <c r="A192" s="1899"/>
      <c r="N192" s="2411"/>
    </row>
    <row r="193" spans="1:14" ht="12" hidden="1" thickBot="1">
      <c r="A193" s="1899"/>
      <c r="N193" s="2411"/>
    </row>
    <row r="194" spans="1:14" ht="12" hidden="1" thickBot="1">
      <c r="A194" s="1899"/>
      <c r="N194" s="2411"/>
    </row>
    <row r="195" spans="1:14" ht="12" hidden="1" thickBot="1">
      <c r="A195" s="1899"/>
      <c r="N195" s="2411"/>
    </row>
    <row r="196" spans="1:14" ht="12" hidden="1" thickBot="1">
      <c r="A196" s="1899"/>
      <c r="N196" s="2411"/>
    </row>
    <row r="197" spans="1:14" ht="12" hidden="1" thickBot="1">
      <c r="A197" s="1899"/>
      <c r="N197" s="2411"/>
    </row>
    <row r="198" spans="1:14" ht="12" hidden="1" thickBot="1">
      <c r="A198" s="1899"/>
      <c r="N198" s="2411"/>
    </row>
    <row r="199" spans="1:14" ht="12" hidden="1" thickBot="1">
      <c r="A199" s="1899"/>
      <c r="N199" s="2411"/>
    </row>
    <row r="200" spans="1:14" ht="12" hidden="1" thickBot="1">
      <c r="A200" s="1899"/>
      <c r="N200" s="2411"/>
    </row>
    <row r="201" spans="1:14" ht="12" hidden="1" thickBot="1">
      <c r="A201" s="1899"/>
      <c r="N201" s="2411"/>
    </row>
    <row r="202" spans="1:14" ht="12" hidden="1" thickBot="1">
      <c r="A202" s="1899"/>
      <c r="N202" s="2411"/>
    </row>
    <row r="203" spans="1:14" ht="12" hidden="1" thickBot="1">
      <c r="A203" s="1899"/>
      <c r="M203" s="423"/>
      <c r="N203" s="1870"/>
    </row>
    <row r="204" spans="1:14" ht="12" hidden="1" thickBot="1">
      <c r="A204" s="1899"/>
      <c r="C204" s="423"/>
      <c r="M204" s="1884"/>
      <c r="N204" s="1871"/>
    </row>
    <row r="205" spans="1:14" ht="12" hidden="1" thickBot="1">
      <c r="A205" s="1899"/>
      <c r="C205" s="1884"/>
      <c r="M205" s="1884"/>
      <c r="N205" s="1871"/>
    </row>
    <row r="206" spans="1:14" ht="12" thickBot="1">
      <c r="A206" s="1899"/>
      <c r="C206" s="1884"/>
      <c r="M206" s="1884"/>
      <c r="N206" s="1871"/>
    </row>
    <row r="207" spans="1:14" ht="12" thickBot="1">
      <c r="A207" s="1900"/>
      <c r="C207" s="1884"/>
      <c r="D207" s="423"/>
      <c r="E207" s="423"/>
      <c r="F207" s="423"/>
      <c r="G207" s="423"/>
      <c r="H207" s="423"/>
      <c r="I207" s="423"/>
      <c r="J207" s="423"/>
      <c r="K207" s="423"/>
      <c r="L207" s="423"/>
      <c r="M207" s="1884"/>
      <c r="N207" s="1871"/>
    </row>
    <row r="208" spans="1:14" ht="12" thickBot="1">
      <c r="C208" s="417"/>
      <c r="D208" s="417"/>
      <c r="E208" s="417"/>
      <c r="F208" s="417"/>
      <c r="G208" s="417"/>
      <c r="H208" s="417"/>
      <c r="I208" s="417"/>
      <c r="J208" s="417"/>
      <c r="K208" s="417"/>
      <c r="L208" s="417"/>
      <c r="M208" s="417"/>
      <c r="N208" s="1871"/>
    </row>
    <row r="209" spans="14:14" ht="12" thickBot="1">
      <c r="N209" s="1871"/>
    </row>
    <row r="210" spans="14:14" ht="12" thickBot="1">
      <c r="N210" s="1871"/>
    </row>
    <row r="211" spans="14:14" ht="12" thickBot="1">
      <c r="N211" s="1871"/>
    </row>
    <row r="212" spans="14:14" ht="12" thickBot="1">
      <c r="N212" s="1871"/>
    </row>
    <row r="213" spans="14:14" ht="12" thickBot="1">
      <c r="N213" s="1871"/>
    </row>
    <row r="214" spans="14:14" ht="12" thickBot="1">
      <c r="N214" s="1871"/>
    </row>
    <row r="215" spans="14:14" ht="12" thickBot="1">
      <c r="N215" s="1871"/>
    </row>
    <row r="216" spans="14:14" ht="12" thickBot="1">
      <c r="N216" s="1871"/>
    </row>
    <row r="217" spans="14:14">
      <c r="N217" s="1872"/>
    </row>
    <row r="218" spans="14:14">
      <c r="N218" s="2411"/>
    </row>
    <row r="219" spans="14:14">
      <c r="N219" s="2411"/>
    </row>
    <row r="220" spans="14:14">
      <c r="N220" s="2411"/>
    </row>
    <row r="221" spans="14:14">
      <c r="N221" s="2411"/>
    </row>
    <row r="222" spans="14:14">
      <c r="N222" s="2411"/>
    </row>
    <row r="223" spans="14:14">
      <c r="N223" s="2411"/>
    </row>
    <row r="224" spans="14:14">
      <c r="N224" s="2411"/>
    </row>
    <row r="225" spans="14:14">
      <c r="N225" s="2411"/>
    </row>
    <row r="226" spans="14:14">
      <c r="N226" s="2411"/>
    </row>
    <row r="227" spans="14:14">
      <c r="N227" s="2411"/>
    </row>
    <row r="228" spans="14:14">
      <c r="N228" s="2411"/>
    </row>
    <row r="229" spans="14:14">
      <c r="N229" s="2411"/>
    </row>
    <row r="230" spans="14:14">
      <c r="N230" s="2411"/>
    </row>
    <row r="231" spans="14:14">
      <c r="N231" s="2411"/>
    </row>
    <row r="232" spans="14:14">
      <c r="N232" s="2411"/>
    </row>
    <row r="233" spans="14:14">
      <c r="N233" s="2411"/>
    </row>
    <row r="234" spans="14:14">
      <c r="N234" s="2411"/>
    </row>
    <row r="235" spans="14:14">
      <c r="N235" s="2411"/>
    </row>
    <row r="236" spans="14:14">
      <c r="N236" s="2411"/>
    </row>
    <row r="237" spans="14:14">
      <c r="N237" s="2411"/>
    </row>
    <row r="238" spans="14:14">
      <c r="N238" s="2411"/>
    </row>
    <row r="239" spans="14:14">
      <c r="N239" s="2411"/>
    </row>
    <row r="240" spans="14:14">
      <c r="N240" s="2411"/>
    </row>
    <row r="241" spans="14:14">
      <c r="N241" s="2411"/>
    </row>
    <row r="242" spans="14:14">
      <c r="N242" s="2411"/>
    </row>
    <row r="243" spans="14:14">
      <c r="N243" s="2411"/>
    </row>
    <row r="244" spans="14:14">
      <c r="N244" s="2411"/>
    </row>
    <row r="245" spans="14:14">
      <c r="N245" s="2411"/>
    </row>
    <row r="246" spans="14:14">
      <c r="N246" s="2411"/>
    </row>
    <row r="247" spans="14:14">
      <c r="N247" s="2411"/>
    </row>
    <row r="248" spans="14:14">
      <c r="N248" s="2411"/>
    </row>
    <row r="249" spans="14:14">
      <c r="N249" s="2411"/>
    </row>
    <row r="250" spans="14:14">
      <c r="N250" s="2411"/>
    </row>
    <row r="251" spans="14:14" ht="12" thickBot="1">
      <c r="N251" s="1870"/>
    </row>
    <row r="252" spans="14:14" ht="12" thickBot="1">
      <c r="N252" s="1871"/>
    </row>
    <row r="253" spans="14:14" ht="12" thickBot="1">
      <c r="N253" s="1871"/>
    </row>
    <row r="254" spans="14:14" ht="12" thickBot="1">
      <c r="N254" s="1871"/>
    </row>
    <row r="255" spans="14:14" ht="12" thickBot="1">
      <c r="N255" s="1871"/>
    </row>
    <row r="256" spans="14:14" ht="12" thickBot="1">
      <c r="N256" s="1871"/>
    </row>
    <row r="257" spans="14:14" ht="12" thickBot="1">
      <c r="N257" s="1871"/>
    </row>
    <row r="258" spans="14:14" ht="12" thickBot="1">
      <c r="N258" s="1871"/>
    </row>
    <row r="259" spans="14:14" ht="12" thickBot="1">
      <c r="N259" s="1871"/>
    </row>
    <row r="260" spans="14:14" ht="12" thickBot="1">
      <c r="N260" s="1871"/>
    </row>
    <row r="261" spans="14:14" ht="12" thickBot="1">
      <c r="N261" s="1871"/>
    </row>
    <row r="262" spans="14:14" ht="12" thickBot="1">
      <c r="N262" s="1871"/>
    </row>
    <row r="263" spans="14:14" ht="12" thickBot="1">
      <c r="N263" s="1871"/>
    </row>
    <row r="264" spans="14:14" ht="12" thickBot="1">
      <c r="N264" s="1871"/>
    </row>
    <row r="265" spans="14:14">
      <c r="N265" s="1872"/>
    </row>
    <row r="266" spans="14:14">
      <c r="N266" s="2411"/>
    </row>
    <row r="267" spans="14:14">
      <c r="N267" s="2411"/>
    </row>
    <row r="268" spans="14:14">
      <c r="N268" s="2411"/>
    </row>
    <row r="269" spans="14:14">
      <c r="N269" s="2411"/>
    </row>
    <row r="270" spans="14:14">
      <c r="N270" s="2411"/>
    </row>
    <row r="271" spans="14:14">
      <c r="N271" s="2411"/>
    </row>
    <row r="272" spans="14:14">
      <c r="N272" s="2411"/>
    </row>
    <row r="273" spans="14:14">
      <c r="N273" s="2411"/>
    </row>
    <row r="274" spans="14:14">
      <c r="N274" s="2411"/>
    </row>
    <row r="275" spans="14:14">
      <c r="N275" s="2411"/>
    </row>
    <row r="276" spans="14:14">
      <c r="N276" s="2411"/>
    </row>
    <row r="277" spans="14:14">
      <c r="N277" s="2411"/>
    </row>
    <row r="278" spans="14:14">
      <c r="N278" s="2411"/>
    </row>
    <row r="279" spans="14:14">
      <c r="N279" s="2411"/>
    </row>
    <row r="280" spans="14:14">
      <c r="N280" s="2411"/>
    </row>
    <row r="281" spans="14:14">
      <c r="N281" s="2411"/>
    </row>
    <row r="282" spans="14:14">
      <c r="N282" s="2411"/>
    </row>
    <row r="283" spans="14:14">
      <c r="N283" s="2411"/>
    </row>
    <row r="284" spans="14:14">
      <c r="N284" s="2411"/>
    </row>
    <row r="285" spans="14:14">
      <c r="N285" s="2411"/>
    </row>
    <row r="286" spans="14:14">
      <c r="N286" s="2411"/>
    </row>
    <row r="287" spans="14:14">
      <c r="N287" s="2411"/>
    </row>
    <row r="288" spans="14:14">
      <c r="N288" s="2411"/>
    </row>
    <row r="289" spans="14:14">
      <c r="N289" s="2411"/>
    </row>
    <row r="290" spans="14:14">
      <c r="N290" s="2411"/>
    </row>
    <row r="291" spans="14:14">
      <c r="N291" s="2411"/>
    </row>
    <row r="292" spans="14:14">
      <c r="N292" s="2411"/>
    </row>
    <row r="293" spans="14:14">
      <c r="N293" s="2411"/>
    </row>
    <row r="294" spans="14:14">
      <c r="N294" s="2411"/>
    </row>
    <row r="295" spans="14:14">
      <c r="N295" s="2411"/>
    </row>
    <row r="296" spans="14:14">
      <c r="N296" s="2411"/>
    </row>
    <row r="297" spans="14:14">
      <c r="N297" s="2411"/>
    </row>
    <row r="298" spans="14:14">
      <c r="N298" s="2411"/>
    </row>
    <row r="299" spans="14:14">
      <c r="N299" s="2411"/>
    </row>
    <row r="300" spans="14:14">
      <c r="N300" s="2411"/>
    </row>
    <row r="301" spans="14:14">
      <c r="N301" s="2411"/>
    </row>
    <row r="302" spans="14:14">
      <c r="N302" s="2411"/>
    </row>
    <row r="303" spans="14:14">
      <c r="N303" s="2411"/>
    </row>
    <row r="304" spans="14:14">
      <c r="N304" s="2411"/>
    </row>
    <row r="305" spans="14:14">
      <c r="N305" s="2411"/>
    </row>
    <row r="404" spans="1:14" ht="12" thickBot="1">
      <c r="A404" s="1898"/>
    </row>
    <row r="405" spans="1:14" ht="12" thickBot="1">
      <c r="A405" s="1899"/>
    </row>
    <row r="406" spans="1:14" ht="12" thickBot="1">
      <c r="A406" s="1899"/>
    </row>
    <row r="407" spans="1:14" ht="12" thickBot="1">
      <c r="A407" s="1899"/>
    </row>
    <row r="408" spans="1:14" ht="12" thickBot="1">
      <c r="A408" s="1899"/>
    </row>
    <row r="409" spans="1:14" ht="12" thickBot="1">
      <c r="A409" s="1899"/>
    </row>
    <row r="410" spans="1:14" ht="12" thickBot="1">
      <c r="A410" s="1899"/>
      <c r="M410" s="423"/>
      <c r="N410" s="1673"/>
    </row>
    <row r="411" spans="1:14" ht="12" thickBot="1">
      <c r="A411" s="1899"/>
      <c r="C411" s="423"/>
      <c r="M411" s="1884"/>
      <c r="N411" s="1868"/>
    </row>
    <row r="412" spans="1:14" ht="12" thickBot="1">
      <c r="A412" s="1899"/>
      <c r="C412" s="1884"/>
      <c r="D412" s="423"/>
      <c r="E412" s="423"/>
      <c r="F412" s="423"/>
      <c r="G412" s="423"/>
      <c r="H412" s="423"/>
      <c r="I412" s="423"/>
      <c r="J412" s="423"/>
      <c r="K412" s="423"/>
      <c r="L412" s="423"/>
      <c r="M412" s="1884"/>
      <c r="N412" s="1868"/>
    </row>
    <row r="413" spans="1:14" ht="12" thickBot="1">
      <c r="A413" s="1899"/>
      <c r="C413" s="417"/>
      <c r="D413" s="417"/>
      <c r="E413" s="417"/>
      <c r="F413" s="417"/>
      <c r="G413" s="417"/>
      <c r="H413" s="417"/>
      <c r="I413" s="417"/>
      <c r="J413" s="417"/>
      <c r="K413" s="417"/>
      <c r="L413" s="417"/>
      <c r="M413" s="417"/>
      <c r="N413" s="1868"/>
    </row>
    <row r="414" spans="1:14" ht="12" thickBot="1">
      <c r="A414" s="1899"/>
      <c r="N414" s="1868"/>
    </row>
    <row r="415" spans="1:14" ht="12" thickBot="1">
      <c r="A415" s="1899"/>
      <c r="N415" s="1868"/>
    </row>
    <row r="416" spans="1:14" ht="12" thickBot="1">
      <c r="A416" s="1899"/>
      <c r="N416" s="1868"/>
    </row>
    <row r="417" spans="1:14" ht="12" thickBot="1">
      <c r="A417" s="1899"/>
      <c r="N417" s="1868"/>
    </row>
    <row r="418" spans="1:14" ht="12" thickBot="1">
      <c r="A418" s="1899"/>
      <c r="N418" s="1869"/>
    </row>
    <row r="419" spans="1:14" ht="12" thickBot="1">
      <c r="A419" s="1899"/>
    </row>
    <row r="420" spans="1:14" ht="12" thickBot="1">
      <c r="A420" s="1899"/>
    </row>
    <row r="421" spans="1:14">
      <c r="A421" s="1900"/>
    </row>
    <row r="510" spans="1:14" ht="12" thickBot="1"/>
    <row r="511" spans="1:14" ht="33.75">
      <c r="A511" s="416"/>
      <c r="B511" s="318" t="s">
        <v>60</v>
      </c>
      <c r="C511" s="318"/>
      <c r="D511" s="417"/>
      <c r="E511" s="418"/>
      <c r="F511" s="418"/>
      <c r="G511" s="418"/>
      <c r="H511" s="418"/>
      <c r="I511" s="418"/>
      <c r="J511" s="418"/>
      <c r="K511" s="418"/>
      <c r="L511" s="418"/>
      <c r="M511" s="418"/>
      <c r="N511" s="419"/>
    </row>
    <row r="512" spans="1:14">
      <c r="A512" s="420"/>
      <c r="E512" s="382"/>
      <c r="F512" s="382"/>
      <c r="G512" s="382"/>
      <c r="H512" s="382"/>
      <c r="I512" s="382"/>
      <c r="J512" s="382"/>
      <c r="K512" s="382"/>
      <c r="L512" s="382"/>
      <c r="M512" s="382"/>
      <c r="N512" s="421"/>
    </row>
    <row r="513" spans="1:14">
      <c r="A513" s="420"/>
      <c r="E513" s="382"/>
      <c r="F513" s="382"/>
      <c r="G513" s="382"/>
      <c r="H513" s="382"/>
      <c r="I513" s="382"/>
      <c r="J513" s="382"/>
      <c r="K513" s="382"/>
      <c r="L513" s="382"/>
      <c r="M513" s="382"/>
      <c r="N513" s="421"/>
    </row>
    <row r="514" spans="1:14">
      <c r="A514" s="420"/>
      <c r="E514" s="382"/>
      <c r="F514" s="382"/>
      <c r="G514" s="382"/>
      <c r="H514" s="382"/>
      <c r="I514" s="382"/>
      <c r="J514" s="382"/>
      <c r="K514" s="382"/>
      <c r="L514" s="382"/>
      <c r="M514" s="382"/>
      <c r="N514" s="421"/>
    </row>
    <row r="515" spans="1:14">
      <c r="A515" s="420"/>
      <c r="E515" s="382"/>
      <c r="F515" s="382"/>
      <c r="G515" s="382"/>
      <c r="H515" s="382"/>
      <c r="I515" s="382"/>
      <c r="J515" s="382"/>
      <c r="K515" s="382"/>
      <c r="L515" s="382"/>
      <c r="M515" s="382"/>
      <c r="N515" s="421"/>
    </row>
    <row r="516" spans="1:14">
      <c r="A516" s="420"/>
      <c r="E516" s="382"/>
      <c r="F516" s="382"/>
      <c r="G516" s="382"/>
      <c r="H516" s="382"/>
      <c r="I516" s="382"/>
      <c r="J516" s="382"/>
      <c r="K516" s="382"/>
      <c r="L516" s="382"/>
      <c r="M516" s="382"/>
      <c r="N516" s="421"/>
    </row>
    <row r="517" spans="1:14">
      <c r="A517" s="420"/>
      <c r="E517" s="382"/>
      <c r="F517" s="382"/>
      <c r="G517" s="382"/>
      <c r="H517" s="382"/>
      <c r="I517" s="382"/>
      <c r="J517" s="382"/>
      <c r="K517" s="382"/>
      <c r="L517" s="382"/>
      <c r="M517" s="382"/>
      <c r="N517" s="421"/>
    </row>
    <row r="518" spans="1:14">
      <c r="A518" s="420"/>
      <c r="E518" s="382"/>
      <c r="F518" s="382"/>
      <c r="G518" s="382"/>
      <c r="H518" s="382"/>
      <c r="I518" s="382"/>
      <c r="J518" s="382"/>
      <c r="K518" s="382"/>
      <c r="L518" s="382"/>
      <c r="M518" s="382"/>
      <c r="N518" s="421"/>
    </row>
    <row r="519" spans="1:14" ht="12" thickBot="1">
      <c r="A519" s="420"/>
      <c r="E519" s="382"/>
      <c r="F519" s="382"/>
      <c r="G519" s="382"/>
      <c r="H519" s="382"/>
      <c r="I519" s="382"/>
      <c r="J519" s="382"/>
      <c r="K519" s="382"/>
      <c r="L519" s="382"/>
      <c r="M519" s="382"/>
      <c r="N519" s="425"/>
    </row>
    <row r="520" spans="1:14" ht="12" thickBot="1">
      <c r="A520" s="420"/>
      <c r="E520" s="382"/>
      <c r="F520" s="382"/>
      <c r="G520" s="382"/>
      <c r="H520" s="382"/>
      <c r="I520" s="382"/>
      <c r="J520" s="382"/>
      <c r="K520" s="382"/>
      <c r="L520" s="382"/>
      <c r="M520" s="382"/>
      <c r="N520" s="1907"/>
    </row>
    <row r="521" spans="1:14" ht="12" thickBot="1">
      <c r="A521" s="420"/>
      <c r="E521" s="382"/>
      <c r="F521" s="382"/>
      <c r="G521" s="382"/>
      <c r="H521" s="382"/>
      <c r="I521" s="382"/>
      <c r="J521" s="382"/>
      <c r="K521" s="382"/>
      <c r="L521" s="382"/>
      <c r="M521" s="382"/>
      <c r="N521" s="1907"/>
    </row>
    <row r="522" spans="1:14" ht="12" thickBot="1">
      <c r="A522" s="422"/>
      <c r="B522" s="423"/>
      <c r="C522" s="423"/>
      <c r="D522" s="423"/>
      <c r="E522" s="424"/>
      <c r="F522" s="424"/>
      <c r="G522" s="424"/>
      <c r="H522" s="424"/>
      <c r="I522" s="424"/>
      <c r="J522" s="424"/>
      <c r="K522" s="424"/>
      <c r="L522" s="424"/>
      <c r="M522" s="424"/>
      <c r="N522" s="1907"/>
    </row>
    <row r="523" spans="1:14" ht="12" thickBot="1">
      <c r="M523" s="423"/>
      <c r="N523" s="1868"/>
    </row>
    <row r="524" spans="1:14" ht="12" thickBot="1">
      <c r="M524" s="1884"/>
      <c r="N524" s="1868"/>
    </row>
    <row r="525" spans="1:14" ht="12" thickBot="1">
      <c r="M525" s="1884"/>
      <c r="N525" s="1868"/>
    </row>
    <row r="526" spans="1:14" ht="12" thickBot="1">
      <c r="M526" s="1884"/>
      <c r="N526" s="1868"/>
    </row>
    <row r="527" spans="1:14" ht="12" thickBot="1">
      <c r="M527" s="1884"/>
      <c r="N527" s="1868"/>
    </row>
    <row r="528" spans="1:14" ht="12" thickBot="1">
      <c r="A528" s="1898"/>
      <c r="B528" s="423"/>
      <c r="C528" s="423"/>
      <c r="D528" s="423"/>
      <c r="E528" s="423"/>
      <c r="F528" s="423"/>
      <c r="G528" s="423"/>
      <c r="H528" s="423"/>
      <c r="I528" s="423"/>
      <c r="J528" s="423"/>
      <c r="K528" s="423"/>
      <c r="L528" s="423"/>
      <c r="M528" s="1884"/>
      <c r="N528" s="1868"/>
    </row>
    <row r="529" spans="1:14" ht="12" thickBot="1">
      <c r="A529" s="1899"/>
      <c r="B529" s="417"/>
      <c r="C529" s="417"/>
      <c r="D529" s="417"/>
      <c r="E529" s="417"/>
      <c r="F529" s="417"/>
      <c r="G529" s="417"/>
      <c r="H529" s="417"/>
      <c r="I529" s="417"/>
      <c r="J529" s="417"/>
      <c r="K529" s="417"/>
      <c r="L529" s="417"/>
      <c r="M529" s="417"/>
      <c r="N529" s="1868"/>
    </row>
    <row r="530" spans="1:14" ht="12" thickBot="1">
      <c r="A530" s="1899"/>
      <c r="N530" s="1868"/>
    </row>
    <row r="531" spans="1:14" ht="12" thickBot="1">
      <c r="A531" s="1899"/>
      <c r="N531" s="1868"/>
    </row>
    <row r="532" spans="1:14" ht="12" thickBot="1">
      <c r="A532" s="1899"/>
      <c r="N532" s="1868"/>
    </row>
    <row r="533" spans="1:14" ht="12" thickBot="1">
      <c r="A533" s="1899"/>
      <c r="N533" s="1868"/>
    </row>
    <row r="534" spans="1:14" ht="12" thickBot="1">
      <c r="A534" s="1899"/>
      <c r="N534" s="1868"/>
    </row>
    <row r="535" spans="1:14" ht="12" thickBot="1">
      <c r="A535" s="1899"/>
      <c r="N535" s="1868"/>
    </row>
    <row r="536" spans="1:14">
      <c r="A536" s="1900"/>
      <c r="N536" s="1869"/>
    </row>
  </sheetData>
  <mergeCells count="88">
    <mergeCell ref="F4:F5"/>
    <mergeCell ref="C82:C84"/>
    <mergeCell ref="C88:C89"/>
    <mergeCell ref="C90:C91"/>
    <mergeCell ref="M87:M91"/>
    <mergeCell ref="C46:C50"/>
    <mergeCell ref="C52:C55"/>
    <mergeCell ref="A168:A179"/>
    <mergeCell ref="A156:A167"/>
    <mergeCell ref="C126:C127"/>
    <mergeCell ref="A80:A91"/>
    <mergeCell ref="A142:A155"/>
    <mergeCell ref="C153:C155"/>
    <mergeCell ref="A130:A141"/>
    <mergeCell ref="C97:C99"/>
    <mergeCell ref="A106:A117"/>
    <mergeCell ref="A118:A129"/>
    <mergeCell ref="N168:N179"/>
    <mergeCell ref="C173:C174"/>
    <mergeCell ref="M175:M179"/>
    <mergeCell ref="C176:C177"/>
    <mergeCell ref="C178:C179"/>
    <mergeCell ref="N156:N167"/>
    <mergeCell ref="C161:C162"/>
    <mergeCell ref="M163:M167"/>
    <mergeCell ref="C164:C165"/>
    <mergeCell ref="C166:C167"/>
    <mergeCell ref="N80:N91"/>
    <mergeCell ref="C85:C86"/>
    <mergeCell ref="C147:C149"/>
    <mergeCell ref="C60:C62"/>
    <mergeCell ref="C64:C65"/>
    <mergeCell ref="C66:C67"/>
    <mergeCell ref="M63:M67"/>
    <mergeCell ref="N130:N141"/>
    <mergeCell ref="C132:C134"/>
    <mergeCell ref="C135:C136"/>
    <mergeCell ref="M137:M141"/>
    <mergeCell ref="C138:C139"/>
    <mergeCell ref="C140:C141"/>
    <mergeCell ref="N142:N155"/>
    <mergeCell ref="M150:M155"/>
    <mergeCell ref="C151:C152"/>
    <mergeCell ref="A68:A79"/>
    <mergeCell ref="N68:N79"/>
    <mergeCell ref="C70:C71"/>
    <mergeCell ref="C76:C77"/>
    <mergeCell ref="C78:C79"/>
    <mergeCell ref="M75:M79"/>
    <mergeCell ref="A56:A67"/>
    <mergeCell ref="N56:N67"/>
    <mergeCell ref="C58:C59"/>
    <mergeCell ref="C72:C74"/>
    <mergeCell ref="B4:B5"/>
    <mergeCell ref="C4:C5"/>
    <mergeCell ref="D4:D5"/>
    <mergeCell ref="N4:N5"/>
    <mergeCell ref="N10:N22"/>
    <mergeCell ref="C11:C16"/>
    <mergeCell ref="C18:C22"/>
    <mergeCell ref="M4:M5"/>
    <mergeCell ref="M17:M22"/>
    <mergeCell ref="L4:L5"/>
    <mergeCell ref="G4:K4"/>
    <mergeCell ref="M39:M41"/>
    <mergeCell ref="N23:N31"/>
    <mergeCell ref="A44:A55"/>
    <mergeCell ref="N44:N55"/>
    <mergeCell ref="M51:M55"/>
    <mergeCell ref="A23:A31"/>
    <mergeCell ref="M29:M31"/>
    <mergeCell ref="C25:C31"/>
    <mergeCell ref="N32:N41"/>
    <mergeCell ref="A32:A43"/>
    <mergeCell ref="C34:C43"/>
    <mergeCell ref="N118:N129"/>
    <mergeCell ref="C123:C124"/>
    <mergeCell ref="M125:M129"/>
    <mergeCell ref="A92:A104"/>
    <mergeCell ref="C101:C104"/>
    <mergeCell ref="M100:M104"/>
    <mergeCell ref="N92:N104"/>
    <mergeCell ref="N106:N117"/>
    <mergeCell ref="C111:C112"/>
    <mergeCell ref="C114:C115"/>
    <mergeCell ref="C116:C117"/>
    <mergeCell ref="M113:M117"/>
    <mergeCell ref="C128:C12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65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3" manualBreakCount="3">
    <brk id="43" max="13" man="1"/>
    <brk id="91" max="13" man="1"/>
    <brk id="1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18</vt:i4>
      </vt:variant>
    </vt:vector>
  </HeadingPairs>
  <TitlesOfParts>
    <vt:vector size="30" baseType="lpstr">
      <vt:lpstr>Tabela nr 6</vt:lpstr>
      <vt:lpstr>Tab. 6A -Drogi</vt:lpstr>
      <vt:lpstr>Tab. 6B Polit społ i rozwój prz</vt:lpstr>
      <vt:lpstr>Tab. 6H - Kultura fiz. i turyst</vt:lpstr>
      <vt:lpstr>Tab.6I - Planow. przestrz.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projekty UE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2019-05-09T09:29:13Z</cp:lastPrinted>
  <dcterms:created xsi:type="dcterms:W3CDTF">2015-01-20T07:24:04Z</dcterms:created>
  <dcterms:modified xsi:type="dcterms:W3CDTF">2019-05-31T06:31:17Z</dcterms:modified>
</cp:coreProperties>
</file>